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https://fagsekretar1-my.sharepoint.com/personal/leder_nyf_no/Documents/Kurs og årskonferanser/Årskonferansen 2023/Presentasjoner/Søndag/"/>
    </mc:Choice>
  </mc:AlternateContent>
  <xr:revisionPtr revIDLastSave="3" documentId="8_{08B5092E-F356-124A-AC34-7067B92B9B62}" xr6:coauthVersionLast="47" xr6:coauthVersionMax="47" xr10:uidLastSave="{22963D6C-6C6E-F843-97C4-88898702DB82}"/>
  <workbookProtection workbookAlgorithmName="SHA-512" workbookHashValue="EyC3Lf12/WoKu1majyEK2rZSHBvhfHsbjYBFa7Er0sHRDnFxurcBKIZzoG45VE5KyAG6jksIwnnNgc+bbpGoJA==" workbookSaltValue="hrpkWRZQF0mtQo8pMBBiKA==" workbookSpinCount="100000" lockStructure="1"/>
  <bookViews>
    <workbookView xWindow="0" yWindow="640" windowWidth="33600" windowHeight="20500" tabRatio="753" xr2:uid="{2115EDDA-FA6C-4A65-96CA-C6E04F1A10F2}"/>
  </bookViews>
  <sheets>
    <sheet name="Information" sheetId="14" r:id="rId1"/>
    <sheet name="1. Estimate exposure" sheetId="17" state="hidden" r:id="rId2"/>
    <sheet name="Survey" sheetId="1" r:id="rId3"/>
    <sheet name="Analysis" sheetId="3" r:id="rId4"/>
    <sheet name="2-3. Multiple exposure" sheetId="7" state="hidden" r:id="rId5"/>
    <sheet name="Beta" sheetId="9" state="hidden" r:id="rId6"/>
    <sheet name="Calc" sheetId="18" state="hidden" r:id="rId7"/>
    <sheet name="Calc (W-test)" sheetId="8" state="hidden" r:id="rId8"/>
    <sheet name="Data graphs" sheetId="12" state="hidden" r:id="rId9"/>
    <sheet name="Grenseverdier" sheetId="16" state="hidden" r:id="rId10"/>
    <sheet name="Stats - distribution" sheetId="11" state="hidden" r:id="rId11"/>
    <sheet name="Tabeller" sheetId="6" state="hidden" r:id="rId12"/>
    <sheet name="Tables (statistics)" sheetId="10" state="hidden" r:id="rId13"/>
    <sheet name="Tekst" sheetId="2" state="hidden" r:id="rId14"/>
  </sheets>
  <definedNames>
    <definedName name="_GoBack" localSheetId="13">Tekst!$C$1</definedName>
    <definedName name="lAnswers">INDIRECT(_xlfn.CONCAT("Tekst!$",Tabeller!$D$28,"$258:$",Tabeller!$D$28,"$259"))</definedName>
    <definedName name="lDistribution">INDIRECT(_xlfn.CONCAT("Tekst!$",Tabeller!$D$28,"$201:$",Tabeller!$D$28,"$203"))</definedName>
    <definedName name="lStatistikkMetode">INDIRECT(_xlfn.CONCAT("Tekst!$",Tabeller!$D$28,"$194:$",Tabeller!$D$28,"$198"))</definedName>
    <definedName name="lVersion">INDIRECT(_xlfn.CONCAT("Tekst!$",Tabeller!$D$28,"$224:$",Tabeller!$D$28,"$225"))</definedName>
    <definedName name="Validation_CAS">OFFSET(Grenseverdier!$R$5,,,COUNTIF(Grenseverdier!$R$5:$R$625,"?*"))</definedName>
    <definedName name="Validation_name">OFFSET(Grenseverdier!$P$5,,,COUNTIF(Grenseverdier!$P$5:$P$625,"?*"))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64" i="1" l="1"/>
  <c r="V61" i="1"/>
  <c r="V47" i="1"/>
  <c r="S60" i="1"/>
  <c r="R26" i="1"/>
  <c r="R6" i="1"/>
  <c r="K4" i="1"/>
  <c r="A23" i="1"/>
  <c r="R16" i="3" l="1"/>
  <c r="R15" i="3"/>
  <c r="R14" i="3"/>
  <c r="R13" i="3"/>
  <c r="R12" i="3"/>
  <c r="D13" i="2"/>
  <c r="C103" i="2" l="1"/>
  <c r="C102" i="2"/>
  <c r="C13" i="2"/>
  <c r="E62" i="6" l="1"/>
  <c r="F62" i="6"/>
  <c r="G62" i="6"/>
  <c r="H62" i="6"/>
  <c r="I62" i="6"/>
  <c r="J62" i="6"/>
  <c r="K62" i="6"/>
  <c r="L62" i="6"/>
  <c r="M62" i="6"/>
  <c r="N62" i="6"/>
  <c r="O62" i="6"/>
  <c r="P62" i="6"/>
  <c r="Q62" i="6"/>
  <c r="R62" i="6"/>
  <c r="S62" i="6"/>
  <c r="T62" i="6"/>
  <c r="U62" i="6"/>
  <c r="V62" i="6"/>
  <c r="W62" i="6"/>
  <c r="D62" i="6"/>
  <c r="U55" i="6"/>
  <c r="T55" i="6"/>
  <c r="S55" i="6"/>
  <c r="R55" i="6"/>
  <c r="Q55" i="6"/>
  <c r="P55" i="6"/>
  <c r="O55" i="6"/>
  <c r="N55" i="6"/>
  <c r="M55" i="6"/>
  <c r="L55" i="6"/>
  <c r="K55" i="6"/>
  <c r="J55" i="6"/>
  <c r="I55" i="6"/>
  <c r="H55" i="6"/>
  <c r="G55" i="6"/>
  <c r="F55" i="6"/>
  <c r="E55" i="6"/>
  <c r="D55" i="6"/>
  <c r="C55" i="6"/>
  <c r="B55" i="6"/>
  <c r="B29" i="6" a="1"/>
  <c r="B29" i="6" s="1"/>
  <c r="C6" i="18"/>
  <c r="C7" i="18"/>
  <c r="C8" i="18"/>
  <c r="C9" i="18"/>
  <c r="C10" i="18"/>
  <c r="C11" i="18"/>
  <c r="C12" i="18"/>
  <c r="C13" i="18"/>
  <c r="C14" i="18"/>
  <c r="C15" i="18"/>
  <c r="C16" i="18"/>
  <c r="C17" i="18"/>
  <c r="C18" i="18"/>
  <c r="C19" i="18"/>
  <c r="C20" i="18"/>
  <c r="C21" i="18"/>
  <c r="C22" i="18"/>
  <c r="C23" i="18"/>
  <c r="C24" i="18"/>
  <c r="C25" i="18"/>
  <c r="C26" i="18"/>
  <c r="C27" i="18"/>
  <c r="C28" i="18"/>
  <c r="C29" i="18"/>
  <c r="C30" i="18"/>
  <c r="C31" i="18"/>
  <c r="C32" i="18"/>
  <c r="C33" i="18"/>
  <c r="C34" i="18"/>
  <c r="C35" i="18"/>
  <c r="C36" i="18"/>
  <c r="C37" i="18"/>
  <c r="C38" i="18"/>
  <c r="C39" i="18"/>
  <c r="C40" i="18"/>
  <c r="C41" i="18"/>
  <c r="C42" i="18"/>
  <c r="C43" i="18"/>
  <c r="C44" i="18"/>
  <c r="C45" i="18"/>
  <c r="C46" i="18"/>
  <c r="C47" i="18"/>
  <c r="C48" i="18"/>
  <c r="C49" i="18"/>
  <c r="C50" i="18"/>
  <c r="C51" i="18"/>
  <c r="C52" i="18"/>
  <c r="C45" i="6" l="1"/>
  <c r="C37" i="6"/>
  <c r="C42" i="6"/>
  <c r="C34" i="6"/>
  <c r="C44" i="6"/>
  <c r="C36" i="6"/>
  <c r="C35" i="6"/>
  <c r="C30" i="6"/>
  <c r="C28" i="6" s="1"/>
  <c r="C41" i="6"/>
  <c r="C33" i="6"/>
  <c r="C43" i="6"/>
  <c r="C48" i="6"/>
  <c r="C40" i="6"/>
  <c r="C32" i="6"/>
  <c r="C47" i="6"/>
  <c r="C39" i="6"/>
  <c r="C31" i="6"/>
  <c r="C46" i="6"/>
  <c r="C38" i="6"/>
  <c r="C29" i="6"/>
  <c r="B32" i="1" l="1" a="1"/>
  <c r="B32" i="1" s="1"/>
  <c r="G31" i="1" a="1"/>
  <c r="G31" i="1" s="1"/>
  <c r="B33" i="1" a="1"/>
  <c r="B33" i="1" s="1"/>
  <c r="AB2" i="18" a="1"/>
  <c r="AB2" i="18" s="1"/>
  <c r="AC2" i="18" s="1"/>
  <c r="C20" i="14" a="1"/>
  <c r="C20" i="14" s="1"/>
  <c r="G12" i="1" a="1"/>
  <c r="G12" i="1" s="1"/>
  <c r="F13" i="1" s="1" a="1"/>
  <c r="F13" i="1" s="1"/>
  <c r="N5" i="1" s="1" a="1"/>
  <c r="N5" i="1" s="1"/>
  <c r="C9" i="1" a="1"/>
  <c r="C9" i="1" s="1"/>
  <c r="M15" i="3" a="1"/>
  <c r="M15" i="3" s="1"/>
  <c r="AB1" i="18" a="1"/>
  <c r="AB1" i="18" s="1"/>
  <c r="I7" i="14" a="1"/>
  <c r="I7" i="14" s="1"/>
  <c r="J12" i="3" a="1"/>
  <c r="J12" i="3" s="1"/>
  <c r="J7" i="3" a="1"/>
  <c r="J7" i="3" s="1"/>
  <c r="B27" i="1" a="1"/>
  <c r="B27" i="1" s="1"/>
  <c r="K12" i="3" a="1"/>
  <c r="K12" i="3" s="1"/>
  <c r="K7" i="3" a="1"/>
  <c r="K7" i="3" s="1"/>
  <c r="C53" i="6" a="1"/>
  <c r="C53" i="6" s="1"/>
  <c r="C67" i="6" a="1"/>
  <c r="C67" i="6" s="1"/>
  <c r="C66" i="6" a="1"/>
  <c r="C66" i="6" s="1"/>
  <c r="C65" i="6" a="1"/>
  <c r="C65" i="6" s="1"/>
  <c r="C64" i="6" a="1"/>
  <c r="C64" i="6" s="1"/>
  <c r="C63" i="6" a="1"/>
  <c r="C63" i="6" s="1"/>
  <c r="H4" i="14" a="1"/>
  <c r="H4" i="14" s="1"/>
  <c r="B44" i="14" a="1"/>
  <c r="B44" i="14" s="1"/>
  <c r="B29" i="14" a="1"/>
  <c r="B29" i="14" s="1"/>
  <c r="D25" i="14" a="1"/>
  <c r="D25" i="14" s="1"/>
  <c r="I31" i="14" a="1"/>
  <c r="I31" i="14" s="1"/>
  <c r="R7" i="14" a="1"/>
  <c r="R7" i="14" s="1"/>
  <c r="C15" i="14" a="1"/>
  <c r="C15" i="14" s="1"/>
  <c r="C18" i="14" a="1"/>
  <c r="C18" i="14" s="1"/>
  <c r="A1" i="1" a="1"/>
  <c r="A1" i="1" s="1"/>
  <c r="L4" i="1" a="1"/>
  <c r="L4" i="1" s="1"/>
  <c r="H23" i="14" a="1"/>
  <c r="H23" i="14" s="1"/>
  <c r="H24" i="14" a="1"/>
  <c r="H24" i="14" s="1"/>
  <c r="P14" i="14" a="1"/>
  <c r="P14" i="14" s="1"/>
  <c r="R10" i="14" a="1"/>
  <c r="R10" i="14" s="1"/>
  <c r="H5" i="14" a="1"/>
  <c r="H5" i="14" s="1"/>
  <c r="T9" i="1" a="1"/>
  <c r="T9" i="1" s="1"/>
  <c r="B8" i="1" a="1"/>
  <c r="B8" i="1" s="1"/>
  <c r="H9" i="1" a="1"/>
  <c r="H9" i="1" s="1"/>
  <c r="T60" i="1" a="1"/>
  <c r="T60" i="1" s="1"/>
  <c r="W61" i="1" a="1"/>
  <c r="W61" i="1" s="1"/>
  <c r="B29" i="1" a="1"/>
  <c r="B29" i="1" s="1"/>
  <c r="W40" i="1" a="1"/>
  <c r="W40" i="1" s="1"/>
  <c r="V19" i="1" a="1"/>
  <c r="V19" i="1" s="1"/>
  <c r="S38" i="1" a="1"/>
  <c r="S38" i="1" s="1"/>
  <c r="T19" i="1" a="1"/>
  <c r="T19" i="1" s="1"/>
  <c r="E57" i="12" a="1"/>
  <c r="E57" i="12" s="1"/>
  <c r="A1" i="3" a="1"/>
  <c r="A1" i="3" s="1"/>
  <c r="I19" i="3" a="1"/>
  <c r="I19" i="3" s="1"/>
  <c r="A1" i="14" a="1"/>
  <c r="A1" i="14" s="1"/>
  <c r="I43" i="14" a="1"/>
  <c r="I43" i="14" s="1"/>
  <c r="P39" i="14" a="1"/>
  <c r="P39" i="14" s="1"/>
  <c r="P40" i="14" a="1"/>
  <c r="P40" i="14" s="1"/>
  <c r="D27" i="14" a="1"/>
  <c r="D27" i="14" s="1"/>
  <c r="P13" i="14" a="1"/>
  <c r="P13" i="14" s="1"/>
  <c r="R38" i="14" a="1"/>
  <c r="R38" i="14" s="1"/>
  <c r="I17" i="14" a="1"/>
  <c r="I17" i="14" s="1"/>
  <c r="B38" i="1" a="1"/>
  <c r="B38" i="1" s="1"/>
  <c r="S9" i="1" a="1"/>
  <c r="S9" i="1" s="1"/>
  <c r="C5" i="1" a="1"/>
  <c r="C5" i="1" s="1"/>
  <c r="T40" i="1" a="1"/>
  <c r="T40" i="1" s="1"/>
  <c r="W47" i="1" a="1"/>
  <c r="W47" i="1" s="1"/>
  <c r="I26" i="3" a="1"/>
  <c r="I26" i="3" s="1"/>
  <c r="S26" i="1" a="1"/>
  <c r="S26" i="1" s="1"/>
  <c r="B26" i="1" a="1"/>
  <c r="B26" i="1" s="1"/>
  <c r="I17" i="3" a="1"/>
  <c r="I17" i="3" s="1"/>
  <c r="B15" i="1" a="1"/>
  <c r="B15" i="1" s="1"/>
  <c r="A1" i="12" a="1"/>
  <c r="A1" i="12" s="1"/>
  <c r="D59" i="12" a="1"/>
  <c r="D59" i="12" s="1"/>
  <c r="D28" i="6"/>
  <c r="R12" i="14" a="1"/>
  <c r="R12" i="14" s="1"/>
  <c r="N39" i="14" a="1"/>
  <c r="N39" i="14" s="1"/>
  <c r="J15" i="14" a="1"/>
  <c r="J15" i="14" s="1"/>
  <c r="N27" i="14" a="1"/>
  <c r="N27" i="14" s="1"/>
  <c r="I27" i="14" a="1"/>
  <c r="I27" i="14" s="1"/>
  <c r="J41" i="14" a="1"/>
  <c r="J41" i="14" s="1"/>
  <c r="P27" i="14" a="1"/>
  <c r="P27" i="14" s="1"/>
  <c r="J29" i="14" a="1"/>
  <c r="J29" i="14" s="1"/>
  <c r="H24" i="1" a="1"/>
  <c r="H24" i="1" s="1"/>
  <c r="D25" i="1" a="1"/>
  <c r="D25" i="1" s="1"/>
  <c r="O5" i="1" a="1"/>
  <c r="O5" i="1" s="1"/>
  <c r="T58" i="1" a="1"/>
  <c r="T58" i="1" s="1"/>
  <c r="T55" i="1" a="1"/>
  <c r="T55" i="1" s="1"/>
  <c r="I6" i="3" a="1"/>
  <c r="I6" i="3" s="1"/>
  <c r="W58" i="1" a="1"/>
  <c r="W58" i="1" s="1"/>
  <c r="I4" i="3" a="1"/>
  <c r="I4" i="3" s="1"/>
  <c r="C11" i="3" a="1"/>
  <c r="C11" i="3" s="1"/>
  <c r="N2" i="12" a="1"/>
  <c r="N2" i="12" s="1"/>
  <c r="B5" i="3" a="1"/>
  <c r="B5" i="3" s="1"/>
  <c r="R6" i="14" a="1"/>
  <c r="R6" i="14" s="1"/>
  <c r="R36" i="14" a="1"/>
  <c r="R36" i="14" s="1"/>
  <c r="B23" i="14" a="1"/>
  <c r="B23" i="14" s="1"/>
  <c r="B25" i="14" a="1"/>
  <c r="B25" i="14" s="1"/>
  <c r="B13" i="14" a="1"/>
  <c r="B13" i="14" s="1"/>
  <c r="R13" i="14" a="1"/>
  <c r="R13" i="14" s="1"/>
  <c r="B23" i="1" a="1"/>
  <c r="B23" i="1" s="1"/>
  <c r="B20" i="1" a="1"/>
  <c r="B20" i="1" s="1"/>
  <c r="B25" i="1" a="1"/>
  <c r="B25" i="1" s="1"/>
  <c r="B19" i="3" a="1"/>
  <c r="B19" i="3" s="1"/>
  <c r="B16" i="3" a="1"/>
  <c r="B16" i="3" s="1"/>
  <c r="W65" i="1" a="1"/>
  <c r="W65" i="1" s="1"/>
  <c r="W57" i="1" a="1"/>
  <c r="W57" i="1" s="1"/>
  <c r="T52" i="1" a="1"/>
  <c r="T52" i="1" s="1"/>
  <c r="B24" i="1" a="1"/>
  <c r="B24" i="1" s="1"/>
  <c r="T61" i="1" a="1"/>
  <c r="T61" i="1" s="1"/>
  <c r="G3" i="12" a="1"/>
  <c r="G3" i="12" s="1"/>
  <c r="Q11" i="3" a="1"/>
  <c r="Q11" i="3" s="1"/>
  <c r="A55" i="12" a="1"/>
  <c r="A55" i="12" s="1"/>
  <c r="B8" i="14" a="1"/>
  <c r="B8" i="14" s="1"/>
  <c r="R17" i="14" a="1"/>
  <c r="R17" i="14" s="1"/>
  <c r="C16" i="14" a="1"/>
  <c r="C16" i="14" s="1"/>
  <c r="R4" i="14" a="1"/>
  <c r="R4" i="14" s="1"/>
  <c r="J21" i="14" a="1"/>
  <c r="J21" i="14" s="1"/>
  <c r="B36" i="14" a="1"/>
  <c r="B36" i="14" s="1"/>
  <c r="I13" i="14" a="1"/>
  <c r="I13" i="14" s="1"/>
  <c r="P28" i="14" a="1"/>
  <c r="P28" i="14" s="1"/>
  <c r="B30" i="14" a="1"/>
  <c r="B30" i="14" s="1"/>
  <c r="H9" i="14" a="1"/>
  <c r="H9" i="14" s="1"/>
  <c r="B22" i="14" a="1"/>
  <c r="B22" i="14" s="1"/>
  <c r="B21" i="1" a="1"/>
  <c r="B21" i="1" s="1"/>
  <c r="B18" i="1" a="1"/>
  <c r="B18" i="1" s="1"/>
  <c r="B13" i="1" a="1"/>
  <c r="B13" i="1" s="1"/>
  <c r="Q19" i="3" a="1"/>
  <c r="Q19" i="3" s="1"/>
  <c r="T39" i="1" a="1"/>
  <c r="T39" i="1" s="1"/>
  <c r="I11" i="3" a="1"/>
  <c r="I11" i="3" s="1"/>
  <c r="C10" i="3" a="1"/>
  <c r="C10" i="3" s="1"/>
  <c r="M19" i="3" a="1"/>
  <c r="M19" i="3" s="1"/>
  <c r="E9" i="3" a="1"/>
  <c r="E9" i="3" s="1"/>
  <c r="T54" i="1" a="1"/>
  <c r="T54" i="1" s="1"/>
  <c r="B57" i="12" a="1"/>
  <c r="B57" i="12" s="1"/>
  <c r="Q8" i="3" a="1"/>
  <c r="Q8" i="3" s="1"/>
  <c r="C19" i="3"/>
  <c r="R16" i="14" a="1"/>
  <c r="R16" i="14" s="1"/>
  <c r="B43" i="14" a="1"/>
  <c r="B43" i="14" s="1"/>
  <c r="D23" i="14" a="1"/>
  <c r="D23" i="14" s="1"/>
  <c r="B37" i="14" a="1"/>
  <c r="B37" i="14" s="1"/>
  <c r="N13" i="14" a="1"/>
  <c r="N13" i="14" s="1"/>
  <c r="C14" i="14" a="1"/>
  <c r="C14" i="14" s="1"/>
  <c r="B33" i="14" a="1"/>
  <c r="B33" i="14" s="1"/>
  <c r="C19" i="14" a="1"/>
  <c r="C19" i="14" s="1"/>
  <c r="B4" i="1" a="1"/>
  <c r="B4" i="1" s="1"/>
  <c r="B7" i="1" a="1"/>
  <c r="B7" i="1" s="1"/>
  <c r="T10" i="1" a="1"/>
  <c r="T10" i="1" s="1"/>
  <c r="I16" i="3" a="1"/>
  <c r="I16" i="3" s="1"/>
  <c r="T4" i="1" a="1"/>
  <c r="T4" i="1" s="1"/>
  <c r="C12" i="3" a="1"/>
  <c r="C12" i="3" s="1"/>
  <c r="C6" i="3" a="1"/>
  <c r="C6" i="3" s="1"/>
  <c r="I21" i="3" a="1"/>
  <c r="I21" i="3" s="1"/>
  <c r="C5" i="3" a="1"/>
  <c r="C5" i="3" s="1"/>
  <c r="G2" i="12" a="1"/>
  <c r="G2" i="12" s="1"/>
  <c r="G59" i="12" a="1"/>
  <c r="G59" i="12" s="1"/>
  <c r="C59" i="12" a="1"/>
  <c r="C59" i="12" s="1"/>
  <c r="C20" i="3"/>
  <c r="I39" i="14" a="1"/>
  <c r="I39" i="14" s="1"/>
  <c r="D24" i="14" a="1"/>
  <c r="D24" i="14" s="1"/>
  <c r="C17" i="14" a="1"/>
  <c r="C17" i="14" s="1"/>
  <c r="B27" i="14" a="1"/>
  <c r="B27" i="14" s="1"/>
  <c r="H10" i="14" a="1"/>
  <c r="H10" i="14" s="1"/>
  <c r="H36" i="14" a="1"/>
  <c r="H36" i="14" s="1"/>
  <c r="B24" i="14" a="1"/>
  <c r="B24" i="14" s="1"/>
  <c r="R35" i="14" a="1"/>
  <c r="R35" i="14" s="1"/>
  <c r="B37" i="1" a="1"/>
  <c r="B37" i="1" s="1"/>
  <c r="C13" i="3" a="1"/>
  <c r="C13" i="3" s="1"/>
  <c r="B6" i="1" a="1"/>
  <c r="B6" i="1" s="1"/>
  <c r="C7" i="3" a="1"/>
  <c r="C7" i="3" s="1"/>
  <c r="W55" i="1" a="1"/>
  <c r="W55" i="1" s="1"/>
  <c r="W64" i="1" a="1"/>
  <c r="W64" i="1" s="1"/>
  <c r="W62" i="1" a="1"/>
  <c r="W62" i="1" s="1"/>
  <c r="I57" i="12" a="1"/>
  <c r="I57" i="12" s="1"/>
  <c r="Q6" i="3" a="1"/>
  <c r="Q6" i="3" s="1"/>
  <c r="N1" i="12" a="1"/>
  <c r="N1" i="12" s="1"/>
  <c r="C17" i="3"/>
  <c r="D26" i="1" a="1"/>
  <c r="D26" i="1" s="1"/>
  <c r="B31" i="1" a="1"/>
  <c r="B31" i="1" s="1"/>
  <c r="C16" i="3" a="1"/>
  <c r="C16" i="3" s="1"/>
  <c r="D9" i="3" a="1"/>
  <c r="D9" i="3" s="1"/>
  <c r="I25" i="3" a="1"/>
  <c r="I25" i="3" s="1"/>
  <c r="B4" i="3" a="1"/>
  <c r="B4" i="3" s="1"/>
  <c r="W39" i="1" a="1"/>
  <c r="W39" i="1" s="1"/>
  <c r="T51" i="1" a="1"/>
  <c r="T51" i="1" s="1"/>
  <c r="W48" i="1" a="1"/>
  <c r="W48" i="1" s="1"/>
  <c r="I58" i="12" a="1"/>
  <c r="I58" i="12" s="1"/>
  <c r="F59" i="12" a="1"/>
  <c r="F59" i="12" s="1"/>
  <c r="B59" i="12" a="1"/>
  <c r="B59" i="12" s="1"/>
  <c r="F12" i="18" l="1" a="1"/>
  <c r="F12" i="18" s="1"/>
  <c r="F19" i="18" a="1"/>
  <c r="F19" i="18" s="1"/>
  <c r="F25" i="18" a="1"/>
  <c r="F25" i="18" s="1"/>
  <c r="F38" i="18" a="1"/>
  <c r="F38" i="18" s="1"/>
  <c r="F44" i="18" a="1"/>
  <c r="F44" i="18" s="1"/>
  <c r="F51" i="18" a="1"/>
  <c r="F51" i="18" s="1"/>
  <c r="F28" i="18" a="1"/>
  <c r="F28" i="18" s="1"/>
  <c r="F41" i="18" a="1"/>
  <c r="F41" i="18" s="1"/>
  <c r="F29" i="18" a="1"/>
  <c r="F29" i="18" s="1"/>
  <c r="F11" i="18" a="1"/>
  <c r="F11" i="18" s="1"/>
  <c r="F49" i="18" a="1"/>
  <c r="F49" i="18" s="1"/>
  <c r="F24" i="18" a="1"/>
  <c r="F24" i="18" s="1"/>
  <c r="F50" i="18" a="1"/>
  <c r="F50" i="18" s="1"/>
  <c r="F13" i="18" a="1"/>
  <c r="F13" i="18" s="1"/>
  <c r="F26" i="18" a="1"/>
  <c r="F26" i="18" s="1"/>
  <c r="F32" i="18" a="1"/>
  <c r="F32" i="18" s="1"/>
  <c r="F39" i="18" a="1"/>
  <c r="F39" i="18" s="1"/>
  <c r="F45" i="18" a="1"/>
  <c r="F45" i="18" s="1"/>
  <c r="F52" i="18" a="1"/>
  <c r="F52" i="18" s="1"/>
  <c r="F22" i="18" a="1"/>
  <c r="F22" i="18" s="1"/>
  <c r="F42" i="18" a="1"/>
  <c r="F42" i="18" s="1"/>
  <c r="F36" i="18" a="1"/>
  <c r="F36" i="18" s="1"/>
  <c r="F37" i="18" a="1"/>
  <c r="F37" i="18" s="1"/>
  <c r="F14" i="18" a="1"/>
  <c r="F14" i="18" s="1"/>
  <c r="F20" i="18" a="1"/>
  <c r="F20" i="18" s="1"/>
  <c r="F27" i="18" a="1"/>
  <c r="F27" i="18" s="1"/>
  <c r="F33" i="18" a="1"/>
  <c r="F33" i="18" s="1"/>
  <c r="F46" i="18" a="1"/>
  <c r="F46" i="18" s="1"/>
  <c r="F35" i="18" a="1"/>
  <c r="F35" i="18" s="1"/>
  <c r="F16" i="18" a="1"/>
  <c r="F16" i="18" s="1"/>
  <c r="F30" i="18" a="1"/>
  <c r="F30" i="18" s="1"/>
  <c r="F31" i="18" a="1"/>
  <c r="F31" i="18" s="1"/>
  <c r="F15" i="18" a="1"/>
  <c r="F15" i="18" s="1"/>
  <c r="F21" i="18" a="1"/>
  <c r="F21" i="18" s="1"/>
  <c r="F34" i="18" a="1"/>
  <c r="F34" i="18" s="1"/>
  <c r="F40" i="18" a="1"/>
  <c r="F40" i="18" s="1"/>
  <c r="F47" i="18" a="1"/>
  <c r="F47" i="18" s="1"/>
  <c r="F23" i="18" a="1"/>
  <c r="F23" i="18" s="1"/>
  <c r="F48" i="18" a="1"/>
  <c r="F48" i="18" s="1"/>
  <c r="F17" i="18" a="1"/>
  <c r="F17" i="18" s="1"/>
  <c r="F43" i="18" a="1"/>
  <c r="F43" i="18" s="1"/>
  <c r="F18" i="18" a="1"/>
  <c r="F18" i="18" s="1"/>
  <c r="M5" i="1" a="1"/>
  <c r="M5" i="1" s="1"/>
  <c r="W1" i="3"/>
  <c r="D22" i="14" l="1"/>
  <c r="AE58" i="8" l="1"/>
  <c r="AE57" i="8"/>
  <c r="AE56" i="8"/>
  <c r="AE55" i="8"/>
  <c r="AE54" i="8"/>
  <c r="AE53" i="8"/>
  <c r="AE52" i="8"/>
  <c r="AE51" i="8"/>
  <c r="AE50" i="8"/>
  <c r="AE49" i="8"/>
  <c r="AE48" i="8"/>
  <c r="AE47" i="8"/>
  <c r="AE46" i="8"/>
  <c r="AE45" i="8"/>
  <c r="AE44" i="8"/>
  <c r="AE43" i="8"/>
  <c r="AE42" i="8"/>
  <c r="AE41" i="8"/>
  <c r="AE40" i="8"/>
  <c r="AE39" i="8"/>
  <c r="AE38" i="8"/>
  <c r="AE37" i="8"/>
  <c r="AE36" i="8"/>
  <c r="AE35" i="8"/>
  <c r="AE34" i="8"/>
  <c r="AE33" i="8"/>
  <c r="AE32" i="8"/>
  <c r="AE31" i="8"/>
  <c r="AE30" i="8"/>
  <c r="AE29" i="8"/>
  <c r="AE28" i="8"/>
  <c r="AE27" i="8"/>
  <c r="AE26" i="8"/>
  <c r="AE25" i="8"/>
  <c r="AE24" i="8"/>
  <c r="AE23" i="8"/>
  <c r="AE22" i="8"/>
  <c r="AE21" i="8"/>
  <c r="AE20" i="8"/>
  <c r="AE19" i="8"/>
  <c r="AE18" i="8"/>
  <c r="AE17" i="8"/>
  <c r="AE16" i="8"/>
  <c r="AE15" i="8"/>
  <c r="AE14" i="8"/>
  <c r="AE13" i="8"/>
  <c r="AE12" i="8"/>
  <c r="AE11" i="8"/>
  <c r="AE10" i="8"/>
  <c r="AE9" i="8"/>
  <c r="M5" i="9"/>
  <c r="M4" i="9"/>
  <c r="D159" i="10"/>
  <c r="D158" i="10"/>
  <c r="D157" i="10"/>
  <c r="G6" i="11"/>
  <c r="G7" i="11" s="1"/>
  <c r="C6" i="11"/>
  <c r="C7" i="11" s="1"/>
  <c r="G5" i="11"/>
  <c r="C5" i="11"/>
  <c r="M4" i="11"/>
  <c r="G4" i="11"/>
  <c r="C4" i="11"/>
  <c r="Q3" i="16"/>
  <c r="O3" i="16"/>
  <c r="B105" i="2"/>
  <c r="B103" i="2"/>
  <c r="B102" i="2"/>
  <c r="B13" i="2"/>
  <c r="J15" i="6"/>
  <c r="J14" i="6"/>
  <c r="D224" i="12"/>
  <c r="Q223" i="12"/>
  <c r="D223" i="12"/>
  <c r="Q222" i="12"/>
  <c r="D222" i="12"/>
  <c r="Q221" i="12"/>
  <c r="D221" i="12"/>
  <c r="Q220" i="12"/>
  <c r="D220" i="12"/>
  <c r="Q219" i="12"/>
  <c r="D219" i="12"/>
  <c r="Q218" i="12"/>
  <c r="D218" i="12"/>
  <c r="Q217" i="12"/>
  <c r="D217" i="12"/>
  <c r="Q216" i="12"/>
  <c r="D216" i="12"/>
  <c r="Q215" i="12"/>
  <c r="D215" i="12"/>
  <c r="Q214" i="12"/>
  <c r="D214" i="12"/>
  <c r="Q213" i="12"/>
  <c r="D213" i="12"/>
  <c r="Q212" i="12"/>
  <c r="D212" i="12"/>
  <c r="Q211" i="12"/>
  <c r="D211" i="12"/>
  <c r="Q210" i="12"/>
  <c r="D210" i="12"/>
  <c r="Q209" i="12"/>
  <c r="D209" i="12"/>
  <c r="Q208" i="12"/>
  <c r="D208" i="12"/>
  <c r="Q207" i="12"/>
  <c r="D207" i="12"/>
  <c r="Q206" i="12"/>
  <c r="D206" i="12"/>
  <c r="Q205" i="12"/>
  <c r="D205" i="12"/>
  <c r="Q204" i="12"/>
  <c r="D204" i="12"/>
  <c r="Q203" i="12"/>
  <c r="D203" i="12"/>
  <c r="Q202" i="12"/>
  <c r="D202" i="12"/>
  <c r="Q201" i="12"/>
  <c r="D201" i="12"/>
  <c r="Q200" i="12"/>
  <c r="D200" i="12"/>
  <c r="Q199" i="12"/>
  <c r="D199" i="12"/>
  <c r="Q198" i="12"/>
  <c r="D198" i="12"/>
  <c r="Q197" i="12"/>
  <c r="D197" i="12"/>
  <c r="Q196" i="12"/>
  <c r="D196" i="12"/>
  <c r="Q195" i="12"/>
  <c r="D195" i="12"/>
  <c r="Q194" i="12"/>
  <c r="D194" i="12"/>
  <c r="Q193" i="12"/>
  <c r="D193" i="12"/>
  <c r="Q192" i="12"/>
  <c r="D192" i="12"/>
  <c r="Q191" i="12"/>
  <c r="D191" i="12"/>
  <c r="Q190" i="12"/>
  <c r="D190" i="12"/>
  <c r="Q189" i="12"/>
  <c r="D189" i="12"/>
  <c r="Q188" i="12"/>
  <c r="D188" i="12"/>
  <c r="Q187" i="12"/>
  <c r="D187" i="12"/>
  <c r="Q186" i="12"/>
  <c r="K186" i="12"/>
  <c r="H186" i="12"/>
  <c r="D186" i="12"/>
  <c r="Q185" i="12"/>
  <c r="K185" i="12"/>
  <c r="H185" i="12"/>
  <c r="D185" i="12"/>
  <c r="Q184" i="12"/>
  <c r="K184" i="12"/>
  <c r="H184" i="12"/>
  <c r="D184" i="12"/>
  <c r="Q183" i="12"/>
  <c r="H183" i="12"/>
  <c r="K183" i="12" s="1"/>
  <c r="D183" i="12"/>
  <c r="Q182" i="12"/>
  <c r="K182" i="12"/>
  <c r="H182" i="12"/>
  <c r="D182" i="12"/>
  <c r="Q181" i="12"/>
  <c r="H181" i="12"/>
  <c r="K181" i="12" s="1"/>
  <c r="D181" i="12"/>
  <c r="Q180" i="12"/>
  <c r="H180" i="12"/>
  <c r="K180" i="12" s="1"/>
  <c r="D180" i="12"/>
  <c r="Q179" i="12"/>
  <c r="K179" i="12"/>
  <c r="H179" i="12"/>
  <c r="D179" i="12"/>
  <c r="Q178" i="12"/>
  <c r="H178" i="12"/>
  <c r="K178" i="12" s="1"/>
  <c r="D178" i="12"/>
  <c r="Q177" i="12"/>
  <c r="K177" i="12"/>
  <c r="H177" i="12"/>
  <c r="D177" i="12"/>
  <c r="Q176" i="12"/>
  <c r="K176" i="12"/>
  <c r="H176" i="12"/>
  <c r="D176" i="12"/>
  <c r="Q175" i="12"/>
  <c r="K175" i="12"/>
  <c r="H175" i="12"/>
  <c r="D175" i="12"/>
  <c r="Q174" i="12"/>
  <c r="H174" i="12"/>
  <c r="K174" i="12" s="1"/>
  <c r="D174" i="12"/>
  <c r="Q173" i="12"/>
  <c r="U172" i="12"/>
  <c r="S172" i="12"/>
  <c r="R172" i="12"/>
  <c r="Q172" i="12"/>
  <c r="P58" i="12"/>
  <c r="P57" i="12"/>
  <c r="E53" i="12"/>
  <c r="U223" i="12" s="1"/>
  <c r="D52" i="18"/>
  <c r="E52" i="18"/>
  <c r="B52" i="18"/>
  <c r="D51" i="18"/>
  <c r="E51" i="18"/>
  <c r="B51" i="18"/>
  <c r="D50" i="18"/>
  <c r="E50" i="18"/>
  <c r="B50" i="18"/>
  <c r="D49" i="18"/>
  <c r="E49" i="18"/>
  <c r="B49" i="18"/>
  <c r="D48" i="18"/>
  <c r="E48" i="18"/>
  <c r="B48" i="18"/>
  <c r="D47" i="18"/>
  <c r="E47" i="18"/>
  <c r="B47" i="18"/>
  <c r="D46" i="18"/>
  <c r="E46" i="18"/>
  <c r="B46" i="18"/>
  <c r="D45" i="18"/>
  <c r="E45" i="18"/>
  <c r="B45" i="18"/>
  <c r="D44" i="18"/>
  <c r="E44" i="18"/>
  <c r="B44" i="18"/>
  <c r="D43" i="18"/>
  <c r="E43" i="18"/>
  <c r="B43" i="18"/>
  <c r="D42" i="18"/>
  <c r="E42" i="18"/>
  <c r="B42" i="18"/>
  <c r="D41" i="18"/>
  <c r="E41" i="18"/>
  <c r="B41" i="18"/>
  <c r="D40" i="18"/>
  <c r="E40" i="18"/>
  <c r="B40" i="18"/>
  <c r="D39" i="18"/>
  <c r="E39" i="18"/>
  <c r="B39" i="18"/>
  <c r="D38" i="18"/>
  <c r="E38" i="18"/>
  <c r="B38" i="18"/>
  <c r="D37" i="18"/>
  <c r="E37" i="18"/>
  <c r="B37" i="18"/>
  <c r="D36" i="18"/>
  <c r="E36" i="18"/>
  <c r="B36" i="18"/>
  <c r="D35" i="18"/>
  <c r="E35" i="18"/>
  <c r="B35" i="18"/>
  <c r="D34" i="18"/>
  <c r="E34" i="18"/>
  <c r="B34" i="18"/>
  <c r="D33" i="18"/>
  <c r="E33" i="18"/>
  <c r="B33" i="18"/>
  <c r="D32" i="18"/>
  <c r="E32" i="18"/>
  <c r="B32" i="18"/>
  <c r="D31" i="18"/>
  <c r="E31" i="18"/>
  <c r="B31" i="18"/>
  <c r="D30" i="18"/>
  <c r="E30" i="18"/>
  <c r="B30" i="18"/>
  <c r="D29" i="18"/>
  <c r="E29" i="18"/>
  <c r="B29" i="18"/>
  <c r="D28" i="18"/>
  <c r="E28" i="18"/>
  <c r="B28" i="18"/>
  <c r="D27" i="18"/>
  <c r="E27" i="18"/>
  <c r="B27" i="18"/>
  <c r="D26" i="18"/>
  <c r="E26" i="18"/>
  <c r="B26" i="18"/>
  <c r="D25" i="18"/>
  <c r="E25" i="18"/>
  <c r="B25" i="18"/>
  <c r="D24" i="18"/>
  <c r="E24" i="18"/>
  <c r="B24" i="18"/>
  <c r="D23" i="18"/>
  <c r="E23" i="18"/>
  <c r="B23" i="18"/>
  <c r="D22" i="18"/>
  <c r="E22" i="18"/>
  <c r="B22" i="18"/>
  <c r="D21" i="18"/>
  <c r="E21" i="18"/>
  <c r="B21" i="18"/>
  <c r="D20" i="18"/>
  <c r="E20" i="18"/>
  <c r="B20" i="18"/>
  <c r="D19" i="18"/>
  <c r="E19" i="18"/>
  <c r="B19" i="18"/>
  <c r="D18" i="18"/>
  <c r="E18" i="18"/>
  <c r="B18" i="18"/>
  <c r="D17" i="18"/>
  <c r="E17" i="18"/>
  <c r="B17" i="18"/>
  <c r="D16" i="18"/>
  <c r="E16" i="18"/>
  <c r="B16" i="18"/>
  <c r="D15" i="18"/>
  <c r="E15" i="18"/>
  <c r="B15" i="18"/>
  <c r="D14" i="18"/>
  <c r="E14" i="18"/>
  <c r="B14" i="18"/>
  <c r="D13" i="18"/>
  <c r="E13" i="18"/>
  <c r="B13" i="18"/>
  <c r="D12" i="18"/>
  <c r="E12" i="18"/>
  <c r="B12" i="18"/>
  <c r="D11" i="18"/>
  <c r="E11" i="18"/>
  <c r="B11" i="18"/>
  <c r="D10" i="18"/>
  <c r="E10" i="18"/>
  <c r="B10" i="18"/>
  <c r="D9" i="18"/>
  <c r="E9" i="18"/>
  <c r="B9" i="18"/>
  <c r="D8" i="18"/>
  <c r="E8" i="18"/>
  <c r="B8" i="18"/>
  <c r="D7" i="18"/>
  <c r="E7" i="18"/>
  <c r="B7" i="18"/>
  <c r="D6" i="18"/>
  <c r="E6" i="18"/>
  <c r="B6" i="18"/>
  <c r="D5" i="18"/>
  <c r="C5" i="18"/>
  <c r="B5" i="18"/>
  <c r="D4" i="18"/>
  <c r="C4" i="18"/>
  <c r="E4" i="18" s="1"/>
  <c r="B4" i="18"/>
  <c r="D3" i="18"/>
  <c r="C3" i="18"/>
  <c r="E3" i="18" s="1"/>
  <c r="B3" i="18"/>
  <c r="H35" i="7"/>
  <c r="C35" i="7"/>
  <c r="H34" i="7"/>
  <c r="C34" i="7"/>
  <c r="H33" i="7"/>
  <c r="C33" i="7"/>
  <c r="H32" i="7"/>
  <c r="C32" i="7"/>
  <c r="H31" i="7"/>
  <c r="C31" i="7"/>
  <c r="H30" i="7"/>
  <c r="C30" i="7"/>
  <c r="H29" i="7"/>
  <c r="C29" i="7"/>
  <c r="H28" i="7"/>
  <c r="C28" i="7"/>
  <c r="H27" i="7"/>
  <c r="C27" i="7"/>
  <c r="H26" i="7"/>
  <c r="C26" i="7"/>
  <c r="M25" i="7"/>
  <c r="H25" i="7"/>
  <c r="C25" i="7"/>
  <c r="M24" i="7"/>
  <c r="H24" i="7"/>
  <c r="C24" i="7"/>
  <c r="M23" i="7"/>
  <c r="H23" i="7"/>
  <c r="C23" i="7"/>
  <c r="M22" i="7"/>
  <c r="H22" i="7"/>
  <c r="C22" i="7"/>
  <c r="M21" i="7"/>
  <c r="H21" i="7"/>
  <c r="C21" i="7"/>
  <c r="L20" i="7"/>
  <c r="H20" i="7"/>
  <c r="C20" i="7"/>
  <c r="H19" i="7"/>
  <c r="C19" i="7"/>
  <c r="H18" i="7"/>
  <c r="C18" i="7"/>
  <c r="L17" i="7"/>
  <c r="H17" i="7"/>
  <c r="C17" i="7"/>
  <c r="H16" i="7"/>
  <c r="C16" i="7"/>
  <c r="L15" i="7"/>
  <c r="H15" i="7"/>
  <c r="G15" i="7"/>
  <c r="F15" i="7"/>
  <c r="D15" i="7"/>
  <c r="B15" i="7"/>
  <c r="D14" i="7"/>
  <c r="B14" i="7"/>
  <c r="L10" i="7"/>
  <c r="D9" i="7"/>
  <c r="B9" i="7"/>
  <c r="L6" i="7"/>
  <c r="D6" i="7"/>
  <c r="B6" i="7"/>
  <c r="L4" i="7"/>
  <c r="B4" i="7"/>
  <c r="A1" i="7"/>
  <c r="C14" i="3"/>
  <c r="H26" i="1"/>
  <c r="H25" i="1"/>
  <c r="G13" i="1"/>
  <c r="C13" i="1"/>
  <c r="E12" i="1"/>
  <c r="C11" i="1" s="1"/>
  <c r="B21" i="17"/>
  <c r="H18" i="17"/>
  <c r="H17" i="17"/>
  <c r="H16" i="17"/>
  <c r="H15" i="17"/>
  <c r="A15" i="17"/>
  <c r="H14" i="17"/>
  <c r="A14" i="17"/>
  <c r="I12" i="17"/>
  <c r="H12" i="17"/>
  <c r="H11" i="17"/>
  <c r="B11" i="17"/>
  <c r="H9" i="17"/>
  <c r="B9" i="17"/>
  <c r="H7" i="17"/>
  <c r="C7" i="17"/>
  <c r="D7" i="17" s="1"/>
  <c r="B7" i="17"/>
  <c r="H6" i="17"/>
  <c r="B6" i="17"/>
  <c r="H5" i="17"/>
  <c r="B5" i="17"/>
  <c r="A1" i="17"/>
  <c r="H35" i="14"/>
  <c r="H20" i="1" l="1" a="1"/>
  <c r="H20" i="1" s="1"/>
  <c r="E20" i="1" s="1"/>
  <c r="E13" i="1" s="1"/>
  <c r="F10" i="18" s="1" a="1"/>
  <c r="F10" i="18" s="1"/>
  <c r="H31" i="1" a="1"/>
  <c r="H31" i="1" s="1"/>
  <c r="I30" i="18"/>
  <c r="C11" i="17"/>
  <c r="D11" i="17" s="1"/>
  <c r="I48" i="18"/>
  <c r="I40" i="18"/>
  <c r="I50" i="18"/>
  <c r="I42" i="18"/>
  <c r="I52" i="18"/>
  <c r="I45" i="18"/>
  <c r="I46" i="18"/>
  <c r="I38" i="18"/>
  <c r="I44" i="18"/>
  <c r="I51" i="18"/>
  <c r="I43" i="18"/>
  <c r="I39" i="18"/>
  <c r="I35" i="18"/>
  <c r="I28" i="18"/>
  <c r="I37" i="18"/>
  <c r="I29" i="18"/>
  <c r="I49" i="18"/>
  <c r="I31" i="18"/>
  <c r="I47" i="18"/>
  <c r="I41" i="18"/>
  <c r="I36" i="18"/>
  <c r="I32" i="18"/>
  <c r="I33" i="18"/>
  <c r="I34" i="18"/>
  <c r="E5" i="18"/>
  <c r="X2" i="18"/>
  <c r="D6" i="3" s="1"/>
  <c r="X1" i="18"/>
  <c r="I27" i="18"/>
  <c r="M18" i="7"/>
  <c r="Q5" i="16"/>
  <c r="O5" i="16"/>
  <c r="AH9" i="8"/>
  <c r="AH10" i="8"/>
  <c r="F9" i="18" l="1" a="1"/>
  <c r="F9" i="18" s="1"/>
  <c r="D13" i="1" a="1"/>
  <c r="D13" i="1" s="1"/>
  <c r="F6" i="18" a="1"/>
  <c r="F6" i="18" s="1"/>
  <c r="F3" i="18" a="1"/>
  <c r="F3" i="18" s="1"/>
  <c r="I3" i="18" s="1"/>
  <c r="F5" i="18" a="1"/>
  <c r="F5" i="18" s="1"/>
  <c r="I5" i="18" s="1"/>
  <c r="F4" i="18" a="1"/>
  <c r="F4" i="18" s="1"/>
  <c r="F7" i="18" a="1"/>
  <c r="F7" i="18" s="1"/>
  <c r="I7" i="18" s="1"/>
  <c r="F8" i="18" a="1"/>
  <c r="F8" i="18" s="1"/>
  <c r="I8" i="18" s="1"/>
  <c r="Y13" i="18"/>
  <c r="H30" i="1" a="1"/>
  <c r="H30" i="1" s="1"/>
  <c r="B54" i="6" a="1"/>
  <c r="B54" i="6" s="1"/>
  <c r="E11" i="1"/>
  <c r="D9" i="1" a="1"/>
  <c r="D9" i="1" s="1"/>
  <c r="I22" i="18"/>
  <c r="K30" i="18"/>
  <c r="G30" i="18"/>
  <c r="P30" i="18" s="1"/>
  <c r="Q30" i="18"/>
  <c r="C32" i="9"/>
  <c r="J30" i="18"/>
  <c r="I16" i="18"/>
  <c r="I15" i="18"/>
  <c r="I14" i="18"/>
  <c r="Q6" i="16"/>
  <c r="Q7" i="16" s="1"/>
  <c r="K23" i="18"/>
  <c r="I21" i="18"/>
  <c r="C33" i="9"/>
  <c r="J31" i="18"/>
  <c r="Q31" i="18"/>
  <c r="K31" i="18"/>
  <c r="G31" i="18"/>
  <c r="C48" i="9"/>
  <c r="K46" i="18"/>
  <c r="G46" i="18"/>
  <c r="Q46" i="18"/>
  <c r="J46" i="18"/>
  <c r="C30" i="9"/>
  <c r="K28" i="18"/>
  <c r="J28" i="18"/>
  <c r="Q28" i="18"/>
  <c r="G28" i="18"/>
  <c r="C37" i="9"/>
  <c r="G35" i="18"/>
  <c r="Q35" i="18"/>
  <c r="K35" i="18"/>
  <c r="J35" i="18"/>
  <c r="C54" i="9"/>
  <c r="K52" i="18"/>
  <c r="Q52" i="18"/>
  <c r="J52" i="18"/>
  <c r="G52" i="18"/>
  <c r="I13" i="18"/>
  <c r="I11" i="18"/>
  <c r="C51" i="9"/>
  <c r="G49" i="18"/>
  <c r="K49" i="18"/>
  <c r="J49" i="18"/>
  <c r="Q49" i="18"/>
  <c r="C34" i="9"/>
  <c r="K32" i="18"/>
  <c r="J32" i="18"/>
  <c r="G32" i="18"/>
  <c r="Q32" i="18"/>
  <c r="C41" i="9"/>
  <c r="G39" i="18"/>
  <c r="K39" i="18"/>
  <c r="J39" i="18"/>
  <c r="Q39" i="18"/>
  <c r="C44" i="9"/>
  <c r="Q42" i="18"/>
  <c r="K42" i="18"/>
  <c r="J42" i="18"/>
  <c r="G42" i="18"/>
  <c r="C47" i="9"/>
  <c r="J45" i="18"/>
  <c r="Q45" i="18"/>
  <c r="K45" i="18"/>
  <c r="G45" i="18"/>
  <c r="S3" i="8"/>
  <c r="S4" i="8" s="1"/>
  <c r="H4" i="11"/>
  <c r="D4" i="11"/>
  <c r="X3" i="18"/>
  <c r="D5" i="3"/>
  <c r="C38" i="9"/>
  <c r="Q36" i="18"/>
  <c r="K36" i="18"/>
  <c r="G36" i="18"/>
  <c r="J36" i="18"/>
  <c r="C45" i="9"/>
  <c r="J43" i="18"/>
  <c r="G43" i="18"/>
  <c r="Q43" i="18"/>
  <c r="K43" i="18"/>
  <c r="C52" i="9"/>
  <c r="Q50" i="18"/>
  <c r="K50" i="18"/>
  <c r="J50" i="18"/>
  <c r="G50" i="18"/>
  <c r="N5" i="9"/>
  <c r="U10" i="1"/>
  <c r="C36" i="9"/>
  <c r="J34" i="18"/>
  <c r="Q34" i="18"/>
  <c r="G34" i="18"/>
  <c r="K34" i="18"/>
  <c r="C43" i="9"/>
  <c r="G41" i="18"/>
  <c r="J41" i="18"/>
  <c r="Q41" i="18"/>
  <c r="K41" i="18"/>
  <c r="C29" i="9"/>
  <c r="K27" i="18"/>
  <c r="J27" i="18"/>
  <c r="Q27" i="18"/>
  <c r="C49" i="9"/>
  <c r="Q47" i="18"/>
  <c r="G47" i="18"/>
  <c r="J47" i="18"/>
  <c r="K47" i="18"/>
  <c r="C31" i="9"/>
  <c r="G29" i="18"/>
  <c r="K29" i="18"/>
  <c r="J29" i="18"/>
  <c r="Q29" i="18"/>
  <c r="C53" i="9"/>
  <c r="J51" i="18"/>
  <c r="G51" i="18"/>
  <c r="Q51" i="18"/>
  <c r="K51" i="18"/>
  <c r="C42" i="9"/>
  <c r="Q40" i="18"/>
  <c r="K40" i="18"/>
  <c r="J40" i="18"/>
  <c r="G40" i="18"/>
  <c r="C35" i="9"/>
  <c r="K33" i="18"/>
  <c r="Q33" i="18"/>
  <c r="G33" i="18"/>
  <c r="J33" i="18"/>
  <c r="C39" i="9"/>
  <c r="J37" i="18"/>
  <c r="G37" i="18"/>
  <c r="Q37" i="18"/>
  <c r="K37" i="18"/>
  <c r="C46" i="9"/>
  <c r="K44" i="18"/>
  <c r="Q44" i="18"/>
  <c r="J44" i="18"/>
  <c r="G44" i="18"/>
  <c r="C50" i="9"/>
  <c r="J48" i="18"/>
  <c r="Q48" i="18"/>
  <c r="G48" i="18"/>
  <c r="K48" i="18"/>
  <c r="O6" i="16"/>
  <c r="R5" i="16"/>
  <c r="C40" i="9"/>
  <c r="K38" i="18"/>
  <c r="G38" i="18"/>
  <c r="Q38" i="18"/>
  <c r="J38" i="18"/>
  <c r="D11" i="1" l="1"/>
  <c r="W10" i="1" a="1"/>
  <c r="W10" i="1" s="1"/>
  <c r="W9" i="1" s="1" a="1"/>
  <c r="W9" i="1" s="1"/>
  <c r="G53" i="9"/>
  <c r="L51" i="18" s="1"/>
  <c r="H53" i="9"/>
  <c r="N51" i="18" s="1"/>
  <c r="G54" i="9"/>
  <c r="L52" i="18" s="1"/>
  <c r="H54" i="9"/>
  <c r="N52" i="18" s="1"/>
  <c r="H49" i="9"/>
  <c r="N47" i="18" s="1"/>
  <c r="G49" i="9"/>
  <c r="L47" i="18" s="1"/>
  <c r="G34" i="9"/>
  <c r="L32" i="18" s="1"/>
  <c r="H34" i="9"/>
  <c r="N32" i="18" s="1"/>
  <c r="G30" i="9"/>
  <c r="L28" i="18" s="1"/>
  <c r="H30" i="9"/>
  <c r="G42" i="9"/>
  <c r="L40" i="18" s="1"/>
  <c r="H42" i="9"/>
  <c r="N40" i="18" s="1"/>
  <c r="G43" i="9"/>
  <c r="L41" i="18" s="1"/>
  <c r="H43" i="9"/>
  <c r="N41" i="18" s="1"/>
  <c r="H47" i="9"/>
  <c r="N45" i="18" s="1"/>
  <c r="G47" i="9"/>
  <c r="L45" i="18" s="1"/>
  <c r="G32" i="9"/>
  <c r="L30" i="18" s="1"/>
  <c r="H32" i="9"/>
  <c r="N30" i="18" s="1"/>
  <c r="H40" i="9"/>
  <c r="N38" i="18" s="1"/>
  <c r="G40" i="9"/>
  <c r="L38" i="18" s="1"/>
  <c r="H39" i="9"/>
  <c r="N37" i="18" s="1"/>
  <c r="G39" i="9"/>
  <c r="L37" i="18" s="1"/>
  <c r="H33" i="9"/>
  <c r="N31" i="18" s="1"/>
  <c r="G33" i="9"/>
  <c r="L31" i="18" s="1"/>
  <c r="G52" i="9"/>
  <c r="L50" i="18" s="1"/>
  <c r="H52" i="9"/>
  <c r="N50" i="18" s="1"/>
  <c r="G38" i="9"/>
  <c r="L36" i="18" s="1"/>
  <c r="H38" i="9"/>
  <c r="N36" i="18" s="1"/>
  <c r="H41" i="9"/>
  <c r="N39" i="18" s="1"/>
  <c r="G41" i="9"/>
  <c r="L39" i="18" s="1"/>
  <c r="G37" i="9"/>
  <c r="L35" i="18" s="1"/>
  <c r="H37" i="9"/>
  <c r="N35" i="18" s="1"/>
  <c r="G44" i="9"/>
  <c r="L42" i="18" s="1"/>
  <c r="H44" i="9"/>
  <c r="N42" i="18" s="1"/>
  <c r="G46" i="9"/>
  <c r="L44" i="18" s="1"/>
  <c r="H46" i="9"/>
  <c r="N44" i="18" s="1"/>
  <c r="G45" i="9"/>
  <c r="L43" i="18" s="1"/>
  <c r="H45" i="9"/>
  <c r="N43" i="18" s="1"/>
  <c r="H31" i="9"/>
  <c r="N29" i="18" s="1"/>
  <c r="G31" i="9"/>
  <c r="L29" i="18" s="1"/>
  <c r="G35" i="9"/>
  <c r="L33" i="18" s="1"/>
  <c r="H35" i="9"/>
  <c r="N33" i="18" s="1"/>
  <c r="G29" i="9"/>
  <c r="H29" i="9"/>
  <c r="G51" i="9"/>
  <c r="L49" i="18" s="1"/>
  <c r="H51" i="9"/>
  <c r="N49" i="18" s="1"/>
  <c r="G48" i="9"/>
  <c r="L46" i="18" s="1"/>
  <c r="H48" i="9"/>
  <c r="N46" i="18" s="1"/>
  <c r="G50" i="9"/>
  <c r="L48" i="18" s="1"/>
  <c r="H50" i="9"/>
  <c r="N48" i="18" s="1"/>
  <c r="G36" i="9"/>
  <c r="L34" i="18" s="1"/>
  <c r="H36" i="9"/>
  <c r="N34" i="18" s="1"/>
  <c r="M6" i="3" a="1"/>
  <c r="M6" i="3" s="1"/>
  <c r="M11" i="3" a="1"/>
  <c r="M11" i="3" s="1"/>
  <c r="M10" i="3" s="1" a="1"/>
  <c r="M10" i="3" s="1"/>
  <c r="U9" i="1"/>
  <c r="S7" i="1" s="1" a="1"/>
  <c r="S7" i="1" s="1"/>
  <c r="S6" i="1" a="1"/>
  <c r="S6" i="1" s="1"/>
  <c r="X5" i="18"/>
  <c r="X12" i="18"/>
  <c r="X11" i="18"/>
  <c r="X6" i="18"/>
  <c r="X7" i="18"/>
  <c r="R6" i="16"/>
  <c r="C24" i="9"/>
  <c r="E32" i="9"/>
  <c r="F36" i="8" s="1"/>
  <c r="K22" i="18"/>
  <c r="J22" i="18"/>
  <c r="I32" i="9"/>
  <c r="O30" i="18" s="1"/>
  <c r="K32" i="9"/>
  <c r="M30" i="18" s="1"/>
  <c r="Q22" i="18"/>
  <c r="D32" i="9"/>
  <c r="O33" i="1"/>
  <c r="W30" i="3" s="1"/>
  <c r="E30" i="12"/>
  <c r="U200" i="12" s="1"/>
  <c r="U11" i="1"/>
  <c r="C25" i="9"/>
  <c r="I23" i="18"/>
  <c r="K25" i="18"/>
  <c r="I25" i="18"/>
  <c r="C19" i="9"/>
  <c r="I17" i="18"/>
  <c r="C8" i="9"/>
  <c r="I6" i="18"/>
  <c r="C6" i="9"/>
  <c r="E6" i="9" s="1"/>
  <c r="F10" i="8" s="1"/>
  <c r="I4" i="18"/>
  <c r="C22" i="9"/>
  <c r="I20" i="18"/>
  <c r="K26" i="18"/>
  <c r="I26" i="18"/>
  <c r="K18" i="18"/>
  <c r="I18" i="18"/>
  <c r="J19" i="18"/>
  <c r="I19" i="18"/>
  <c r="J24" i="18"/>
  <c r="I24" i="18"/>
  <c r="Q12" i="18"/>
  <c r="I12" i="18"/>
  <c r="C12" i="9"/>
  <c r="I10" i="18"/>
  <c r="Q9" i="18"/>
  <c r="I9" i="18"/>
  <c r="Q3" i="18"/>
  <c r="J10" i="18"/>
  <c r="J14" i="18"/>
  <c r="K14" i="18"/>
  <c r="K9" i="18"/>
  <c r="C11" i="9"/>
  <c r="J23" i="18"/>
  <c r="Q10" i="18"/>
  <c r="Q23" i="18"/>
  <c r="K10" i="18"/>
  <c r="J25" i="18"/>
  <c r="C27" i="9"/>
  <c r="J9" i="18"/>
  <c r="Q25" i="18"/>
  <c r="J17" i="18"/>
  <c r="Q17" i="18"/>
  <c r="Q16" i="18"/>
  <c r="K17" i="18"/>
  <c r="J16" i="18"/>
  <c r="K16" i="18"/>
  <c r="C18" i="9"/>
  <c r="C16" i="9"/>
  <c r="Q15" i="18"/>
  <c r="K19" i="18"/>
  <c r="Q14" i="18"/>
  <c r="Q20" i="18"/>
  <c r="K24" i="18"/>
  <c r="C21" i="9"/>
  <c r="J18" i="18"/>
  <c r="C20" i="9"/>
  <c r="Q18" i="18"/>
  <c r="J3" i="18"/>
  <c r="Q19" i="18"/>
  <c r="J15" i="18"/>
  <c r="C17" i="9"/>
  <c r="K12" i="18"/>
  <c r="K15" i="18"/>
  <c r="K20" i="18"/>
  <c r="J21" i="18"/>
  <c r="J20" i="18"/>
  <c r="C7" i="9"/>
  <c r="E7" i="9" s="1"/>
  <c r="F11" i="8" s="1"/>
  <c r="K4" i="18"/>
  <c r="Q4" i="18"/>
  <c r="Q5" i="18"/>
  <c r="J4" i="18"/>
  <c r="Q8" i="16"/>
  <c r="Q9" i="16" s="1"/>
  <c r="R7" i="16"/>
  <c r="Q26" i="18"/>
  <c r="C14" i="9"/>
  <c r="C5" i="9"/>
  <c r="C26" i="9"/>
  <c r="J26" i="18"/>
  <c r="C28" i="9"/>
  <c r="K3" i="18"/>
  <c r="J12" i="18"/>
  <c r="Q24" i="18"/>
  <c r="J5" i="18"/>
  <c r="K5" i="18"/>
  <c r="K6" i="18"/>
  <c r="Q6" i="18"/>
  <c r="J6" i="18"/>
  <c r="K21" i="18"/>
  <c r="C23" i="9"/>
  <c r="Q21" i="18"/>
  <c r="E42" i="9"/>
  <c r="F46" i="8" s="1"/>
  <c r="D42" i="9"/>
  <c r="I42" i="9"/>
  <c r="O40" i="18" s="1"/>
  <c r="K42" i="9"/>
  <c r="M40" i="18" s="1"/>
  <c r="E38" i="12"/>
  <c r="U208" i="12" s="1"/>
  <c r="P38" i="18"/>
  <c r="O41" i="1"/>
  <c r="W38" i="3" s="1"/>
  <c r="E45" i="9"/>
  <c r="F49" i="8" s="1"/>
  <c r="K45" i="9"/>
  <c r="M43" i="18" s="1"/>
  <c r="I45" i="9"/>
  <c r="O43" i="18" s="1"/>
  <c r="D45" i="9"/>
  <c r="E36" i="12"/>
  <c r="U206" i="12" s="1"/>
  <c r="P36" i="18"/>
  <c r="O39" i="1"/>
  <c r="W36" i="3" s="1"/>
  <c r="D23" i="11"/>
  <c r="H23" i="11" s="1"/>
  <c r="E40" i="12"/>
  <c r="U210" i="12" s="1"/>
  <c r="P40" i="18"/>
  <c r="O43" i="1"/>
  <c r="W40" i="3" s="1"/>
  <c r="E29" i="12"/>
  <c r="U199" i="12" s="1"/>
  <c r="P29" i="18"/>
  <c r="O32" i="1"/>
  <c r="W29" i="3" s="1"/>
  <c r="E45" i="12"/>
  <c r="U215" i="12" s="1"/>
  <c r="O48" i="1"/>
  <c r="W45" i="3" s="1"/>
  <c r="P45" i="18"/>
  <c r="P51" i="18"/>
  <c r="E51" i="12"/>
  <c r="U221" i="12" s="1"/>
  <c r="O54" i="1"/>
  <c r="W51" i="3" s="1"/>
  <c r="K31" i="9"/>
  <c r="M29" i="18" s="1"/>
  <c r="I31" i="9"/>
  <c r="O29" i="18" s="1"/>
  <c r="E31" i="9"/>
  <c r="F35" i="8" s="1"/>
  <c r="D31" i="9"/>
  <c r="K40" i="9"/>
  <c r="M38" i="18" s="1"/>
  <c r="I40" i="9"/>
  <c r="O38" i="18" s="1"/>
  <c r="E40" i="9"/>
  <c r="F44" i="8" s="1"/>
  <c r="D40" i="9"/>
  <c r="K38" i="9"/>
  <c r="M36" i="18" s="1"/>
  <c r="I38" i="9"/>
  <c r="O36" i="18" s="1"/>
  <c r="E38" i="9"/>
  <c r="F42" i="8" s="1"/>
  <c r="D38" i="9"/>
  <c r="E39" i="12"/>
  <c r="U209" i="12" s="1"/>
  <c r="P39" i="18"/>
  <c r="O42" i="1"/>
  <c r="W39" i="3" s="1"/>
  <c r="P35" i="18"/>
  <c r="E35" i="12"/>
  <c r="U205" i="12" s="1"/>
  <c r="O38" i="1"/>
  <c r="W35" i="3" s="1"/>
  <c r="E35" i="9"/>
  <c r="F39" i="8" s="1"/>
  <c r="D35" i="9"/>
  <c r="K35" i="9"/>
  <c r="M33" i="18" s="1"/>
  <c r="I35" i="9"/>
  <c r="O33" i="18" s="1"/>
  <c r="P41" i="18"/>
  <c r="E41" i="12"/>
  <c r="U211" i="12" s="1"/>
  <c r="O44" i="1"/>
  <c r="W41" i="3" s="1"/>
  <c r="O7" i="16"/>
  <c r="E53" i="9"/>
  <c r="F57" i="8" s="1"/>
  <c r="I53" i="9"/>
  <c r="O51" i="18" s="1"/>
  <c r="D53" i="9"/>
  <c r="K53" i="9"/>
  <c r="M51" i="18" s="1"/>
  <c r="E29" i="9"/>
  <c r="F33" i="8" s="1"/>
  <c r="D29" i="9"/>
  <c r="D52" i="9"/>
  <c r="E52" i="9"/>
  <c r="F56" i="8" s="1"/>
  <c r="K52" i="9"/>
  <c r="M50" i="18" s="1"/>
  <c r="I52" i="9"/>
  <c r="O50" i="18" s="1"/>
  <c r="G58" i="8"/>
  <c r="H58" i="8" s="1"/>
  <c r="G56" i="8"/>
  <c r="H56" i="8" s="1"/>
  <c r="G54" i="8"/>
  <c r="H54" i="8" s="1"/>
  <c r="G52" i="8"/>
  <c r="H52" i="8" s="1"/>
  <c r="G50" i="8"/>
  <c r="H50" i="8" s="1"/>
  <c r="G48" i="8"/>
  <c r="H48" i="8" s="1"/>
  <c r="G46" i="8"/>
  <c r="H46" i="8" s="1"/>
  <c r="G44" i="8"/>
  <c r="H44" i="8" s="1"/>
  <c r="G42" i="8"/>
  <c r="H42" i="8" s="1"/>
  <c r="G57" i="8"/>
  <c r="H57" i="8" s="1"/>
  <c r="G55" i="8"/>
  <c r="H55" i="8" s="1"/>
  <c r="G53" i="8"/>
  <c r="H53" i="8" s="1"/>
  <c r="G51" i="8"/>
  <c r="H51" i="8" s="1"/>
  <c r="G49" i="8"/>
  <c r="H49" i="8" s="1"/>
  <c r="G47" i="8"/>
  <c r="H47" i="8" s="1"/>
  <c r="G45" i="8"/>
  <c r="H45" i="8" s="1"/>
  <c r="G43" i="8"/>
  <c r="H43" i="8" s="1"/>
  <c r="G41" i="8"/>
  <c r="H41" i="8" s="1"/>
  <c r="G39" i="8"/>
  <c r="H39" i="8" s="1"/>
  <c r="G35" i="8"/>
  <c r="H35" i="8" s="1"/>
  <c r="G31" i="8"/>
  <c r="H31" i="8" s="1"/>
  <c r="G27" i="8"/>
  <c r="H27" i="8" s="1"/>
  <c r="G23" i="8"/>
  <c r="H23" i="8" s="1"/>
  <c r="G36" i="8"/>
  <c r="H36" i="8" s="1"/>
  <c r="G32" i="8"/>
  <c r="H32" i="8" s="1"/>
  <c r="G28" i="8"/>
  <c r="H28" i="8" s="1"/>
  <c r="G24" i="8"/>
  <c r="H24" i="8" s="1"/>
  <c r="G40" i="8"/>
  <c r="H40" i="8" s="1"/>
  <c r="G37" i="8"/>
  <c r="H37" i="8" s="1"/>
  <c r="G33" i="8"/>
  <c r="H33" i="8" s="1"/>
  <c r="G29" i="8"/>
  <c r="H29" i="8" s="1"/>
  <c r="G25" i="8"/>
  <c r="H25" i="8" s="1"/>
  <c r="G38" i="8"/>
  <c r="H38" i="8" s="1"/>
  <c r="G34" i="8"/>
  <c r="H34" i="8" s="1"/>
  <c r="G30" i="8"/>
  <c r="H30" i="8" s="1"/>
  <c r="G26" i="8"/>
  <c r="H26" i="8" s="1"/>
  <c r="C4" i="8"/>
  <c r="B9" i="8" s="1"/>
  <c r="C9" i="8" s="1"/>
  <c r="G22" i="8"/>
  <c r="H22" i="8" s="1"/>
  <c r="D7" i="3"/>
  <c r="M16" i="3" s="1"/>
  <c r="E32" i="12"/>
  <c r="U202" i="12" s="1"/>
  <c r="P32" i="18"/>
  <c r="O35" i="1"/>
  <c r="W32" i="3" s="1"/>
  <c r="E52" i="12"/>
  <c r="U222" i="12" s="1"/>
  <c r="P52" i="18"/>
  <c r="O55" i="1"/>
  <c r="W52" i="3" s="1"/>
  <c r="K46" i="9"/>
  <c r="M44" i="18" s="1"/>
  <c r="E46" i="9"/>
  <c r="F50" i="8" s="1"/>
  <c r="D46" i="9"/>
  <c r="I46" i="9"/>
  <c r="O44" i="18" s="1"/>
  <c r="E33" i="12"/>
  <c r="U203" i="12" s="1"/>
  <c r="P33" i="18"/>
  <c r="O36" i="1"/>
  <c r="W33" i="3" s="1"/>
  <c r="E47" i="12"/>
  <c r="U217" i="12" s="1"/>
  <c r="P47" i="18"/>
  <c r="O50" i="1"/>
  <c r="W47" i="3" s="1"/>
  <c r="E34" i="12"/>
  <c r="U204" i="12" s="1"/>
  <c r="P34" i="18"/>
  <c r="O37" i="1"/>
  <c r="W34" i="3" s="1"/>
  <c r="N4" i="9"/>
  <c r="R5" i="9" s="1"/>
  <c r="C53" i="12"/>
  <c r="C45" i="12"/>
  <c r="C37" i="12"/>
  <c r="C29" i="12"/>
  <c r="V205" i="12"/>
  <c r="AD205" i="12" s="1"/>
  <c r="V189" i="12"/>
  <c r="AD189" i="12" s="1"/>
  <c r="V215" i="12"/>
  <c r="AD215" i="12" s="1"/>
  <c r="V199" i="12"/>
  <c r="AD199" i="12" s="1"/>
  <c r="V181" i="12"/>
  <c r="AD181" i="12" s="1"/>
  <c r="C47" i="12"/>
  <c r="C39" i="12"/>
  <c r="C31" i="12"/>
  <c r="V203" i="12"/>
  <c r="AD203" i="12" s="1"/>
  <c r="V187" i="12"/>
  <c r="AD187" i="12" s="1"/>
  <c r="C49" i="12"/>
  <c r="C41" i="12"/>
  <c r="C33" i="12"/>
  <c r="V179" i="12"/>
  <c r="AD179" i="12" s="1"/>
  <c r="C46" i="12"/>
  <c r="C38" i="12"/>
  <c r="C30" i="12"/>
  <c r="C51" i="12"/>
  <c r="C43" i="12"/>
  <c r="C35" i="12"/>
  <c r="V221" i="12"/>
  <c r="AD221" i="12" s="1"/>
  <c r="C40" i="12"/>
  <c r="C32" i="12"/>
  <c r="V223" i="12"/>
  <c r="AD223" i="12" s="1"/>
  <c r="V177" i="12"/>
  <c r="AD177" i="12" s="1"/>
  <c r="C44" i="12"/>
  <c r="V173" i="12"/>
  <c r="AD173" i="12" s="1"/>
  <c r="C50" i="12"/>
  <c r="C36" i="12"/>
  <c r="V219" i="12"/>
  <c r="AD219" i="12" s="1"/>
  <c r="C42" i="12"/>
  <c r="C48" i="12"/>
  <c r="C34" i="12"/>
  <c r="C52" i="12"/>
  <c r="F10" i="3"/>
  <c r="V209" i="12"/>
  <c r="AD209" i="12" s="1"/>
  <c r="V193" i="12"/>
  <c r="AD193" i="12" s="1"/>
  <c r="V195" i="12"/>
  <c r="AD195" i="12" s="1"/>
  <c r="V204" i="12"/>
  <c r="AD204" i="12" s="1"/>
  <c r="V206" i="12"/>
  <c r="AD206" i="12" s="1"/>
  <c r="V178" i="12"/>
  <c r="AD178" i="12" s="1"/>
  <c r="V188" i="12"/>
  <c r="AD188" i="12" s="1"/>
  <c r="V197" i="12"/>
  <c r="AD197" i="12" s="1"/>
  <c r="V184" i="12"/>
  <c r="AD184" i="12" s="1"/>
  <c r="V182" i="12"/>
  <c r="AD182" i="12" s="1"/>
  <c r="V185" i="12"/>
  <c r="AD185" i="12" s="1"/>
  <c r="V201" i="12"/>
  <c r="AD201" i="12" s="1"/>
  <c r="V222" i="12"/>
  <c r="AD222" i="12" s="1"/>
  <c r="V175" i="12"/>
  <c r="AD175" i="12" s="1"/>
  <c r="V194" i="12"/>
  <c r="AD194" i="12" s="1"/>
  <c r="V186" i="12"/>
  <c r="AD186" i="12" s="1"/>
  <c r="V198" i="12"/>
  <c r="AD198" i="12" s="1"/>
  <c r="V218" i="12"/>
  <c r="AD218" i="12" s="1"/>
  <c r="V190" i="12"/>
  <c r="AD190" i="12" s="1"/>
  <c r="V208" i="12"/>
  <c r="AD208" i="12" s="1"/>
  <c r="V196" i="12"/>
  <c r="AD196" i="12" s="1"/>
  <c r="V174" i="12"/>
  <c r="AD174" i="12" s="1"/>
  <c r="V202" i="12"/>
  <c r="AD202" i="12" s="1"/>
  <c r="V211" i="12"/>
  <c r="AD211" i="12" s="1"/>
  <c r="V212" i="12"/>
  <c r="AD212" i="12" s="1"/>
  <c r="V213" i="12"/>
  <c r="AD213" i="12" s="1"/>
  <c r="V180" i="12"/>
  <c r="AD180" i="12" s="1"/>
  <c r="V207" i="12"/>
  <c r="AD207" i="12" s="1"/>
  <c r="V200" i="12"/>
  <c r="AD200" i="12" s="1"/>
  <c r="V176" i="12"/>
  <c r="AD176" i="12" s="1"/>
  <c r="V210" i="12"/>
  <c r="AD210" i="12" s="1"/>
  <c r="V217" i="12"/>
  <c r="AD217" i="12" s="1"/>
  <c r="V220" i="12"/>
  <c r="AD220" i="12" s="1"/>
  <c r="V216" i="12"/>
  <c r="AD216" i="12" s="1"/>
  <c r="V191" i="12"/>
  <c r="AD191" i="12" s="1"/>
  <c r="V183" i="12"/>
  <c r="AD183" i="12" s="1"/>
  <c r="V192" i="12"/>
  <c r="AD192" i="12" s="1"/>
  <c r="V214" i="12"/>
  <c r="AD214" i="12" s="1"/>
  <c r="E44" i="9"/>
  <c r="F48" i="8" s="1"/>
  <c r="I44" i="9"/>
  <c r="O42" i="18" s="1"/>
  <c r="D44" i="9"/>
  <c r="K44" i="9"/>
  <c r="M42" i="18" s="1"/>
  <c r="D33" i="9"/>
  <c r="E33" i="9"/>
  <c r="F37" i="8" s="1"/>
  <c r="K33" i="9"/>
  <c r="M31" i="18" s="1"/>
  <c r="I33" i="9"/>
  <c r="O31" i="18" s="1"/>
  <c r="K50" i="9"/>
  <c r="M48" i="18" s="1"/>
  <c r="I50" i="9"/>
  <c r="O48" i="18" s="1"/>
  <c r="E50" i="9"/>
  <c r="F54" i="8" s="1"/>
  <c r="D50" i="9"/>
  <c r="E50" i="12"/>
  <c r="U220" i="12" s="1"/>
  <c r="P50" i="18"/>
  <c r="O53" i="1"/>
  <c r="W50" i="3" s="1"/>
  <c r="E34" i="9"/>
  <c r="F38" i="8" s="1"/>
  <c r="D34" i="9"/>
  <c r="K34" i="9"/>
  <c r="M32" i="18" s="1"/>
  <c r="I34" i="9"/>
  <c r="O32" i="18" s="1"/>
  <c r="I37" i="9"/>
  <c r="O35" i="18" s="1"/>
  <c r="D37" i="9"/>
  <c r="K37" i="9"/>
  <c r="M35" i="18" s="1"/>
  <c r="E37" i="9"/>
  <c r="F41" i="8" s="1"/>
  <c r="P46" i="18"/>
  <c r="E46" i="12"/>
  <c r="U216" i="12" s="1"/>
  <c r="O49" i="1"/>
  <c r="W46" i="3" s="1"/>
  <c r="O47" i="1"/>
  <c r="W44" i="3" s="1"/>
  <c r="E44" i="12"/>
  <c r="U214" i="12" s="1"/>
  <c r="P44" i="18"/>
  <c r="E37" i="12"/>
  <c r="U207" i="12" s="1"/>
  <c r="P37" i="18"/>
  <c r="O40" i="1"/>
  <c r="W37" i="3" s="1"/>
  <c r="K49" i="9"/>
  <c r="M47" i="18" s="1"/>
  <c r="I49" i="9"/>
  <c r="O47" i="18" s="1"/>
  <c r="D49" i="9"/>
  <c r="E49" i="9"/>
  <c r="F53" i="8" s="1"/>
  <c r="P43" i="18"/>
  <c r="E43" i="12"/>
  <c r="U213" i="12" s="1"/>
  <c r="O46" i="1"/>
  <c r="W43" i="3" s="1"/>
  <c r="E42" i="12"/>
  <c r="U212" i="12" s="1"/>
  <c r="P42" i="18"/>
  <c r="O45" i="1"/>
  <c r="W42" i="3" s="1"/>
  <c r="C10" i="9"/>
  <c r="J8" i="18"/>
  <c r="Q8" i="18"/>
  <c r="K8" i="18"/>
  <c r="K30" i="9"/>
  <c r="M28" i="18" s="1"/>
  <c r="I30" i="9"/>
  <c r="O28" i="18" s="1"/>
  <c r="N28" i="18"/>
  <c r="E30" i="9"/>
  <c r="F34" i="8" s="1"/>
  <c r="D30" i="9"/>
  <c r="E31" i="12"/>
  <c r="U201" i="12" s="1"/>
  <c r="O34" i="1"/>
  <c r="W31" i="3" s="1"/>
  <c r="P31" i="18"/>
  <c r="E36" i="9"/>
  <c r="F40" i="8" s="1"/>
  <c r="K36" i="9"/>
  <c r="M34" i="18" s="1"/>
  <c r="I36" i="9"/>
  <c r="O34" i="18" s="1"/>
  <c r="D36" i="9"/>
  <c r="P49" i="18"/>
  <c r="E49" i="12"/>
  <c r="U219" i="12" s="1"/>
  <c r="O52" i="1"/>
  <c r="W49" i="3" s="1"/>
  <c r="C9" i="9"/>
  <c r="K7" i="18"/>
  <c r="J7" i="18"/>
  <c r="Q7" i="18"/>
  <c r="K54" i="9"/>
  <c r="M52" i="18" s="1"/>
  <c r="I54" i="9"/>
  <c r="O52" i="18" s="1"/>
  <c r="E54" i="9"/>
  <c r="F58" i="8" s="1"/>
  <c r="D54" i="9"/>
  <c r="I48" i="9"/>
  <c r="O46" i="18" s="1"/>
  <c r="E48" i="9"/>
  <c r="F52" i="8" s="1"/>
  <c r="D48" i="9"/>
  <c r="K48" i="9"/>
  <c r="M46" i="18" s="1"/>
  <c r="D51" i="9"/>
  <c r="K51" i="9"/>
  <c r="M49" i="18" s="1"/>
  <c r="I51" i="9"/>
  <c r="O49" i="18" s="1"/>
  <c r="E51" i="9"/>
  <c r="F55" i="8" s="1"/>
  <c r="C13" i="9"/>
  <c r="Q11" i="18"/>
  <c r="J11" i="18"/>
  <c r="K11" i="18"/>
  <c r="E48" i="12"/>
  <c r="U218" i="12" s="1"/>
  <c r="P48" i="18"/>
  <c r="O51" i="1"/>
  <c r="W48" i="3" s="1"/>
  <c r="K39" i="9"/>
  <c r="M37" i="18" s="1"/>
  <c r="I39" i="9"/>
  <c r="O37" i="18" s="1"/>
  <c r="D39" i="9"/>
  <c r="E39" i="9"/>
  <c r="F43" i="8" s="1"/>
  <c r="E43" i="9"/>
  <c r="F47" i="8" s="1"/>
  <c r="D43" i="9"/>
  <c r="K43" i="9"/>
  <c r="M41" i="18" s="1"/>
  <c r="I43" i="9"/>
  <c r="O41" i="18" s="1"/>
  <c r="D47" i="9"/>
  <c r="K47" i="9"/>
  <c r="M45" i="18" s="1"/>
  <c r="I47" i="9"/>
  <c r="O45" i="18" s="1"/>
  <c r="E47" i="9"/>
  <c r="F51" i="8" s="1"/>
  <c r="D41" i="9"/>
  <c r="K41" i="9"/>
  <c r="M39" i="18" s="1"/>
  <c r="I41" i="9"/>
  <c r="O39" i="18" s="1"/>
  <c r="E41" i="9"/>
  <c r="F45" i="8" s="1"/>
  <c r="C15" i="9"/>
  <c r="K13" i="18"/>
  <c r="J13" i="18"/>
  <c r="Q13" i="18"/>
  <c r="E28" i="12"/>
  <c r="U198" i="12" s="1"/>
  <c r="P28" i="18"/>
  <c r="O31" i="1"/>
  <c r="W28" i="3" s="1"/>
  <c r="H17" i="9" l="1"/>
  <c r="N15" i="18" s="1"/>
  <c r="G17" i="9"/>
  <c r="L15" i="18" s="1"/>
  <c r="E19" i="9"/>
  <c r="F23" i="8" s="1"/>
  <c r="G19" i="9"/>
  <c r="H19" i="9"/>
  <c r="G14" i="9"/>
  <c r="H14" i="9"/>
  <c r="E22" i="9"/>
  <c r="F26" i="8" s="1"/>
  <c r="G22" i="9"/>
  <c r="L20" i="18" s="1"/>
  <c r="H22" i="9"/>
  <c r="N20" i="18" s="1"/>
  <c r="G13" i="9"/>
  <c r="H13" i="9"/>
  <c r="E26" i="9"/>
  <c r="F30" i="8" s="1"/>
  <c r="G26" i="9"/>
  <c r="L24" i="18" s="1"/>
  <c r="H26" i="9"/>
  <c r="N24" i="18" s="1"/>
  <c r="G10" i="9"/>
  <c r="H10" i="9"/>
  <c r="G9" i="9"/>
  <c r="H9" i="9"/>
  <c r="H23" i="9"/>
  <c r="N21" i="18" s="1"/>
  <c r="G23" i="9"/>
  <c r="L21" i="18" s="1"/>
  <c r="E25" i="9"/>
  <c r="F29" i="8" s="1"/>
  <c r="H25" i="9"/>
  <c r="N23" i="18" s="1"/>
  <c r="G25" i="9"/>
  <c r="L23" i="18" s="1"/>
  <c r="G20" i="9"/>
  <c r="L18" i="18" s="1"/>
  <c r="H20" i="9"/>
  <c r="N18" i="18" s="1"/>
  <c r="H16" i="9"/>
  <c r="N14" i="18" s="1"/>
  <c r="G16" i="9"/>
  <c r="L14" i="18" s="1"/>
  <c r="G28" i="9"/>
  <c r="L26" i="18" s="1"/>
  <c r="H28" i="9"/>
  <c r="N26" i="18" s="1"/>
  <c r="E18" i="9"/>
  <c r="F22" i="8" s="1"/>
  <c r="G18" i="9"/>
  <c r="H18" i="9"/>
  <c r="G12" i="9"/>
  <c r="H12" i="9"/>
  <c r="E8" i="9"/>
  <c r="F12" i="8" s="1"/>
  <c r="H8" i="9"/>
  <c r="G8" i="9"/>
  <c r="H15" i="9"/>
  <c r="G15" i="9"/>
  <c r="D21" i="9"/>
  <c r="G21" i="9"/>
  <c r="H21" i="9"/>
  <c r="E27" i="9"/>
  <c r="F31" i="8" s="1"/>
  <c r="G27" i="9"/>
  <c r="L25" i="18" s="1"/>
  <c r="H27" i="9"/>
  <c r="N25" i="18" s="1"/>
  <c r="E24" i="9"/>
  <c r="F28" i="8" s="1"/>
  <c r="H24" i="9"/>
  <c r="N22" i="18" s="1"/>
  <c r="G24" i="9"/>
  <c r="L22" i="18" s="1"/>
  <c r="G11" i="9"/>
  <c r="H11" i="9"/>
  <c r="T14" i="1" a="1"/>
  <c r="T14" i="1" s="1"/>
  <c r="T17" i="1" a="1"/>
  <c r="T17" i="1" s="1"/>
  <c r="S17" i="1" a="1"/>
  <c r="S17" i="1" s="1"/>
  <c r="T13" i="1" a="1"/>
  <c r="T13" i="1" s="1"/>
  <c r="T12" i="1" a="1"/>
  <c r="T12" i="1" s="1"/>
  <c r="K24" i="9"/>
  <c r="M22" i="18" s="1"/>
  <c r="D11" i="9"/>
  <c r="X15" i="18"/>
  <c r="X14" i="18"/>
  <c r="D24" i="9"/>
  <c r="D25" i="9"/>
  <c r="D6" i="9"/>
  <c r="K25" i="9"/>
  <c r="M23" i="18" s="1"/>
  <c r="K22" i="9"/>
  <c r="M20" i="18" s="1"/>
  <c r="D19" i="9"/>
  <c r="D22" i="9"/>
  <c r="E12" i="9"/>
  <c r="F16" i="8" s="1"/>
  <c r="D12" i="9"/>
  <c r="D14" i="9"/>
  <c r="D8" i="9"/>
  <c r="D7" i="9"/>
  <c r="E5" i="9"/>
  <c r="F9" i="8" s="1"/>
  <c r="D5" i="9"/>
  <c r="E11" i="9"/>
  <c r="F15" i="8" s="1"/>
  <c r="U3" i="8"/>
  <c r="K16" i="9"/>
  <c r="M14" i="18" s="1"/>
  <c r="K23" i="9"/>
  <c r="M21" i="18" s="1"/>
  <c r="I24" i="9"/>
  <c r="O22" i="18" s="1"/>
  <c r="E14" i="9"/>
  <c r="F18" i="8" s="1"/>
  <c r="D20" i="9"/>
  <c r="K20" i="9"/>
  <c r="M18" i="18" s="1"/>
  <c r="E20" i="9"/>
  <c r="F24" i="8" s="1"/>
  <c r="D27" i="9"/>
  <c r="K27" i="9"/>
  <c r="M25" i="18" s="1"/>
  <c r="D16" i="9"/>
  <c r="D18" i="9"/>
  <c r="E16" i="9"/>
  <c r="F20" i="8" s="1"/>
  <c r="D23" i="9"/>
  <c r="K17" i="9"/>
  <c r="M15" i="18" s="1"/>
  <c r="D17" i="9"/>
  <c r="E21" i="9"/>
  <c r="F25" i="8" s="1"/>
  <c r="E17" i="9"/>
  <c r="F21" i="8" s="1"/>
  <c r="E23" i="9"/>
  <c r="F27" i="8" s="1"/>
  <c r="E28" i="9"/>
  <c r="F32" i="8" s="1"/>
  <c r="D28" i="9"/>
  <c r="K28" i="9"/>
  <c r="M26" i="18" s="1"/>
  <c r="R8" i="16"/>
  <c r="Q10" i="16"/>
  <c r="Q11" i="16" s="1"/>
  <c r="R9" i="16"/>
  <c r="K26" i="9"/>
  <c r="M24" i="18" s="1"/>
  <c r="D26" i="9"/>
  <c r="I22" i="9"/>
  <c r="O20" i="18" s="1"/>
  <c r="I23" i="9"/>
  <c r="O21" i="18" s="1"/>
  <c r="N7" i="9"/>
  <c r="I20" i="9"/>
  <c r="O18" i="18" s="1"/>
  <c r="I16" i="9"/>
  <c r="O14" i="18" s="1"/>
  <c r="I17" i="9"/>
  <c r="O15" i="18" s="1"/>
  <c r="I25" i="9"/>
  <c r="O23" i="18" s="1"/>
  <c r="Q5" i="9"/>
  <c r="Q6" i="9" s="1"/>
  <c r="W178" i="12"/>
  <c r="X178" i="12"/>
  <c r="Y178" i="12" s="1"/>
  <c r="D34" i="12"/>
  <c r="S204" i="12" s="1"/>
  <c r="R204" i="12"/>
  <c r="R201" i="12"/>
  <c r="D31" i="12"/>
  <c r="S201" i="12" s="1"/>
  <c r="X191" i="12"/>
  <c r="Y191" i="12" s="1"/>
  <c r="W191" i="12"/>
  <c r="X208" i="12"/>
  <c r="Y208" i="12" s="1"/>
  <c r="W208" i="12"/>
  <c r="X201" i="12"/>
  <c r="Y201" i="12" s="1"/>
  <c r="W201" i="12"/>
  <c r="X204" i="12"/>
  <c r="Y204" i="12" s="1"/>
  <c r="W204" i="12"/>
  <c r="R218" i="12"/>
  <c r="D48" i="12"/>
  <c r="S218" i="12" s="1"/>
  <c r="D44" i="12"/>
  <c r="S214" i="12" s="1"/>
  <c r="R214" i="12"/>
  <c r="R210" i="12"/>
  <c r="D40" i="12"/>
  <c r="S210" i="12" s="1"/>
  <c r="R203" i="12"/>
  <c r="D33" i="12"/>
  <c r="S203" i="12" s="1"/>
  <c r="X192" i="12"/>
  <c r="Y192" i="12" s="1"/>
  <c r="W192" i="12"/>
  <c r="R202" i="12"/>
  <c r="D32" i="12"/>
  <c r="S202" i="12" s="1"/>
  <c r="E15" i="9"/>
  <c r="F19" i="8" s="1"/>
  <c r="D15" i="9"/>
  <c r="E10" i="9"/>
  <c r="F14" i="8" s="1"/>
  <c r="D10" i="9"/>
  <c r="R217" i="12"/>
  <c r="D47" i="12"/>
  <c r="S217" i="12" s="1"/>
  <c r="R199" i="12"/>
  <c r="D29" i="12"/>
  <c r="S199" i="12" s="1"/>
  <c r="X174" i="12"/>
  <c r="Y174" i="12" s="1"/>
  <c r="W174" i="12"/>
  <c r="D13" i="9"/>
  <c r="E13" i="9"/>
  <c r="F17" i="8" s="1"/>
  <c r="W220" i="12"/>
  <c r="X220" i="12"/>
  <c r="Y220" i="12" s="1"/>
  <c r="X213" i="12"/>
  <c r="Y213" i="12" s="1"/>
  <c r="W213" i="12"/>
  <c r="W218" i="12"/>
  <c r="X218" i="12"/>
  <c r="Y218" i="12" s="1"/>
  <c r="X182" i="12"/>
  <c r="Y182" i="12" s="1"/>
  <c r="W182" i="12"/>
  <c r="X193" i="12"/>
  <c r="Y193" i="12" s="1"/>
  <c r="W193" i="12"/>
  <c r="W177" i="12"/>
  <c r="X177" i="12"/>
  <c r="Y177" i="12" s="1"/>
  <c r="R219" i="12"/>
  <c r="D49" i="12"/>
  <c r="S219" i="12" s="1"/>
  <c r="W181" i="12"/>
  <c r="X181" i="12"/>
  <c r="Y181" i="12" s="1"/>
  <c r="W175" i="12"/>
  <c r="X175" i="12"/>
  <c r="Y175" i="12" s="1"/>
  <c r="E9" i="9"/>
  <c r="F13" i="8" s="1"/>
  <c r="D9" i="9"/>
  <c r="N8" i="9"/>
  <c r="N9" i="9"/>
  <c r="X217" i="12"/>
  <c r="Y217" i="12" s="1"/>
  <c r="W217" i="12"/>
  <c r="X212" i="12"/>
  <c r="Y212" i="12" s="1"/>
  <c r="W212" i="12"/>
  <c r="W198" i="12"/>
  <c r="X198" i="12"/>
  <c r="Y198" i="12" s="1"/>
  <c r="X184" i="12"/>
  <c r="Y184" i="12" s="1"/>
  <c r="W184" i="12"/>
  <c r="X209" i="12"/>
  <c r="Y209" i="12" s="1"/>
  <c r="W209" i="12"/>
  <c r="X219" i="12"/>
  <c r="Y219" i="12" s="1"/>
  <c r="W219" i="12"/>
  <c r="R208" i="12"/>
  <c r="D38" i="12"/>
  <c r="S208" i="12" s="1"/>
  <c r="X187" i="12"/>
  <c r="Y187" i="12" s="1"/>
  <c r="W187" i="12"/>
  <c r="R6" i="9"/>
  <c r="X200" i="12"/>
  <c r="Y200" i="12" s="1"/>
  <c r="W200" i="12"/>
  <c r="R216" i="12"/>
  <c r="D46" i="12"/>
  <c r="S216" i="12" s="1"/>
  <c r="R223" i="12"/>
  <c r="D53" i="12"/>
  <c r="S223" i="12" s="1"/>
  <c r="D50" i="12"/>
  <c r="S220" i="12" s="1"/>
  <c r="R220" i="12"/>
  <c r="R205" i="12"/>
  <c r="D35" i="12"/>
  <c r="S205" i="12" s="1"/>
  <c r="X189" i="12"/>
  <c r="Y189" i="12" s="1"/>
  <c r="W189" i="12"/>
  <c r="W183" i="12"/>
  <c r="X183" i="12"/>
  <c r="Y183" i="12" s="1"/>
  <c r="X207" i="12"/>
  <c r="Y207" i="12" s="1"/>
  <c r="W207" i="12"/>
  <c r="X196" i="12"/>
  <c r="Y196" i="12" s="1"/>
  <c r="W196" i="12"/>
  <c r="W222" i="12"/>
  <c r="X222" i="12"/>
  <c r="Y222" i="12" s="1"/>
  <c r="W206" i="12"/>
  <c r="X206" i="12"/>
  <c r="Y206" i="12" s="1"/>
  <c r="R222" i="12"/>
  <c r="D52" i="12"/>
  <c r="S222" i="12" s="1"/>
  <c r="D36" i="12"/>
  <c r="S206" i="12" s="1"/>
  <c r="R206" i="12"/>
  <c r="X223" i="12"/>
  <c r="Y223" i="12" s="1"/>
  <c r="W223" i="12"/>
  <c r="X221" i="12"/>
  <c r="Y221" i="12" s="1"/>
  <c r="W221" i="12"/>
  <c r="X205" i="12"/>
  <c r="Y205" i="12" s="1"/>
  <c r="W205" i="12"/>
  <c r="N6" i="9"/>
  <c r="X216" i="12"/>
  <c r="Y216" i="12" s="1"/>
  <c r="W216" i="12"/>
  <c r="X180" i="12"/>
  <c r="Y180" i="12" s="1"/>
  <c r="W180" i="12"/>
  <c r="W190" i="12"/>
  <c r="X190" i="12"/>
  <c r="Y190" i="12" s="1"/>
  <c r="W185" i="12"/>
  <c r="X185" i="12"/>
  <c r="Y185" i="12" s="1"/>
  <c r="X195" i="12"/>
  <c r="Y195" i="12" s="1"/>
  <c r="W195" i="12"/>
  <c r="X173" i="12"/>
  <c r="Y173" i="12" s="1"/>
  <c r="W173" i="12"/>
  <c r="R200" i="12"/>
  <c r="D30" i="12"/>
  <c r="S200" i="12" s="1"/>
  <c r="R211" i="12"/>
  <c r="D41" i="12"/>
  <c r="S211" i="12" s="1"/>
  <c r="R209" i="12"/>
  <c r="D39" i="12"/>
  <c r="S209" i="12" s="1"/>
  <c r="X210" i="12"/>
  <c r="Y210" i="12" s="1"/>
  <c r="W210" i="12"/>
  <c r="X211" i="12"/>
  <c r="Y211" i="12" s="1"/>
  <c r="W211" i="12"/>
  <c r="X186" i="12"/>
  <c r="Y186" i="12" s="1"/>
  <c r="W186" i="12"/>
  <c r="X197" i="12"/>
  <c r="Y197" i="12" s="1"/>
  <c r="W197" i="12"/>
  <c r="R213" i="12"/>
  <c r="D43" i="12"/>
  <c r="S213" i="12" s="1"/>
  <c r="W179" i="12"/>
  <c r="X179" i="12"/>
  <c r="Y179" i="12" s="1"/>
  <c r="X203" i="12"/>
  <c r="Y203" i="12" s="1"/>
  <c r="W203" i="12"/>
  <c r="X199" i="12"/>
  <c r="Y199" i="12" s="1"/>
  <c r="W199" i="12"/>
  <c r="R207" i="12"/>
  <c r="D37" i="12"/>
  <c r="S207" i="12" s="1"/>
  <c r="B10" i="8"/>
  <c r="O8" i="16"/>
  <c r="W214" i="12"/>
  <c r="X214" i="12"/>
  <c r="Y214" i="12" s="1"/>
  <c r="X176" i="12"/>
  <c r="Y176" i="12" s="1"/>
  <c r="W176" i="12"/>
  <c r="X202" i="12"/>
  <c r="Y202" i="12" s="1"/>
  <c r="W202" i="12"/>
  <c r="X194" i="12"/>
  <c r="Y194" i="12" s="1"/>
  <c r="W194" i="12"/>
  <c r="X188" i="12"/>
  <c r="Y188" i="12" s="1"/>
  <c r="W188" i="12"/>
  <c r="D42" i="12"/>
  <c r="S212" i="12" s="1"/>
  <c r="R212" i="12"/>
  <c r="R221" i="12"/>
  <c r="D51" i="12"/>
  <c r="S221" i="12" s="1"/>
  <c r="X215" i="12"/>
  <c r="Y215" i="12" s="1"/>
  <c r="W215" i="12"/>
  <c r="R215" i="12"/>
  <c r="D45" i="12"/>
  <c r="S215" i="12" s="1"/>
  <c r="G21" i="8" l="1"/>
  <c r="H21" i="8" s="1"/>
  <c r="Q3" i="9"/>
  <c r="Q7" i="9" s="1"/>
  <c r="Q8" i="9" s="1"/>
  <c r="Q10" i="9" s="1"/>
  <c r="H5" i="9" s="1"/>
  <c r="I27" i="9"/>
  <c r="O25" i="18" s="1"/>
  <c r="R10" i="16"/>
  <c r="Q12" i="16"/>
  <c r="Q13" i="16" s="1"/>
  <c r="I28" i="9"/>
  <c r="O26" i="18" s="1"/>
  <c r="R11" i="16"/>
  <c r="I26" i="9"/>
  <c r="O24" i="18" s="1"/>
  <c r="G19" i="8"/>
  <c r="H19" i="8" s="1"/>
  <c r="G18" i="8"/>
  <c r="H18" i="8" s="1"/>
  <c r="G20" i="8"/>
  <c r="H20" i="8" s="1"/>
  <c r="G17" i="8"/>
  <c r="H17" i="8" s="1"/>
  <c r="G16" i="8"/>
  <c r="H16" i="8" s="1"/>
  <c r="Z215" i="12"/>
  <c r="T215" i="12"/>
  <c r="AA215" i="12"/>
  <c r="AA221" i="12"/>
  <c r="Z221" i="12"/>
  <c r="T221" i="12"/>
  <c r="F3" i="8"/>
  <c r="F4" i="8"/>
  <c r="C3" i="8" s="1"/>
  <c r="G10" i="8"/>
  <c r="H10" i="8" s="1"/>
  <c r="G15" i="8"/>
  <c r="H15" i="8" s="1"/>
  <c r="G9" i="8"/>
  <c r="H9" i="8" s="1"/>
  <c r="G11" i="8"/>
  <c r="H11" i="8" s="1"/>
  <c r="G12" i="8"/>
  <c r="H12" i="8" s="1"/>
  <c r="G13" i="8"/>
  <c r="G14" i="8"/>
  <c r="H14" i="8" s="1"/>
  <c r="AA219" i="12"/>
  <c r="Z219" i="12"/>
  <c r="T219" i="12"/>
  <c r="T212" i="12"/>
  <c r="Z212" i="12"/>
  <c r="AA212" i="12"/>
  <c r="Z205" i="12"/>
  <c r="AA205" i="12"/>
  <c r="T205" i="12"/>
  <c r="AA223" i="12"/>
  <c r="Z223" i="12"/>
  <c r="T223" i="12"/>
  <c r="Z209" i="12"/>
  <c r="AA209" i="12"/>
  <c r="T209" i="12"/>
  <c r="T206" i="12"/>
  <c r="AA206" i="12"/>
  <c r="Z206" i="12"/>
  <c r="Z199" i="12"/>
  <c r="T199" i="12"/>
  <c r="AA199" i="12"/>
  <c r="T218" i="12"/>
  <c r="AA218" i="12"/>
  <c r="Z218" i="12"/>
  <c r="C10" i="8"/>
  <c r="B11" i="8"/>
  <c r="T216" i="12"/>
  <c r="AA216" i="12"/>
  <c r="Z216" i="12"/>
  <c r="Z201" i="12"/>
  <c r="T201" i="12"/>
  <c r="AA201" i="12"/>
  <c r="O9" i="16"/>
  <c r="Z207" i="12"/>
  <c r="T207" i="12"/>
  <c r="AA207" i="12"/>
  <c r="Z213" i="12"/>
  <c r="AA213" i="12"/>
  <c r="T213" i="12"/>
  <c r="Z211" i="12"/>
  <c r="T211" i="12"/>
  <c r="AA211" i="12"/>
  <c r="T220" i="12"/>
  <c r="AA220" i="12"/>
  <c r="Z220" i="12"/>
  <c r="AA217" i="12"/>
  <c r="Z217" i="12"/>
  <c r="T217" i="12"/>
  <c r="Z203" i="12"/>
  <c r="AA203" i="12"/>
  <c r="T203" i="12"/>
  <c r="T204" i="12"/>
  <c r="Z204" i="12"/>
  <c r="AA204" i="12"/>
  <c r="T222" i="12"/>
  <c r="AA222" i="12"/>
  <c r="Z222" i="12"/>
  <c r="T208" i="12"/>
  <c r="AA208" i="12"/>
  <c r="Z208" i="12"/>
  <c r="T202" i="12"/>
  <c r="AA202" i="12"/>
  <c r="Z202" i="12"/>
  <c r="T200" i="12"/>
  <c r="AA200" i="12"/>
  <c r="Z200" i="12"/>
  <c r="T210" i="12"/>
  <c r="AA210" i="12"/>
  <c r="Z210" i="12"/>
  <c r="R4" i="9"/>
  <c r="R7" i="9" s="1"/>
  <c r="T214" i="12"/>
  <c r="AA214" i="12"/>
  <c r="Z214" i="12"/>
  <c r="H7" i="9" l="1"/>
  <c r="H6" i="9"/>
  <c r="N27" i="18"/>
  <c r="R12" i="16"/>
  <c r="I29" i="9"/>
  <c r="O27" i="18" s="1"/>
  <c r="O10" i="16"/>
  <c r="O11" i="16" s="1"/>
  <c r="O12" i="16" s="1"/>
  <c r="Q9" i="9"/>
  <c r="G5" i="9" s="1"/>
  <c r="R13" i="16"/>
  <c r="Q14" i="16"/>
  <c r="Q15" i="16" s="1"/>
  <c r="H13" i="8"/>
  <c r="H3" i="8" s="1"/>
  <c r="D5" i="11" s="1"/>
  <c r="L10" i="8"/>
  <c r="M10" i="8" s="1"/>
  <c r="J10" i="8"/>
  <c r="K10" i="8" s="1"/>
  <c r="R9" i="9"/>
  <c r="R8" i="9"/>
  <c r="L9" i="8"/>
  <c r="M9" i="8" s="1"/>
  <c r="J9" i="8"/>
  <c r="J11" i="8"/>
  <c r="K11" i="8" s="1"/>
  <c r="B12" i="8"/>
  <c r="C11" i="8"/>
  <c r="L11" i="8"/>
  <c r="M11" i="8" s="1"/>
  <c r="G6" i="9" l="1"/>
  <c r="L4" i="18" s="1"/>
  <c r="G7" i="9"/>
  <c r="L5" i="18" s="1"/>
  <c r="L10" i="18"/>
  <c r="K29" i="9"/>
  <c r="M27" i="18" s="1"/>
  <c r="K12" i="9"/>
  <c r="M10" i="18" s="1"/>
  <c r="N10" i="18"/>
  <c r="I12" i="9"/>
  <c r="O10" i="18" s="1"/>
  <c r="L27" i="18"/>
  <c r="O13" i="16"/>
  <c r="O14" i="16" s="1"/>
  <c r="P10" i="8"/>
  <c r="N7" i="18"/>
  <c r="I9" i="9"/>
  <c r="O7" i="18" s="1"/>
  <c r="N5" i="18"/>
  <c r="I7" i="9"/>
  <c r="O5" i="18" s="1"/>
  <c r="L17" i="18"/>
  <c r="L6" i="18"/>
  <c r="L16" i="18"/>
  <c r="L9" i="18"/>
  <c r="L19" i="18"/>
  <c r="L13" i="18"/>
  <c r="L7" i="18"/>
  <c r="N19" i="18"/>
  <c r="I21" i="9"/>
  <c r="O19" i="18" s="1"/>
  <c r="N17" i="18"/>
  <c r="I19" i="9"/>
  <c r="O17" i="18" s="1"/>
  <c r="N4" i="18"/>
  <c r="I6" i="9"/>
  <c r="O4" i="18" s="1"/>
  <c r="K8" i="9"/>
  <c r="M6" i="18" s="1"/>
  <c r="K19" i="9"/>
  <c r="M17" i="18" s="1"/>
  <c r="K6" i="9"/>
  <c r="M4" i="18" s="1"/>
  <c r="K18" i="9"/>
  <c r="M16" i="18" s="1"/>
  <c r="K11" i="9"/>
  <c r="M9" i="18" s="1"/>
  <c r="K21" i="9"/>
  <c r="M19" i="18" s="1"/>
  <c r="K7" i="9"/>
  <c r="M5" i="18" s="1"/>
  <c r="K15" i="9"/>
  <c r="M13" i="18" s="1"/>
  <c r="K9" i="9"/>
  <c r="M7" i="18" s="1"/>
  <c r="N9" i="18"/>
  <c r="I11" i="9"/>
  <c r="O9" i="18" s="1"/>
  <c r="N16" i="18"/>
  <c r="I18" i="9"/>
  <c r="O16" i="18" s="1"/>
  <c r="N13" i="18"/>
  <c r="I15" i="9"/>
  <c r="O13" i="18" s="1"/>
  <c r="N6" i="18"/>
  <c r="I8" i="9"/>
  <c r="O6" i="18" s="1"/>
  <c r="L8" i="18"/>
  <c r="L11" i="18"/>
  <c r="L12" i="18"/>
  <c r="O11" i="8"/>
  <c r="C12" i="8"/>
  <c r="J12" i="8"/>
  <c r="K12" i="8" s="1"/>
  <c r="L12" i="8"/>
  <c r="M12" i="8" s="1"/>
  <c r="B13" i="8"/>
  <c r="N8" i="18"/>
  <c r="I10" i="9"/>
  <c r="O8" i="18" s="1"/>
  <c r="N3" i="18"/>
  <c r="I5" i="9"/>
  <c r="K9" i="8"/>
  <c r="P9" i="8" s="1"/>
  <c r="O9" i="8"/>
  <c r="O10" i="8"/>
  <c r="Q16" i="16"/>
  <c r="R16" i="16" s="1"/>
  <c r="P11" i="8"/>
  <c r="H4" i="8"/>
  <c r="N12" i="18"/>
  <c r="I14" i="9"/>
  <c r="O12" i="18" s="1"/>
  <c r="R15" i="16"/>
  <c r="N11" i="18"/>
  <c r="I13" i="9"/>
  <c r="O11" i="18" s="1"/>
  <c r="K5" i="9"/>
  <c r="K14" i="9"/>
  <c r="M12" i="18" s="1"/>
  <c r="K10" i="9"/>
  <c r="M8" i="18" s="1"/>
  <c r="K13" i="9"/>
  <c r="M11" i="18" s="1"/>
  <c r="R14" i="16"/>
  <c r="L3" i="18" l="1"/>
  <c r="Q12" i="9"/>
  <c r="O15" i="16"/>
  <c r="P12" i="8"/>
  <c r="O12" i="8"/>
  <c r="Q13" i="9"/>
  <c r="Q17" i="16"/>
  <c r="H5" i="8"/>
  <c r="Q57" i="12"/>
  <c r="R12" i="9"/>
  <c r="R13" i="9"/>
  <c r="M3" i="18"/>
  <c r="H6" i="8"/>
  <c r="D6" i="11"/>
  <c r="Q58" i="12"/>
  <c r="Q16" i="9"/>
  <c r="Q14" i="9"/>
  <c r="O3" i="18"/>
  <c r="J13" i="8"/>
  <c r="K13" i="8" s="1"/>
  <c r="B14" i="8"/>
  <c r="C13" i="8"/>
  <c r="L13" i="8"/>
  <c r="M13" i="8" s="1"/>
  <c r="Q17" i="9" l="1"/>
  <c r="Q18" i="9" s="1"/>
  <c r="R19" i="9"/>
  <c r="O16" i="16"/>
  <c r="O17" i="16" s="1"/>
  <c r="O13" i="8"/>
  <c r="P13" i="8"/>
  <c r="R18" i="9"/>
  <c r="D7" i="11"/>
  <c r="D13" i="11"/>
  <c r="D11" i="11"/>
  <c r="D10" i="11"/>
  <c r="D12" i="11"/>
  <c r="D14" i="11"/>
  <c r="C14" i="8"/>
  <c r="J14" i="8"/>
  <c r="K14" i="8" s="1"/>
  <c r="B15" i="8"/>
  <c r="L14" i="8"/>
  <c r="M14" i="8" s="1"/>
  <c r="Q18" i="16"/>
  <c r="Q15" i="9" l="1"/>
  <c r="P14" i="8"/>
  <c r="O14" i="8"/>
  <c r="D16" i="11"/>
  <c r="Q19" i="16"/>
  <c r="Q20" i="16" s="1"/>
  <c r="Q21" i="16" s="1"/>
  <c r="Q22" i="16" s="1"/>
  <c r="Q23" i="16" s="1"/>
  <c r="Q24" i="16" s="1"/>
  <c r="Q25" i="16" s="1"/>
  <c r="Q26" i="16" s="1"/>
  <c r="Q27" i="16" s="1"/>
  <c r="Q28" i="16" s="1"/>
  <c r="Q29" i="16" s="1"/>
  <c r="Q30" i="16" s="1"/>
  <c r="Q31" i="16" s="1"/>
  <c r="Q32" i="16" s="1"/>
  <c r="Q33" i="16" s="1"/>
  <c r="Q34" i="16" s="1"/>
  <c r="Q35" i="16" s="1"/>
  <c r="Q36" i="16" s="1"/>
  <c r="Q37" i="16" s="1"/>
  <c r="Q38" i="16" s="1"/>
  <c r="Q39" i="16" s="1"/>
  <c r="Q40" i="16" s="1"/>
  <c r="Q41" i="16" s="1"/>
  <c r="Q42" i="16" s="1"/>
  <c r="Q43" i="16" s="1"/>
  <c r="Q44" i="16" s="1"/>
  <c r="Q45" i="16" s="1"/>
  <c r="Q46" i="16" s="1"/>
  <c r="Q47" i="16" s="1"/>
  <c r="Q48" i="16" s="1"/>
  <c r="Q49" i="16" s="1"/>
  <c r="Q50" i="16" s="1"/>
  <c r="Q51" i="16" s="1"/>
  <c r="Q52" i="16" s="1"/>
  <c r="Q53" i="16" s="1"/>
  <c r="Q54" i="16" s="1"/>
  <c r="Q55" i="16" s="1"/>
  <c r="Q56" i="16" s="1"/>
  <c r="Q57" i="16" s="1"/>
  <c r="Q58" i="16" s="1"/>
  <c r="Q59" i="16" s="1"/>
  <c r="Q60" i="16" s="1"/>
  <c r="Q61" i="16" s="1"/>
  <c r="Q62" i="16" s="1"/>
  <c r="Q63" i="16" s="1"/>
  <c r="Q64" i="16" s="1"/>
  <c r="Q65" i="16" s="1"/>
  <c r="Q66" i="16" s="1"/>
  <c r="Q67" i="16" s="1"/>
  <c r="Q68" i="16" s="1"/>
  <c r="Q69" i="16" s="1"/>
  <c r="Q70" i="16" s="1"/>
  <c r="Q71" i="16" s="1"/>
  <c r="Q72" i="16" s="1"/>
  <c r="Q73" i="16" s="1"/>
  <c r="Q74" i="16" s="1"/>
  <c r="Q75" i="16" s="1"/>
  <c r="Q76" i="16" s="1"/>
  <c r="Q77" i="16" s="1"/>
  <c r="Q78" i="16" s="1"/>
  <c r="Q79" i="16" s="1"/>
  <c r="Q80" i="16" s="1"/>
  <c r="Q81" i="16" s="1"/>
  <c r="Q82" i="16" s="1"/>
  <c r="Q83" i="16" s="1"/>
  <c r="Q84" i="16" s="1"/>
  <c r="Q85" i="16" s="1"/>
  <c r="Q86" i="16" s="1"/>
  <c r="Q87" i="16" s="1"/>
  <c r="Q88" i="16" s="1"/>
  <c r="Q89" i="16" s="1"/>
  <c r="Q90" i="16" s="1"/>
  <c r="Q91" i="16" s="1"/>
  <c r="Q92" i="16" s="1"/>
  <c r="Q93" i="16" s="1"/>
  <c r="Q94" i="16" s="1"/>
  <c r="Q95" i="16" s="1"/>
  <c r="Q96" i="16" s="1"/>
  <c r="Q97" i="16" s="1"/>
  <c r="Q98" i="16" s="1"/>
  <c r="Q99" i="16" s="1"/>
  <c r="Q100" i="16" s="1"/>
  <c r="Q101" i="16" s="1"/>
  <c r="Q102" i="16" s="1"/>
  <c r="Q103" i="16" s="1"/>
  <c r="Q104" i="16" s="1"/>
  <c r="Q105" i="16" s="1"/>
  <c r="Q106" i="16" s="1"/>
  <c r="Q107" i="16" s="1"/>
  <c r="Q108" i="16" s="1"/>
  <c r="Q109" i="16" s="1"/>
  <c r="Q110" i="16" s="1"/>
  <c r="Q111" i="16" s="1"/>
  <c r="Q112" i="16" s="1"/>
  <c r="Q113" i="16" s="1"/>
  <c r="Q114" i="16" s="1"/>
  <c r="Q115" i="16" s="1"/>
  <c r="Q116" i="16" s="1"/>
  <c r="Q117" i="16" s="1"/>
  <c r="Q118" i="16" s="1"/>
  <c r="Q119" i="16" s="1"/>
  <c r="Q120" i="16" s="1"/>
  <c r="Q121" i="16" s="1"/>
  <c r="Q122" i="16" s="1"/>
  <c r="Q123" i="16" s="1"/>
  <c r="Q124" i="16" s="1"/>
  <c r="Q125" i="16" s="1"/>
  <c r="Q126" i="16" s="1"/>
  <c r="Q127" i="16" s="1"/>
  <c r="Q128" i="16" s="1"/>
  <c r="Q129" i="16" s="1"/>
  <c r="Q130" i="16" s="1"/>
  <c r="Q131" i="16" s="1"/>
  <c r="Q132" i="16" s="1"/>
  <c r="Q133" i="16" s="1"/>
  <c r="Q134" i="16" s="1"/>
  <c r="Q135" i="16" s="1"/>
  <c r="Q136" i="16" s="1"/>
  <c r="Q137" i="16" s="1"/>
  <c r="Q138" i="16" s="1"/>
  <c r="Q139" i="16" s="1"/>
  <c r="Q140" i="16" s="1"/>
  <c r="Q141" i="16" s="1"/>
  <c r="Q142" i="16" s="1"/>
  <c r="Q143" i="16" s="1"/>
  <c r="Q144" i="16" s="1"/>
  <c r="Q145" i="16" s="1"/>
  <c r="Q146" i="16" s="1"/>
  <c r="Q147" i="16" s="1"/>
  <c r="Q148" i="16" s="1"/>
  <c r="Q149" i="16" s="1"/>
  <c r="Q150" i="16" s="1"/>
  <c r="Q151" i="16" s="1"/>
  <c r="Q152" i="16" s="1"/>
  <c r="Q153" i="16" s="1"/>
  <c r="Q154" i="16" s="1"/>
  <c r="Q155" i="16" s="1"/>
  <c r="Q156" i="16" s="1"/>
  <c r="Q157" i="16" s="1"/>
  <c r="Q158" i="16" s="1"/>
  <c r="Q159" i="16" s="1"/>
  <c r="Q160" i="16" s="1"/>
  <c r="Q161" i="16" s="1"/>
  <c r="Q162" i="16" s="1"/>
  <c r="Q163" i="16" s="1"/>
  <c r="Q164" i="16" s="1"/>
  <c r="Q165" i="16" s="1"/>
  <c r="Q166" i="16" s="1"/>
  <c r="Q167" i="16" s="1"/>
  <c r="Q168" i="16" s="1"/>
  <c r="Q169" i="16" s="1"/>
  <c r="Q170" i="16" s="1"/>
  <c r="Q171" i="16" s="1"/>
  <c r="Q172" i="16" s="1"/>
  <c r="Q173" i="16" s="1"/>
  <c r="Q174" i="16" s="1"/>
  <c r="Q175" i="16" s="1"/>
  <c r="Q176" i="16" s="1"/>
  <c r="Q177" i="16" s="1"/>
  <c r="Q178" i="16" s="1"/>
  <c r="Q179" i="16" s="1"/>
  <c r="Q180" i="16" s="1"/>
  <c r="Q181" i="16" s="1"/>
  <c r="Q182" i="16" s="1"/>
  <c r="Q183" i="16" s="1"/>
  <c r="Q184" i="16" s="1"/>
  <c r="Q185" i="16" s="1"/>
  <c r="Q186" i="16" s="1"/>
  <c r="Q187" i="16" s="1"/>
  <c r="Q188" i="16" s="1"/>
  <c r="Q189" i="16" s="1"/>
  <c r="Q190" i="16" s="1"/>
  <c r="Q191" i="16" s="1"/>
  <c r="Q192" i="16" s="1"/>
  <c r="Q193" i="16" s="1"/>
  <c r="Q194" i="16" s="1"/>
  <c r="Q195" i="16" s="1"/>
  <c r="Q196" i="16" s="1"/>
  <c r="Q197" i="16" s="1"/>
  <c r="Q198" i="16" s="1"/>
  <c r="Q199" i="16" s="1"/>
  <c r="Q200" i="16" s="1"/>
  <c r="Q201" i="16" s="1"/>
  <c r="Q202" i="16" s="1"/>
  <c r="Q203" i="16" s="1"/>
  <c r="Q204" i="16" s="1"/>
  <c r="Q205" i="16" s="1"/>
  <c r="Q206" i="16" s="1"/>
  <c r="Q207" i="16" s="1"/>
  <c r="Q208" i="16" s="1"/>
  <c r="Q209" i="16" s="1"/>
  <c r="Q210" i="16" s="1"/>
  <c r="Q211" i="16" s="1"/>
  <c r="Q212" i="16" s="1"/>
  <c r="Q213" i="16" s="1"/>
  <c r="Q214" i="16" s="1"/>
  <c r="Q215" i="16" s="1"/>
  <c r="Q216" i="16" s="1"/>
  <c r="Q217" i="16" s="1"/>
  <c r="Q218" i="16" s="1"/>
  <c r="Q219" i="16" s="1"/>
  <c r="Q220" i="16" s="1"/>
  <c r="Q221" i="16" s="1"/>
  <c r="Q222" i="16" s="1"/>
  <c r="Q223" i="16" s="1"/>
  <c r="Q224" i="16" s="1"/>
  <c r="Q225" i="16" s="1"/>
  <c r="Q226" i="16" s="1"/>
  <c r="Q227" i="16" s="1"/>
  <c r="Q228" i="16" s="1"/>
  <c r="Q229" i="16" s="1"/>
  <c r="Q230" i="16" s="1"/>
  <c r="Q231" i="16" s="1"/>
  <c r="Q232" i="16" s="1"/>
  <c r="Q233" i="16" s="1"/>
  <c r="Q234" i="16" s="1"/>
  <c r="Q235" i="16" s="1"/>
  <c r="Q236" i="16" s="1"/>
  <c r="Q237" i="16" s="1"/>
  <c r="Q238" i="16" s="1"/>
  <c r="Q239" i="16" s="1"/>
  <c r="Q240" i="16" s="1"/>
  <c r="Q241" i="16" s="1"/>
  <c r="Q242" i="16" s="1"/>
  <c r="Q243" i="16" s="1"/>
  <c r="Q244" i="16" s="1"/>
  <c r="Q245" i="16" s="1"/>
  <c r="Q246" i="16" s="1"/>
  <c r="Q247" i="16" s="1"/>
  <c r="Q248" i="16" s="1"/>
  <c r="Q249" i="16" s="1"/>
  <c r="Q250" i="16" s="1"/>
  <c r="Q251" i="16" s="1"/>
  <c r="Q252" i="16" s="1"/>
  <c r="Q253" i="16" s="1"/>
  <c r="Q254" i="16" s="1"/>
  <c r="Q255" i="16" s="1"/>
  <c r="Q256" i="16" s="1"/>
  <c r="Q257" i="16" s="1"/>
  <c r="Q258" i="16" s="1"/>
  <c r="Q259" i="16" s="1"/>
  <c r="Q260" i="16" s="1"/>
  <c r="Q261" i="16" s="1"/>
  <c r="Q262" i="16" s="1"/>
  <c r="Q263" i="16" s="1"/>
  <c r="Q264" i="16" s="1"/>
  <c r="Q265" i="16" s="1"/>
  <c r="Q266" i="16" s="1"/>
  <c r="Q267" i="16" s="1"/>
  <c r="Q268" i="16" s="1"/>
  <c r="Q269" i="16" s="1"/>
  <c r="Q270" i="16" s="1"/>
  <c r="Q271" i="16" s="1"/>
  <c r="Q272" i="16" s="1"/>
  <c r="Q273" i="16" s="1"/>
  <c r="Q274" i="16" s="1"/>
  <c r="Q275" i="16" s="1"/>
  <c r="Q276" i="16" s="1"/>
  <c r="Q277" i="16" s="1"/>
  <c r="Q278" i="16" s="1"/>
  <c r="Q279" i="16" s="1"/>
  <c r="Q280" i="16" s="1"/>
  <c r="Q281" i="16" s="1"/>
  <c r="Q282" i="16" s="1"/>
  <c r="Q283" i="16" s="1"/>
  <c r="Q284" i="16" s="1"/>
  <c r="Q285" i="16" s="1"/>
  <c r="Q286" i="16" s="1"/>
  <c r="Q287" i="16" s="1"/>
  <c r="Q288" i="16" s="1"/>
  <c r="Q289" i="16" s="1"/>
  <c r="Q290" i="16" s="1"/>
  <c r="Q291" i="16" s="1"/>
  <c r="Q292" i="16" s="1"/>
  <c r="Q293" i="16" s="1"/>
  <c r="Q294" i="16" s="1"/>
  <c r="Q295" i="16" s="1"/>
  <c r="Q296" i="16" s="1"/>
  <c r="Q297" i="16" s="1"/>
  <c r="Q298" i="16" s="1"/>
  <c r="Q299" i="16" s="1"/>
  <c r="Q300" i="16" s="1"/>
  <c r="Q301" i="16" s="1"/>
  <c r="Q302" i="16" s="1"/>
  <c r="Q303" i="16" s="1"/>
  <c r="Q304" i="16" s="1"/>
  <c r="Q305" i="16" s="1"/>
  <c r="Q306" i="16" s="1"/>
  <c r="Q307" i="16" s="1"/>
  <c r="Q308" i="16" s="1"/>
  <c r="Q309" i="16" s="1"/>
  <c r="Q310" i="16" s="1"/>
  <c r="Q311" i="16" s="1"/>
  <c r="Q312" i="16" s="1"/>
  <c r="Q313" i="16" s="1"/>
  <c r="Q314" i="16" s="1"/>
  <c r="Q315" i="16" s="1"/>
  <c r="Q316" i="16" s="1"/>
  <c r="Q317" i="16" s="1"/>
  <c r="Q318" i="16" s="1"/>
  <c r="Q319" i="16" s="1"/>
  <c r="Q320" i="16" s="1"/>
  <c r="Q321" i="16" s="1"/>
  <c r="Q322" i="16" s="1"/>
  <c r="Q323" i="16" s="1"/>
  <c r="Q324" i="16" s="1"/>
  <c r="Q325" i="16" s="1"/>
  <c r="Q326" i="16" s="1"/>
  <c r="Q327" i="16" s="1"/>
  <c r="Q328" i="16" s="1"/>
  <c r="Q329" i="16" s="1"/>
  <c r="Q330" i="16" s="1"/>
  <c r="Q331" i="16" s="1"/>
  <c r="Q332" i="16" s="1"/>
  <c r="Q333" i="16" s="1"/>
  <c r="Q334" i="16" s="1"/>
  <c r="Q335" i="16" s="1"/>
  <c r="Q336" i="16" s="1"/>
  <c r="Q337" i="16" s="1"/>
  <c r="Q338" i="16" s="1"/>
  <c r="Q339" i="16" s="1"/>
  <c r="Q340" i="16" s="1"/>
  <c r="Q341" i="16" s="1"/>
  <c r="Q342" i="16" s="1"/>
  <c r="Q343" i="16" s="1"/>
  <c r="Q344" i="16" s="1"/>
  <c r="Q345" i="16" s="1"/>
  <c r="Q346" i="16" s="1"/>
  <c r="Q347" i="16" s="1"/>
  <c r="Q348" i="16" s="1"/>
  <c r="Q349" i="16" s="1"/>
  <c r="Q350" i="16" s="1"/>
  <c r="Q351" i="16" s="1"/>
  <c r="Q352" i="16" s="1"/>
  <c r="Q353" i="16" s="1"/>
  <c r="Q354" i="16" s="1"/>
  <c r="Q355" i="16" s="1"/>
  <c r="Q356" i="16" s="1"/>
  <c r="Q357" i="16" s="1"/>
  <c r="Q358" i="16" s="1"/>
  <c r="Q359" i="16" s="1"/>
  <c r="Q360" i="16" s="1"/>
  <c r="Q361" i="16" s="1"/>
  <c r="Q362" i="16" s="1"/>
  <c r="Q363" i="16" s="1"/>
  <c r="Q364" i="16" s="1"/>
  <c r="Q365" i="16" s="1"/>
  <c r="Q366" i="16" s="1"/>
  <c r="Q367" i="16" s="1"/>
  <c r="Q368" i="16" s="1"/>
  <c r="Q369" i="16" s="1"/>
  <c r="Q370" i="16" s="1"/>
  <c r="Q371" i="16" s="1"/>
  <c r="Q372" i="16" s="1"/>
  <c r="Q373" i="16" s="1"/>
  <c r="Q374" i="16" s="1"/>
  <c r="Q375" i="16" s="1"/>
  <c r="Q376" i="16" s="1"/>
  <c r="Q377" i="16" s="1"/>
  <c r="Q378" i="16" s="1"/>
  <c r="Q379" i="16" s="1"/>
  <c r="Q380" i="16" s="1"/>
  <c r="Q381" i="16" s="1"/>
  <c r="Q382" i="16" s="1"/>
  <c r="Q383" i="16" s="1"/>
  <c r="Q384" i="16" s="1"/>
  <c r="Q385" i="16" s="1"/>
  <c r="Q386" i="16" s="1"/>
  <c r="Q387" i="16" s="1"/>
  <c r="Q388" i="16" s="1"/>
  <c r="Q389" i="16" s="1"/>
  <c r="Q390" i="16" s="1"/>
  <c r="Q391" i="16" s="1"/>
  <c r="Q392" i="16" s="1"/>
  <c r="Q393" i="16" s="1"/>
  <c r="Q394" i="16" s="1"/>
  <c r="Q395" i="16" s="1"/>
  <c r="Q396" i="16" s="1"/>
  <c r="Q397" i="16" s="1"/>
  <c r="Q398" i="16" s="1"/>
  <c r="Q399" i="16" s="1"/>
  <c r="Q400" i="16" s="1"/>
  <c r="Q401" i="16" s="1"/>
  <c r="Q402" i="16" s="1"/>
  <c r="Q403" i="16" s="1"/>
  <c r="Q404" i="16" s="1"/>
  <c r="Q405" i="16" s="1"/>
  <c r="Q406" i="16" s="1"/>
  <c r="Q407" i="16" s="1"/>
  <c r="Q408" i="16" s="1"/>
  <c r="Q409" i="16" s="1"/>
  <c r="Q410" i="16" s="1"/>
  <c r="Q411" i="16" s="1"/>
  <c r="Q412" i="16" s="1"/>
  <c r="Q413" i="16" s="1"/>
  <c r="Q414" i="16" s="1"/>
  <c r="Q415" i="16" s="1"/>
  <c r="Q416" i="16" s="1"/>
  <c r="Q417" i="16" s="1"/>
  <c r="Q418" i="16" s="1"/>
  <c r="Q419" i="16" s="1"/>
  <c r="Q420" i="16" s="1"/>
  <c r="Q421" i="16" s="1"/>
  <c r="Q422" i="16" s="1"/>
  <c r="Q423" i="16" s="1"/>
  <c r="Q424" i="16" s="1"/>
  <c r="Q425" i="16" s="1"/>
  <c r="Q426" i="16" s="1"/>
  <c r="Q427" i="16" s="1"/>
  <c r="Q428" i="16" s="1"/>
  <c r="Q429" i="16" s="1"/>
  <c r="Q430" i="16" s="1"/>
  <c r="Q431" i="16" s="1"/>
  <c r="Q432" i="16" s="1"/>
  <c r="Q433" i="16" s="1"/>
  <c r="Q434" i="16" s="1"/>
  <c r="Q435" i="16" s="1"/>
  <c r="Q436" i="16" s="1"/>
  <c r="Q437" i="16" s="1"/>
  <c r="Q438" i="16" s="1"/>
  <c r="Q439" i="16" s="1"/>
  <c r="Q440" i="16" s="1"/>
  <c r="Q441" i="16" s="1"/>
  <c r="Q442" i="16" s="1"/>
  <c r="Q443" i="16" s="1"/>
  <c r="Q444" i="16" s="1"/>
  <c r="Q445" i="16" s="1"/>
  <c r="Q446" i="16" s="1"/>
  <c r="Q447" i="16" s="1"/>
  <c r="Q448" i="16" s="1"/>
  <c r="Q449" i="16" s="1"/>
  <c r="Q450" i="16" s="1"/>
  <c r="Q451" i="16" s="1"/>
  <c r="Q452" i="16" s="1"/>
  <c r="Q453" i="16" s="1"/>
  <c r="Q454" i="16" s="1"/>
  <c r="Q455" i="16" s="1"/>
  <c r="Q456" i="16" s="1"/>
  <c r="Q457" i="16" s="1"/>
  <c r="Q458" i="16" s="1"/>
  <c r="Q459" i="16" s="1"/>
  <c r="Q460" i="16" s="1"/>
  <c r="Q461" i="16" s="1"/>
  <c r="Q462" i="16" s="1"/>
  <c r="Q463" i="16" s="1"/>
  <c r="Q464" i="16" s="1"/>
  <c r="Q465" i="16" s="1"/>
  <c r="Q466" i="16" s="1"/>
  <c r="Q467" i="16" s="1"/>
  <c r="Q468" i="16" s="1"/>
  <c r="Q469" i="16" s="1"/>
  <c r="Q470" i="16" s="1"/>
  <c r="Q471" i="16" s="1"/>
  <c r="Q472" i="16" s="1"/>
  <c r="Q473" i="16" s="1"/>
  <c r="Q474" i="16" s="1"/>
  <c r="Q475" i="16" s="1"/>
  <c r="Q476" i="16" s="1"/>
  <c r="Q477" i="16" s="1"/>
  <c r="Q478" i="16" s="1"/>
  <c r="Q479" i="16" s="1"/>
  <c r="Q480" i="16" s="1"/>
  <c r="Q481" i="16" s="1"/>
  <c r="Q482" i="16" s="1"/>
  <c r="Q483" i="16" s="1"/>
  <c r="Q484" i="16" s="1"/>
  <c r="Q485" i="16" s="1"/>
  <c r="Q486" i="16" s="1"/>
  <c r="Q487" i="16" s="1"/>
  <c r="Q488" i="16" s="1"/>
  <c r="Q489" i="16" s="1"/>
  <c r="Q490" i="16" s="1"/>
  <c r="Q491" i="16" s="1"/>
  <c r="Q492" i="16" s="1"/>
  <c r="Q493" i="16" s="1"/>
  <c r="Q494" i="16" s="1"/>
  <c r="Q495" i="16" s="1"/>
  <c r="Q496" i="16" s="1"/>
  <c r="Q497" i="16" s="1"/>
  <c r="Q498" i="16" s="1"/>
  <c r="Q499" i="16" s="1"/>
  <c r="Q500" i="16" s="1"/>
  <c r="Q501" i="16" s="1"/>
  <c r="Q502" i="16" s="1"/>
  <c r="Q503" i="16" s="1"/>
  <c r="Q504" i="16" s="1"/>
  <c r="Q505" i="16" s="1"/>
  <c r="Q506" i="16" s="1"/>
  <c r="Q507" i="16" s="1"/>
  <c r="Q508" i="16" s="1"/>
  <c r="Q509" i="16" s="1"/>
  <c r="Q510" i="16" s="1"/>
  <c r="Q511" i="16" s="1"/>
  <c r="Q512" i="16" s="1"/>
  <c r="Q513" i="16" s="1"/>
  <c r="Q514" i="16" s="1"/>
  <c r="Q515" i="16" s="1"/>
  <c r="Q516" i="16" s="1"/>
  <c r="Q517" i="16" s="1"/>
  <c r="Q518" i="16" s="1"/>
  <c r="Q519" i="16" s="1"/>
  <c r="Q520" i="16" s="1"/>
  <c r="Q521" i="16" s="1"/>
  <c r="Q522" i="16" s="1"/>
  <c r="Q523" i="16" s="1"/>
  <c r="Q524" i="16" s="1"/>
  <c r="Q525" i="16" s="1"/>
  <c r="Q526" i="16" s="1"/>
  <c r="Q527" i="16" s="1"/>
  <c r="Q528" i="16" s="1"/>
  <c r="Q529" i="16" s="1"/>
  <c r="Q530" i="16" s="1"/>
  <c r="Q531" i="16" s="1"/>
  <c r="Q532" i="16" s="1"/>
  <c r="Q533" i="16" s="1"/>
  <c r="Q534" i="16" s="1"/>
  <c r="Q535" i="16" s="1"/>
  <c r="Q536" i="16" s="1"/>
  <c r="Q537" i="16" s="1"/>
  <c r="Q538" i="16" s="1"/>
  <c r="Q539" i="16" s="1"/>
  <c r="Q540" i="16" s="1"/>
  <c r="Q541" i="16" s="1"/>
  <c r="Q542" i="16" s="1"/>
  <c r="Q543" i="16" s="1"/>
  <c r="Q544" i="16" s="1"/>
  <c r="Q545" i="16" s="1"/>
  <c r="Q546" i="16" s="1"/>
  <c r="Q547" i="16" s="1"/>
  <c r="Q548" i="16" s="1"/>
  <c r="Q549" i="16" s="1"/>
  <c r="Q550" i="16" s="1"/>
  <c r="Q551" i="16" s="1"/>
  <c r="Q552" i="16" s="1"/>
  <c r="Q553" i="16" s="1"/>
  <c r="Q554" i="16" s="1"/>
  <c r="Q555" i="16" s="1"/>
  <c r="Q556" i="16" s="1"/>
  <c r="Q557" i="16" s="1"/>
  <c r="Q558" i="16" s="1"/>
  <c r="Q559" i="16" s="1"/>
  <c r="Q560" i="16" s="1"/>
  <c r="Q561" i="16" s="1"/>
  <c r="Q562" i="16" s="1"/>
  <c r="Q563" i="16" s="1"/>
  <c r="Q564" i="16" s="1"/>
  <c r="Q565" i="16" s="1"/>
  <c r="Q566" i="16" s="1"/>
  <c r="Q567" i="16" s="1"/>
  <c r="Q568" i="16" s="1"/>
  <c r="Q569" i="16" s="1"/>
  <c r="Q570" i="16" s="1"/>
  <c r="Q571" i="16" s="1"/>
  <c r="Q572" i="16" s="1"/>
  <c r="Q573" i="16" s="1"/>
  <c r="Q574" i="16" s="1"/>
  <c r="Q575" i="16" s="1"/>
  <c r="Q576" i="16" s="1"/>
  <c r="Q577" i="16" s="1"/>
  <c r="Q578" i="16" s="1"/>
  <c r="Q579" i="16" s="1"/>
  <c r="Q580" i="16" s="1"/>
  <c r="Q581" i="16" s="1"/>
  <c r="Q582" i="16" s="1"/>
  <c r="Q583" i="16" s="1"/>
  <c r="Q584" i="16" s="1"/>
  <c r="Q585" i="16" s="1"/>
  <c r="Q586" i="16" s="1"/>
  <c r="Q587" i="16" s="1"/>
  <c r="Q588" i="16" s="1"/>
  <c r="Q589" i="16" s="1"/>
  <c r="Q590" i="16" s="1"/>
  <c r="Q591" i="16" s="1"/>
  <c r="Q592" i="16" s="1"/>
  <c r="Q593" i="16" s="1"/>
  <c r="Q594" i="16" s="1"/>
  <c r="Q595" i="16" s="1"/>
  <c r="Q596" i="16" s="1"/>
  <c r="Q597" i="16" s="1"/>
  <c r="Q598" i="16" s="1"/>
  <c r="Q599" i="16" s="1"/>
  <c r="Q600" i="16" s="1"/>
  <c r="Q601" i="16" s="1"/>
  <c r="Q602" i="16" s="1"/>
  <c r="Q603" i="16" s="1"/>
  <c r="Q604" i="16" s="1"/>
  <c r="Q605" i="16" s="1"/>
  <c r="Q606" i="16" s="1"/>
  <c r="Q607" i="16" s="1"/>
  <c r="Q608" i="16" s="1"/>
  <c r="Q609" i="16" s="1"/>
  <c r="Q610" i="16" s="1"/>
  <c r="Q611" i="16" s="1"/>
  <c r="Q612" i="16" s="1"/>
  <c r="Q613" i="16" s="1"/>
  <c r="Q614" i="16" s="1"/>
  <c r="Q615" i="16" s="1"/>
  <c r="Q616" i="16" s="1"/>
  <c r="Q617" i="16" s="1"/>
  <c r="Q618" i="16" s="1"/>
  <c r="Q619" i="16" s="1"/>
  <c r="Q620" i="16" s="1"/>
  <c r="Q621" i="16" s="1"/>
  <c r="Q622" i="16" s="1"/>
  <c r="Q623" i="16" s="1"/>
  <c r="Q624" i="16" s="1"/>
  <c r="Q625" i="16" s="1"/>
  <c r="R123" i="16" s="1"/>
  <c r="J15" i="8"/>
  <c r="K15" i="8" s="1"/>
  <c r="B16" i="8"/>
  <c r="O15" i="8"/>
  <c r="C15" i="8"/>
  <c r="P15" i="8"/>
  <c r="L15" i="8"/>
  <c r="M15" i="8" s="1"/>
  <c r="E10" i="11"/>
  <c r="E12" i="11"/>
  <c r="E15" i="11"/>
  <c r="E13" i="11"/>
  <c r="E11" i="11"/>
  <c r="E14" i="11"/>
  <c r="O18" i="16"/>
  <c r="O19" i="16" l="1"/>
  <c r="R180" i="16"/>
  <c r="R303" i="16"/>
  <c r="R598" i="16"/>
  <c r="R64" i="16"/>
  <c r="R75" i="16"/>
  <c r="R611" i="16"/>
  <c r="P16" i="8"/>
  <c r="O16" i="8"/>
  <c r="C16" i="8"/>
  <c r="J16" i="8"/>
  <c r="K16" i="8" s="1"/>
  <c r="L16" i="8"/>
  <c r="M16" i="8" s="1"/>
  <c r="B17" i="8"/>
  <c r="R429" i="16"/>
  <c r="R533" i="16"/>
  <c r="R600" i="16"/>
  <c r="R421" i="16"/>
  <c r="R548" i="16"/>
  <c r="R351" i="16"/>
  <c r="R319" i="16"/>
  <c r="R595" i="16"/>
  <c r="R546" i="16"/>
  <c r="R360" i="16"/>
  <c r="R82" i="16"/>
  <c r="R305" i="16"/>
  <c r="R380" i="16"/>
  <c r="R561" i="16"/>
  <c r="R467" i="16"/>
  <c r="R582" i="16"/>
  <c r="R97" i="16"/>
  <c r="R204" i="16"/>
  <c r="R269" i="16"/>
  <c r="R181" i="16"/>
  <c r="R257" i="16"/>
  <c r="R389" i="16"/>
  <c r="R604" i="16"/>
  <c r="R261" i="16"/>
  <c r="R61" i="16"/>
  <c r="R151" i="16"/>
  <c r="R35" i="16"/>
  <c r="R559" i="16"/>
  <c r="R113" i="16"/>
  <c r="R509" i="16"/>
  <c r="R49" i="16"/>
  <c r="R501" i="16"/>
  <c r="R343" i="16"/>
  <c r="R498" i="16"/>
  <c r="R484" i="16"/>
  <c r="R179" i="16"/>
  <c r="R488" i="16"/>
  <c r="R229" i="16"/>
  <c r="R489" i="16"/>
  <c r="R469" i="16"/>
  <c r="R471" i="16"/>
  <c r="R301" i="16"/>
  <c r="R70" i="16"/>
  <c r="R393" i="16"/>
  <c r="R139" i="16"/>
  <c r="R116" i="16"/>
  <c r="R504" i="16"/>
  <c r="R520" i="16"/>
  <c r="R264" i="16"/>
  <c r="R462" i="16"/>
  <c r="R553" i="16"/>
  <c r="R249" i="16"/>
  <c r="R418" i="16"/>
  <c r="R414" i="16"/>
  <c r="R502" i="16"/>
  <c r="R291" i="16"/>
  <c r="R34" i="16"/>
  <c r="R623" i="16"/>
  <c r="R524" i="16"/>
  <c r="R118" i="16"/>
  <c r="R100" i="16"/>
  <c r="R340" i="16"/>
  <c r="R242" i="16"/>
  <c r="R170" i="16"/>
  <c r="R86" i="16"/>
  <c r="R150" i="16"/>
  <c r="R451" i="16"/>
  <c r="R133" i="16"/>
  <c r="R539" i="16"/>
  <c r="R516" i="16"/>
  <c r="R543" i="16"/>
  <c r="R515" i="16"/>
  <c r="R78" i="16"/>
  <c r="R197" i="16"/>
  <c r="R74" i="16"/>
  <c r="R373" i="16"/>
  <c r="R440" i="16"/>
  <c r="R65" i="16"/>
  <c r="R601" i="16"/>
  <c r="R206" i="16"/>
  <c r="R200" i="16"/>
  <c r="R576" i="16"/>
  <c r="R263" i="16"/>
  <c r="R121" i="16"/>
  <c r="R153" i="16"/>
  <c r="R554" i="16"/>
  <c r="R217" i="16"/>
  <c r="R223" i="16"/>
  <c r="R167" i="16"/>
  <c r="R42" i="16"/>
  <c r="R207" i="16"/>
  <c r="R132" i="16"/>
  <c r="R433" i="16"/>
  <c r="R58" i="16"/>
  <c r="R579" i="16"/>
  <c r="R608" i="16"/>
  <c r="R84" i="16"/>
  <c r="R552" i="16"/>
  <c r="R26" i="16"/>
  <c r="R491" i="16"/>
  <c r="R445" i="16"/>
  <c r="R432" i="16"/>
  <c r="R444" i="16"/>
  <c r="R326" i="16"/>
  <c r="R329" i="16"/>
  <c r="R454" i="16"/>
  <c r="R614" i="16"/>
  <c r="R30" i="16"/>
  <c r="R439" i="16"/>
  <c r="R110" i="16"/>
  <c r="R408" i="16"/>
  <c r="R128" i="16"/>
  <c r="R183" i="16"/>
  <c r="R605" i="16"/>
  <c r="R412" i="16"/>
  <c r="R20" i="16"/>
  <c r="R410" i="16"/>
  <c r="R427" i="16"/>
  <c r="R222" i="16"/>
  <c r="R583" i="16"/>
  <c r="R235" i="16"/>
  <c r="R534" i="16"/>
  <c r="R45" i="16"/>
  <c r="R327" i="16"/>
  <c r="R396" i="16"/>
  <c r="R130" i="16"/>
  <c r="R127" i="16"/>
  <c r="R176" i="16"/>
  <c r="R387" i="16"/>
  <c r="R17" i="16"/>
  <c r="R149" i="16"/>
  <c r="R325" i="16"/>
  <c r="R392" i="16"/>
  <c r="R158" i="16"/>
  <c r="R510" i="16"/>
  <c r="R332" i="16"/>
  <c r="R507" i="16"/>
  <c r="R174" i="16"/>
  <c r="R333" i="16"/>
  <c r="R487" i="16"/>
  <c r="R529" i="16"/>
  <c r="R474" i="16"/>
  <c r="R185" i="16"/>
  <c r="R256" i="16"/>
  <c r="R21" i="16"/>
  <c r="R18" i="16"/>
  <c r="R105" i="16"/>
  <c r="R52" i="16"/>
  <c r="R344" i="16"/>
  <c r="R115" i="16"/>
  <c r="R541" i="16"/>
  <c r="R313" i="16"/>
  <c r="R455" i="16"/>
  <c r="R470" i="16"/>
  <c r="R85" i="16"/>
  <c r="R453" i="16"/>
  <c r="R535" i="16"/>
  <c r="R57" i="16"/>
  <c r="R531" i="16"/>
  <c r="R355" i="16"/>
  <c r="R449" i="16"/>
  <c r="R550" i="16"/>
  <c r="R364" i="16"/>
  <c r="R109" i="16"/>
  <c r="R131" i="16"/>
  <c r="R463" i="16"/>
  <c r="R119" i="16"/>
  <c r="R574" i="16"/>
  <c r="R365" i="16"/>
  <c r="R379" i="16"/>
  <c r="R560" i="16"/>
  <c r="R259" i="16"/>
  <c r="R22" i="16"/>
  <c r="R271" i="16"/>
  <c r="R101" i="16"/>
  <c r="R94" i="16"/>
  <c r="R572" i="16"/>
  <c r="R284" i="16"/>
  <c r="R215" i="16"/>
  <c r="R452" i="16"/>
  <c r="R214" i="16"/>
  <c r="R241" i="16"/>
  <c r="R569" i="16"/>
  <c r="R494" i="16"/>
  <c r="R232" i="16"/>
  <c r="R607" i="16"/>
  <c r="R496" i="16"/>
  <c r="R619" i="16"/>
  <c r="R38" i="16"/>
  <c r="R290" i="16"/>
  <c r="R532" i="16"/>
  <c r="R137" i="16"/>
  <c r="R506" i="16"/>
  <c r="R397" i="16"/>
  <c r="R289" i="16"/>
  <c r="R53" i="16"/>
  <c r="R480" i="16"/>
  <c r="R98" i="16"/>
  <c r="R544" i="16"/>
  <c r="R438" i="16"/>
  <c r="R386" i="16"/>
  <c r="R189" i="16"/>
  <c r="R66" i="16"/>
  <c r="R557" i="16"/>
  <c r="R266" i="16"/>
  <c r="R208" i="16"/>
  <c r="R477" i="16"/>
  <c r="R218" i="16"/>
  <c r="R385" i="16"/>
  <c r="R589" i="16"/>
  <c r="R558" i="16"/>
  <c r="R517" i="16"/>
  <c r="R394" i="16"/>
  <c r="R382" i="16"/>
  <c r="R68" i="16"/>
  <c r="R475" i="16"/>
  <c r="R309" i="16"/>
  <c r="R348" i="16"/>
  <c r="R625" i="16"/>
  <c r="R486" i="16"/>
  <c r="R592" i="16"/>
  <c r="R512" i="16"/>
  <c r="R542" i="16"/>
  <c r="R230" i="16"/>
  <c r="R437" i="16"/>
  <c r="R273" i="16"/>
  <c r="R599" i="16"/>
  <c r="R315" i="16"/>
  <c r="R117" i="16"/>
  <c r="R212" i="16"/>
  <c r="R172" i="16"/>
  <c r="R292" i="16"/>
  <c r="R485" i="16"/>
  <c r="R616" i="16"/>
  <c r="R54" i="16"/>
  <c r="R528" i="16"/>
  <c r="R443" i="16"/>
  <c r="R251" i="16"/>
  <c r="R143" i="16"/>
  <c r="R521" i="16"/>
  <c r="R175" i="16"/>
  <c r="R587" i="16"/>
  <c r="R384" i="16"/>
  <c r="R345" i="16"/>
  <c r="R391" i="16"/>
  <c r="R584" i="16"/>
  <c r="R126" i="16"/>
  <c r="R555" i="16"/>
  <c r="R221" i="16"/>
  <c r="R538" i="16"/>
  <c r="R36" i="16"/>
  <c r="R90" i="16"/>
  <c r="R102" i="16"/>
  <c r="R324" i="16"/>
  <c r="R586" i="16"/>
  <c r="R198" i="16"/>
  <c r="R37" i="16"/>
  <c r="R275" i="16"/>
  <c r="R594" i="16"/>
  <c r="R213" i="16"/>
  <c r="R205" i="16"/>
  <c r="R250" i="16"/>
  <c r="R563" i="16"/>
  <c r="R240" i="16"/>
  <c r="R456" i="16"/>
  <c r="R304" i="16"/>
  <c r="R199" i="16"/>
  <c r="R140" i="16"/>
  <c r="R337" i="16"/>
  <c r="R352" i="16"/>
  <c r="R311" i="16"/>
  <c r="R159" i="16"/>
  <c r="R46" i="16"/>
  <c r="R281" i="16"/>
  <c r="R493" i="16"/>
  <c r="R316" i="16"/>
  <c r="R29" i="16"/>
  <c r="R457" i="16"/>
  <c r="R578" i="16"/>
  <c r="R77" i="16"/>
  <c r="R435" i="16"/>
  <c r="R525" i="16"/>
  <c r="R617" i="16"/>
  <c r="R613" i="16"/>
  <c r="R526" i="16"/>
  <c r="R381" i="16"/>
  <c r="R152" i="16"/>
  <c r="R227" i="16"/>
  <c r="R395" i="16"/>
  <c r="R580" i="16"/>
  <c r="R591" i="16"/>
  <c r="R597" i="16"/>
  <c r="R237" i="16"/>
  <c r="R157" i="16"/>
  <c r="R375" i="16"/>
  <c r="R320" i="16"/>
  <c r="R50" i="16"/>
  <c r="R415" i="16"/>
  <c r="R378" i="16"/>
  <c r="R478" i="16"/>
  <c r="R243" i="16"/>
  <c r="R483" i="16"/>
  <c r="R267" i="16"/>
  <c r="R165" i="16"/>
  <c r="R308" i="16"/>
  <c r="R216" i="16"/>
  <c r="R482" i="16"/>
  <c r="R624" i="16"/>
  <c r="R211" i="16"/>
  <c r="R609" i="16"/>
  <c r="R187" i="16"/>
  <c r="R376" i="16"/>
  <c r="R51" i="16"/>
  <c r="R226" i="16"/>
  <c r="R588" i="16"/>
  <c r="R134" i="16"/>
  <c r="R244" i="16"/>
  <c r="R272" i="16"/>
  <c r="R590" i="16"/>
  <c r="R407" i="16"/>
  <c r="R370" i="16"/>
  <c r="R374" i="16"/>
  <c r="R419" i="16"/>
  <c r="R602" i="16"/>
  <c r="R353" i="16"/>
  <c r="R513" i="16"/>
  <c r="R168" i="16"/>
  <c r="R573" i="16"/>
  <c r="R258" i="16"/>
  <c r="R612" i="16"/>
  <c r="R48" i="16"/>
  <c r="R447" i="16"/>
  <c r="R511" i="16"/>
  <c r="R401" i="16"/>
  <c r="R523" i="16"/>
  <c r="R169" i="16"/>
  <c r="R270" i="16"/>
  <c r="R278" i="16"/>
  <c r="R274" i="16"/>
  <c r="R458" i="16"/>
  <c r="R296" i="16"/>
  <c r="R499" i="16"/>
  <c r="R505" i="16"/>
  <c r="R299" i="16"/>
  <c r="R459" i="16"/>
  <c r="R335" i="16"/>
  <c r="R209" i="16"/>
  <c r="R220" i="16"/>
  <c r="R581" i="16"/>
  <c r="R571" i="16"/>
  <c r="R519" i="16"/>
  <c r="R171" i="16"/>
  <c r="R448" i="16"/>
  <c r="R136" i="16"/>
  <c r="R67" i="16"/>
  <c r="R108" i="16"/>
  <c r="R366" i="16"/>
  <c r="R83" i="16"/>
  <c r="R19" i="16"/>
  <c r="R62" i="16"/>
  <c r="R398" i="16"/>
  <c r="R166" i="16"/>
  <c r="R154" i="16"/>
  <c r="R188" i="16"/>
  <c r="R331" i="16"/>
  <c r="R182" i="16"/>
  <c r="R122" i="16"/>
  <c r="R277" i="16"/>
  <c r="R32" i="16"/>
  <c r="R194" i="16"/>
  <c r="R79" i="16"/>
  <c r="R431" i="16"/>
  <c r="R390" i="16"/>
  <c r="R497" i="16"/>
  <c r="R603" i="16"/>
  <c r="R293" i="16"/>
  <c r="R420" i="16"/>
  <c r="R570" i="16"/>
  <c r="R341" i="16"/>
  <c r="R367" i="16"/>
  <c r="R106" i="16"/>
  <c r="R253" i="16"/>
  <c r="R564" i="16"/>
  <c r="R47" i="16"/>
  <c r="R481" i="16"/>
  <c r="R473" i="16"/>
  <c r="R120" i="16"/>
  <c r="R300" i="16"/>
  <c r="R33" i="16"/>
  <c r="R173" i="16"/>
  <c r="R409" i="16"/>
  <c r="R239" i="16"/>
  <c r="R567" i="16"/>
  <c r="R593" i="16"/>
  <c r="R413" i="16"/>
  <c r="R622" i="16"/>
  <c r="R359" i="16"/>
  <c r="R195" i="16"/>
  <c r="R89" i="16"/>
  <c r="R321" i="16"/>
  <c r="R310" i="16"/>
  <c r="R347" i="16"/>
  <c r="R503" i="16"/>
  <c r="R361" i="16"/>
  <c r="R28" i="16"/>
  <c r="R103" i="16"/>
  <c r="R466" i="16"/>
  <c r="R522" i="16"/>
  <c r="R255" i="16"/>
  <c r="R411" i="16"/>
  <c r="R184" i="16"/>
  <c r="R349" i="16"/>
  <c r="R403" i="16"/>
  <c r="R317" i="16"/>
  <c r="R265" i="16"/>
  <c r="R25" i="16"/>
  <c r="R404" i="16"/>
  <c r="R490" i="16"/>
  <c r="R312" i="16"/>
  <c r="R160" i="16"/>
  <c r="R280" i="16"/>
  <c r="R568" i="16"/>
  <c r="R73" i="16"/>
  <c r="R423" i="16"/>
  <c r="R298" i="16"/>
  <c r="R40" i="16"/>
  <c r="R71" i="16"/>
  <c r="R55" i="16"/>
  <c r="R41" i="16"/>
  <c r="R336" i="16"/>
  <c r="R285" i="16"/>
  <c r="R518" i="16"/>
  <c r="R287" i="16"/>
  <c r="R450" i="16"/>
  <c r="R468" i="16"/>
  <c r="R186" i="16"/>
  <c r="R618" i="16"/>
  <c r="R129" i="16"/>
  <c r="R362" i="16"/>
  <c r="R537" i="16"/>
  <c r="R575" i="16"/>
  <c r="R219" i="16"/>
  <c r="R585" i="16"/>
  <c r="R236" i="16"/>
  <c r="R190" i="16"/>
  <c r="R146" i="16"/>
  <c r="R615" i="16"/>
  <c r="R203" i="16"/>
  <c r="R125" i="16"/>
  <c r="R91" i="16"/>
  <c r="R254" i="16"/>
  <c r="R460" i="16"/>
  <c r="R192" i="16"/>
  <c r="R69" i="16"/>
  <c r="R114" i="16"/>
  <c r="R76" i="16"/>
  <c r="R135" i="16"/>
  <c r="R302" i="16"/>
  <c r="R124" i="16"/>
  <c r="R112" i="16"/>
  <c r="R620" i="16"/>
  <c r="R372" i="16"/>
  <c r="R606" i="16"/>
  <c r="R155" i="16"/>
  <c r="R196" i="16"/>
  <c r="R294" i="16"/>
  <c r="R234" i="16"/>
  <c r="R551" i="16"/>
  <c r="R328" i="16"/>
  <c r="R161" i="16"/>
  <c r="R441" i="16"/>
  <c r="R363" i="16"/>
  <c r="R279" i="16"/>
  <c r="R399" i="16"/>
  <c r="R549" i="16"/>
  <c r="R144" i="16"/>
  <c r="R425" i="16"/>
  <c r="R530" i="16"/>
  <c r="R147" i="16"/>
  <c r="R500" i="16"/>
  <c r="R231" i="16"/>
  <c r="R436" i="16"/>
  <c r="R138" i="16"/>
  <c r="R465" i="16"/>
  <c r="R339" i="16"/>
  <c r="R334" i="16"/>
  <c r="R145" i="16"/>
  <c r="R202" i="16"/>
  <c r="R388" i="16"/>
  <c r="R201" i="16"/>
  <c r="R210" i="16"/>
  <c r="R371" i="16"/>
  <c r="R95" i="16"/>
  <c r="R330" i="16"/>
  <c r="R283" i="16"/>
  <c r="R428" i="16"/>
  <c r="R377" i="16"/>
  <c r="R416" i="16"/>
  <c r="R93" i="16"/>
  <c r="R191" i="16"/>
  <c r="R99" i="16"/>
  <c r="R342" i="16"/>
  <c r="R81" i="16"/>
  <c r="R43" i="16"/>
  <c r="R492" i="16"/>
  <c r="R164" i="16"/>
  <c r="R238" i="16"/>
  <c r="R400" i="16"/>
  <c r="R141" i="16"/>
  <c r="R508" i="16"/>
  <c r="R23" i="16"/>
  <c r="R422" i="16"/>
  <c r="R288" i="16"/>
  <c r="R577" i="16"/>
  <c r="R596" i="16"/>
  <c r="R383" i="16"/>
  <c r="R156" i="16"/>
  <c r="R495" i="16"/>
  <c r="R476" i="16"/>
  <c r="R621" i="16"/>
  <c r="R282" i="16"/>
  <c r="R354" i="16"/>
  <c r="R72" i="16"/>
  <c r="R276" i="16"/>
  <c r="R562" i="16"/>
  <c r="R358" i="16"/>
  <c r="R193" i="16"/>
  <c r="R430" i="16"/>
  <c r="R111" i="16"/>
  <c r="R245" i="16"/>
  <c r="R262" i="16"/>
  <c r="R80" i="16"/>
  <c r="R323" i="16"/>
  <c r="R24" i="16"/>
  <c r="R338" i="16"/>
  <c r="R369" i="16"/>
  <c r="R479" i="16"/>
  <c r="R446" i="16"/>
  <c r="R368" i="16"/>
  <c r="R246" i="16"/>
  <c r="R224" i="16"/>
  <c r="R59" i="16"/>
  <c r="R547" i="16"/>
  <c r="R540" i="16"/>
  <c r="R252" i="16"/>
  <c r="R356" i="16"/>
  <c r="R417" i="16"/>
  <c r="R31" i="16"/>
  <c r="R268" i="16"/>
  <c r="R88" i="16"/>
  <c r="R472" i="16"/>
  <c r="R39" i="16"/>
  <c r="R286" i="16"/>
  <c r="R545" i="16"/>
  <c r="R610" i="16"/>
  <c r="R260" i="16"/>
  <c r="R297" i="16"/>
  <c r="R461" i="16"/>
  <c r="R295" i="16"/>
  <c r="R402" i="16"/>
  <c r="R148" i="16"/>
  <c r="R357" i="16"/>
  <c r="R406" i="16"/>
  <c r="R247" i="16"/>
  <c r="R228" i="16"/>
  <c r="R514" i="16"/>
  <c r="R536" i="16"/>
  <c r="R104" i="16"/>
  <c r="R233" i="16"/>
  <c r="R346" i="16"/>
  <c r="R27" i="16"/>
  <c r="R56" i="16"/>
  <c r="R96" i="16"/>
  <c r="R92" i="16"/>
  <c r="R350" i="16"/>
  <c r="R162" i="16"/>
  <c r="R142" i="16"/>
  <c r="R87" i="16"/>
  <c r="R60" i="16"/>
  <c r="R322" i="16"/>
  <c r="R442" i="16"/>
  <c r="R464" i="16"/>
  <c r="R306" i="16"/>
  <c r="R565" i="16"/>
  <c r="R177" i="16"/>
  <c r="R424" i="16"/>
  <c r="R163" i="16"/>
  <c r="R314" i="16"/>
  <c r="E16" i="11"/>
  <c r="R178" i="16"/>
  <c r="R405" i="16"/>
  <c r="R318" i="16"/>
  <c r="R307" i="16"/>
  <c r="R63" i="16"/>
  <c r="R556" i="16"/>
  <c r="R566" i="16"/>
  <c r="R434" i="16"/>
  <c r="R44" i="16"/>
  <c r="R225" i="16"/>
  <c r="R426" i="16"/>
  <c r="R107" i="16"/>
  <c r="R248" i="16"/>
  <c r="R527" i="16"/>
  <c r="O20" i="16" l="1"/>
  <c r="J17" i="8"/>
  <c r="K17" i="8" s="1"/>
  <c r="B18" i="8"/>
  <c r="O17" i="8"/>
  <c r="C17" i="8"/>
  <c r="P17" i="8"/>
  <c r="L17" i="8"/>
  <c r="M17" i="8" s="1"/>
  <c r="O21" i="16" l="1"/>
  <c r="P18" i="8"/>
  <c r="O18" i="8"/>
  <c r="C18" i="8"/>
  <c r="J18" i="8"/>
  <c r="K18" i="8" s="1"/>
  <c r="B19" i="8"/>
  <c r="L18" i="8"/>
  <c r="M18" i="8" s="1"/>
  <c r="O22" i="16" l="1"/>
  <c r="J19" i="8"/>
  <c r="K19" i="8" s="1"/>
  <c r="B20" i="8"/>
  <c r="O19" i="8"/>
  <c r="C19" i="8"/>
  <c r="P19" i="8"/>
  <c r="L19" i="8"/>
  <c r="M19" i="8" s="1"/>
  <c r="O23" i="16" l="1"/>
  <c r="O24" i="16" s="1"/>
  <c r="O25" i="16" s="1"/>
  <c r="O26" i="16" s="1"/>
  <c r="O27" i="16" s="1"/>
  <c r="O28" i="16" s="1"/>
  <c r="O29" i="16" s="1"/>
  <c r="O30" i="16" s="1"/>
  <c r="O31" i="16" s="1"/>
  <c r="O32" i="16" s="1"/>
  <c r="O33" i="16" s="1"/>
  <c r="O34" i="16" s="1"/>
  <c r="O35" i="16" s="1"/>
  <c r="O36" i="16" s="1"/>
  <c r="O37" i="16" s="1"/>
  <c r="O38" i="16" s="1"/>
  <c r="O39" i="16" s="1"/>
  <c r="O40" i="16" s="1"/>
  <c r="O41" i="16" s="1"/>
  <c r="O42" i="16" s="1"/>
  <c r="O43" i="16" s="1"/>
  <c r="O44" i="16" s="1"/>
  <c r="O45" i="16" s="1"/>
  <c r="O46" i="16" s="1"/>
  <c r="O47" i="16" s="1"/>
  <c r="O48" i="16" s="1"/>
  <c r="O49" i="16" s="1"/>
  <c r="O50" i="16" s="1"/>
  <c r="O51" i="16" s="1"/>
  <c r="O52" i="16" s="1"/>
  <c r="O53" i="16" s="1"/>
  <c r="O54" i="16" s="1"/>
  <c r="O55" i="16" s="1"/>
  <c r="O56" i="16" s="1"/>
  <c r="O57" i="16" s="1"/>
  <c r="O58" i="16" s="1"/>
  <c r="O59" i="16" s="1"/>
  <c r="O60" i="16" s="1"/>
  <c r="O61" i="16" s="1"/>
  <c r="O62" i="16" s="1"/>
  <c r="O63" i="16" s="1"/>
  <c r="O64" i="16" s="1"/>
  <c r="O65" i="16" s="1"/>
  <c r="O66" i="16" s="1"/>
  <c r="O67" i="16" s="1"/>
  <c r="O68" i="16" s="1"/>
  <c r="O69" i="16" s="1"/>
  <c r="O70" i="16" s="1"/>
  <c r="O71" i="16" s="1"/>
  <c r="O72" i="16" s="1"/>
  <c r="O73" i="16" s="1"/>
  <c r="O74" i="16" s="1"/>
  <c r="O75" i="16" s="1"/>
  <c r="O76" i="16" s="1"/>
  <c r="O77" i="16" s="1"/>
  <c r="O78" i="16" s="1"/>
  <c r="O79" i="16" s="1"/>
  <c r="O80" i="16" s="1"/>
  <c r="O81" i="16" s="1"/>
  <c r="O82" i="16" s="1"/>
  <c r="O83" i="16" s="1"/>
  <c r="O84" i="16" s="1"/>
  <c r="O85" i="16" s="1"/>
  <c r="O86" i="16" s="1"/>
  <c r="O87" i="16" s="1"/>
  <c r="O88" i="16" s="1"/>
  <c r="O89" i="16" s="1"/>
  <c r="O90" i="16" s="1"/>
  <c r="O91" i="16" s="1"/>
  <c r="O92" i="16" s="1"/>
  <c r="O93" i="16" s="1"/>
  <c r="O94" i="16" s="1"/>
  <c r="O95" i="16" s="1"/>
  <c r="O96" i="16" s="1"/>
  <c r="O97" i="16" s="1"/>
  <c r="O98" i="16" s="1"/>
  <c r="O99" i="16" s="1"/>
  <c r="O100" i="16" s="1"/>
  <c r="O101" i="16" s="1"/>
  <c r="O102" i="16" s="1"/>
  <c r="O103" i="16" s="1"/>
  <c r="O104" i="16" s="1"/>
  <c r="O105" i="16" s="1"/>
  <c r="O106" i="16" s="1"/>
  <c r="O107" i="16" s="1"/>
  <c r="O108" i="16" s="1"/>
  <c r="O109" i="16" s="1"/>
  <c r="O110" i="16" s="1"/>
  <c r="O111" i="16" s="1"/>
  <c r="O112" i="16" s="1"/>
  <c r="O113" i="16" s="1"/>
  <c r="O114" i="16" s="1"/>
  <c r="O115" i="16" s="1"/>
  <c r="O116" i="16" s="1"/>
  <c r="O117" i="16" s="1"/>
  <c r="O118" i="16" s="1"/>
  <c r="O119" i="16" s="1"/>
  <c r="O120" i="16" s="1"/>
  <c r="O121" i="16" s="1"/>
  <c r="O122" i="16" s="1"/>
  <c r="O123" i="16" s="1"/>
  <c r="O124" i="16" s="1"/>
  <c r="O125" i="16" s="1"/>
  <c r="O126" i="16" s="1"/>
  <c r="O127" i="16" s="1"/>
  <c r="O128" i="16" s="1"/>
  <c r="O129" i="16" s="1"/>
  <c r="O130" i="16" s="1"/>
  <c r="O131" i="16" s="1"/>
  <c r="O132" i="16" s="1"/>
  <c r="O133" i="16" s="1"/>
  <c r="O134" i="16" s="1"/>
  <c r="O135" i="16" s="1"/>
  <c r="O136" i="16" s="1"/>
  <c r="O137" i="16" s="1"/>
  <c r="O138" i="16" s="1"/>
  <c r="O139" i="16" s="1"/>
  <c r="O140" i="16" s="1"/>
  <c r="O141" i="16" s="1"/>
  <c r="O142" i="16" s="1"/>
  <c r="O143" i="16" s="1"/>
  <c r="O144" i="16" s="1"/>
  <c r="O145" i="16" s="1"/>
  <c r="O146" i="16" s="1"/>
  <c r="O147" i="16" s="1"/>
  <c r="O148" i="16" s="1"/>
  <c r="O149" i="16" s="1"/>
  <c r="O150" i="16" s="1"/>
  <c r="O151" i="16" s="1"/>
  <c r="O152" i="16" s="1"/>
  <c r="O153" i="16" s="1"/>
  <c r="O154" i="16" s="1"/>
  <c r="O155" i="16" s="1"/>
  <c r="O156" i="16" s="1"/>
  <c r="O157" i="16" s="1"/>
  <c r="O158" i="16" s="1"/>
  <c r="O159" i="16" s="1"/>
  <c r="O160" i="16" s="1"/>
  <c r="O161" i="16" s="1"/>
  <c r="O162" i="16" s="1"/>
  <c r="O163" i="16" s="1"/>
  <c r="O164" i="16" s="1"/>
  <c r="O165" i="16" s="1"/>
  <c r="O166" i="16" s="1"/>
  <c r="O167" i="16" s="1"/>
  <c r="O168" i="16" s="1"/>
  <c r="O169" i="16" s="1"/>
  <c r="O170" i="16" s="1"/>
  <c r="O171" i="16" s="1"/>
  <c r="O172" i="16" s="1"/>
  <c r="O173" i="16" s="1"/>
  <c r="O174" i="16" s="1"/>
  <c r="O175" i="16" s="1"/>
  <c r="O176" i="16" s="1"/>
  <c r="O177" i="16" s="1"/>
  <c r="O178" i="16" s="1"/>
  <c r="O179" i="16" s="1"/>
  <c r="O180" i="16" s="1"/>
  <c r="O181" i="16" s="1"/>
  <c r="O182" i="16" s="1"/>
  <c r="O183" i="16" s="1"/>
  <c r="O184" i="16" s="1"/>
  <c r="O185" i="16" s="1"/>
  <c r="O186" i="16" s="1"/>
  <c r="O187" i="16" s="1"/>
  <c r="O188" i="16" s="1"/>
  <c r="O189" i="16" s="1"/>
  <c r="O190" i="16" s="1"/>
  <c r="O191" i="16" s="1"/>
  <c r="O192" i="16" s="1"/>
  <c r="O193" i="16" s="1"/>
  <c r="O194" i="16" s="1"/>
  <c r="O195" i="16" s="1"/>
  <c r="O196" i="16" s="1"/>
  <c r="O197" i="16" s="1"/>
  <c r="O198" i="16" s="1"/>
  <c r="O199" i="16" s="1"/>
  <c r="O200" i="16" s="1"/>
  <c r="O201" i="16" s="1"/>
  <c r="O202" i="16" s="1"/>
  <c r="O203" i="16" s="1"/>
  <c r="O204" i="16" s="1"/>
  <c r="O205" i="16" s="1"/>
  <c r="O206" i="16" s="1"/>
  <c r="O207" i="16" s="1"/>
  <c r="O208" i="16" s="1"/>
  <c r="O209" i="16" s="1"/>
  <c r="O210" i="16" s="1"/>
  <c r="O211" i="16" s="1"/>
  <c r="O212" i="16" s="1"/>
  <c r="O213" i="16" s="1"/>
  <c r="O214" i="16" s="1"/>
  <c r="O215" i="16" s="1"/>
  <c r="O216" i="16" s="1"/>
  <c r="O217" i="16" s="1"/>
  <c r="O218" i="16" s="1"/>
  <c r="O219" i="16" s="1"/>
  <c r="O220" i="16" s="1"/>
  <c r="O221" i="16" s="1"/>
  <c r="O222" i="16" s="1"/>
  <c r="O223" i="16" s="1"/>
  <c r="O224" i="16" s="1"/>
  <c r="O225" i="16" s="1"/>
  <c r="O226" i="16" s="1"/>
  <c r="O227" i="16" s="1"/>
  <c r="O228" i="16" s="1"/>
  <c r="O229" i="16" s="1"/>
  <c r="O230" i="16" s="1"/>
  <c r="O231" i="16" s="1"/>
  <c r="O232" i="16" s="1"/>
  <c r="O233" i="16" s="1"/>
  <c r="O234" i="16" s="1"/>
  <c r="O235" i="16" s="1"/>
  <c r="O236" i="16" s="1"/>
  <c r="O237" i="16" s="1"/>
  <c r="O238" i="16" s="1"/>
  <c r="O239" i="16" s="1"/>
  <c r="O240" i="16" s="1"/>
  <c r="O241" i="16" s="1"/>
  <c r="O242" i="16" s="1"/>
  <c r="O243" i="16" s="1"/>
  <c r="O244" i="16" s="1"/>
  <c r="O245" i="16" s="1"/>
  <c r="O246" i="16" s="1"/>
  <c r="O247" i="16" s="1"/>
  <c r="O248" i="16" s="1"/>
  <c r="O249" i="16" s="1"/>
  <c r="O250" i="16" s="1"/>
  <c r="O251" i="16" s="1"/>
  <c r="O252" i="16" s="1"/>
  <c r="O253" i="16" s="1"/>
  <c r="O254" i="16" s="1"/>
  <c r="O255" i="16" s="1"/>
  <c r="O256" i="16" s="1"/>
  <c r="O257" i="16" s="1"/>
  <c r="O258" i="16" s="1"/>
  <c r="O259" i="16" s="1"/>
  <c r="O260" i="16" s="1"/>
  <c r="O261" i="16" s="1"/>
  <c r="O262" i="16" s="1"/>
  <c r="O263" i="16" s="1"/>
  <c r="O264" i="16" s="1"/>
  <c r="O265" i="16" s="1"/>
  <c r="O266" i="16" s="1"/>
  <c r="O267" i="16" s="1"/>
  <c r="O268" i="16" s="1"/>
  <c r="O269" i="16" s="1"/>
  <c r="O270" i="16" s="1"/>
  <c r="O271" i="16" s="1"/>
  <c r="O272" i="16" s="1"/>
  <c r="O273" i="16" s="1"/>
  <c r="O274" i="16" s="1"/>
  <c r="O275" i="16" s="1"/>
  <c r="O276" i="16" s="1"/>
  <c r="O277" i="16" s="1"/>
  <c r="O278" i="16" s="1"/>
  <c r="O279" i="16" s="1"/>
  <c r="O280" i="16" s="1"/>
  <c r="O281" i="16" s="1"/>
  <c r="O282" i="16" s="1"/>
  <c r="O283" i="16" s="1"/>
  <c r="O284" i="16" s="1"/>
  <c r="O285" i="16" s="1"/>
  <c r="O286" i="16" s="1"/>
  <c r="O287" i="16" s="1"/>
  <c r="O288" i="16" s="1"/>
  <c r="O289" i="16" s="1"/>
  <c r="O290" i="16" s="1"/>
  <c r="O291" i="16" s="1"/>
  <c r="O292" i="16" s="1"/>
  <c r="O293" i="16" s="1"/>
  <c r="O294" i="16" s="1"/>
  <c r="O295" i="16" s="1"/>
  <c r="O296" i="16" s="1"/>
  <c r="O297" i="16" s="1"/>
  <c r="P20" i="8"/>
  <c r="O20" i="8"/>
  <c r="C20" i="8"/>
  <c r="J20" i="8"/>
  <c r="K20" i="8" s="1"/>
  <c r="L20" i="8"/>
  <c r="M20" i="8" s="1"/>
  <c r="B21" i="8"/>
  <c r="O298" i="16" l="1"/>
  <c r="O299" i="16" s="1"/>
  <c r="J21" i="8"/>
  <c r="K21" i="8" s="1"/>
  <c r="B22" i="8"/>
  <c r="O21" i="8"/>
  <c r="C21" i="8"/>
  <c r="P21" i="8"/>
  <c r="L21" i="8"/>
  <c r="M21" i="8" s="1"/>
  <c r="O300" i="16" l="1"/>
  <c r="P22" i="8"/>
  <c r="O22" i="8"/>
  <c r="C22" i="8"/>
  <c r="J22" i="8"/>
  <c r="K22" i="8" s="1"/>
  <c r="B23" i="8"/>
  <c r="L22" i="8"/>
  <c r="M22" i="8" s="1"/>
  <c r="O301" i="16" l="1"/>
  <c r="J23" i="8"/>
  <c r="K23" i="8" s="1"/>
  <c r="B24" i="8"/>
  <c r="O23" i="8"/>
  <c r="C23" i="8"/>
  <c r="P23" i="8"/>
  <c r="L23" i="8"/>
  <c r="M23" i="8" s="1"/>
  <c r="O302" i="16" l="1"/>
  <c r="P24" i="8"/>
  <c r="O24" i="8"/>
  <c r="C24" i="8"/>
  <c r="J24" i="8"/>
  <c r="K24" i="8" s="1"/>
  <c r="L24" i="8"/>
  <c r="M24" i="8" s="1"/>
  <c r="B25" i="8"/>
  <c r="O303" i="16" l="1"/>
  <c r="J25" i="8"/>
  <c r="K25" i="8" s="1"/>
  <c r="B26" i="8"/>
  <c r="O25" i="8"/>
  <c r="C25" i="8"/>
  <c r="P25" i="8"/>
  <c r="L25" i="8"/>
  <c r="M25" i="8" s="1"/>
  <c r="O304" i="16" l="1"/>
  <c r="O305" i="16" s="1"/>
  <c r="O306" i="16" s="1"/>
  <c r="P26" i="8"/>
  <c r="O26" i="8"/>
  <c r="C26" i="8"/>
  <c r="J26" i="8"/>
  <c r="K26" i="8" s="1"/>
  <c r="B27" i="8"/>
  <c r="L26" i="8"/>
  <c r="M26" i="8" s="1"/>
  <c r="O307" i="16" l="1"/>
  <c r="O308" i="16" s="1"/>
  <c r="J27" i="8"/>
  <c r="K27" i="8" s="1"/>
  <c r="B28" i="8"/>
  <c r="O27" i="8"/>
  <c r="C27" i="8"/>
  <c r="P27" i="8"/>
  <c r="L27" i="8"/>
  <c r="M27" i="8" s="1"/>
  <c r="O309" i="16" l="1"/>
  <c r="P28" i="8"/>
  <c r="O28" i="8"/>
  <c r="C28" i="8"/>
  <c r="J28" i="8"/>
  <c r="K28" i="8" s="1"/>
  <c r="L28" i="8"/>
  <c r="M28" i="8" s="1"/>
  <c r="B29" i="8"/>
  <c r="O310" i="16" l="1"/>
  <c r="J29" i="8"/>
  <c r="K29" i="8" s="1"/>
  <c r="B30" i="8"/>
  <c r="O29" i="8"/>
  <c r="C29" i="8"/>
  <c r="P29" i="8"/>
  <c r="L29" i="8"/>
  <c r="M29" i="8" s="1"/>
  <c r="O311" i="16" l="1"/>
  <c r="P30" i="8"/>
  <c r="O30" i="8"/>
  <c r="C30" i="8"/>
  <c r="J30" i="8"/>
  <c r="K30" i="8" s="1"/>
  <c r="B31" i="8"/>
  <c r="L30" i="8"/>
  <c r="M30" i="8" s="1"/>
  <c r="O312" i="16" l="1"/>
  <c r="J31" i="8"/>
  <c r="K31" i="8" s="1"/>
  <c r="B32" i="8"/>
  <c r="O31" i="8"/>
  <c r="C31" i="8"/>
  <c r="L31" i="8"/>
  <c r="M31" i="8" s="1"/>
  <c r="P31" i="8"/>
  <c r="O313" i="16" l="1"/>
  <c r="O314" i="16" s="1"/>
  <c r="O315" i="16" s="1"/>
  <c r="O316" i="16" s="1"/>
  <c r="O317" i="16" s="1"/>
  <c r="O318" i="16" s="1"/>
  <c r="O319" i="16" s="1"/>
  <c r="O320" i="16" s="1"/>
  <c r="O321" i="16" s="1"/>
  <c r="O322" i="16" s="1"/>
  <c r="O323" i="16" s="1"/>
  <c r="O324" i="16" s="1"/>
  <c r="O325" i="16" s="1"/>
  <c r="O326" i="16" s="1"/>
  <c r="O327" i="16" s="1"/>
  <c r="O328" i="16" s="1"/>
  <c r="O329" i="16" s="1"/>
  <c r="O330" i="16" s="1"/>
  <c r="O331" i="16" s="1"/>
  <c r="O332" i="16" s="1"/>
  <c r="O333" i="16" s="1"/>
  <c r="O334" i="16" s="1"/>
  <c r="O335" i="16" s="1"/>
  <c r="O336" i="16" s="1"/>
  <c r="O337" i="16" s="1"/>
  <c r="O338" i="16" s="1"/>
  <c r="O339" i="16" s="1"/>
  <c r="O340" i="16" s="1"/>
  <c r="O341" i="16" s="1"/>
  <c r="O342" i="16" s="1"/>
  <c r="O343" i="16" s="1"/>
  <c r="O344" i="16" s="1"/>
  <c r="O345" i="16" s="1"/>
  <c r="O346" i="16" s="1"/>
  <c r="O347" i="16" s="1"/>
  <c r="O348" i="16" s="1"/>
  <c r="O349" i="16" s="1"/>
  <c r="O350" i="16" s="1"/>
  <c r="O351" i="16" s="1"/>
  <c r="O352" i="16" s="1"/>
  <c r="O353" i="16" s="1"/>
  <c r="O354" i="16" s="1"/>
  <c r="O355" i="16" s="1"/>
  <c r="O356" i="16" s="1"/>
  <c r="O357" i="16" s="1"/>
  <c r="O358" i="16" s="1"/>
  <c r="O359" i="16" s="1"/>
  <c r="O360" i="16" s="1"/>
  <c r="O361" i="16" s="1"/>
  <c r="O362" i="16" s="1"/>
  <c r="O363" i="16" s="1"/>
  <c r="O364" i="16" s="1"/>
  <c r="O365" i="16" s="1"/>
  <c r="O366" i="16" s="1"/>
  <c r="O367" i="16" s="1"/>
  <c r="O368" i="16" s="1"/>
  <c r="O369" i="16" s="1"/>
  <c r="O370" i="16" s="1"/>
  <c r="O371" i="16" s="1"/>
  <c r="O372" i="16" s="1"/>
  <c r="O373" i="16" s="1"/>
  <c r="O374" i="16" s="1"/>
  <c r="O375" i="16" s="1"/>
  <c r="O376" i="16" s="1"/>
  <c r="O377" i="16" s="1"/>
  <c r="O378" i="16" s="1"/>
  <c r="O379" i="16" s="1"/>
  <c r="O380" i="16" s="1"/>
  <c r="O381" i="16" s="1"/>
  <c r="O382" i="16" s="1"/>
  <c r="O383" i="16" s="1"/>
  <c r="O384" i="16" s="1"/>
  <c r="O385" i="16" s="1"/>
  <c r="O386" i="16" s="1"/>
  <c r="O387" i="16" s="1"/>
  <c r="O388" i="16" s="1"/>
  <c r="O389" i="16" s="1"/>
  <c r="O390" i="16" s="1"/>
  <c r="O391" i="16" s="1"/>
  <c r="O392" i="16" s="1"/>
  <c r="O393" i="16" s="1"/>
  <c r="O394" i="16" s="1"/>
  <c r="O395" i="16" s="1"/>
  <c r="O396" i="16" s="1"/>
  <c r="O397" i="16" s="1"/>
  <c r="O398" i="16" s="1"/>
  <c r="O399" i="16" s="1"/>
  <c r="O400" i="16" s="1"/>
  <c r="O401" i="16" s="1"/>
  <c r="O402" i="16" s="1"/>
  <c r="O403" i="16" s="1"/>
  <c r="O404" i="16" s="1"/>
  <c r="O405" i="16" s="1"/>
  <c r="O406" i="16" s="1"/>
  <c r="O407" i="16" s="1"/>
  <c r="O408" i="16" s="1"/>
  <c r="O409" i="16" s="1"/>
  <c r="O410" i="16" s="1"/>
  <c r="O411" i="16" s="1"/>
  <c r="O412" i="16" s="1"/>
  <c r="O413" i="16" s="1"/>
  <c r="O414" i="16" s="1"/>
  <c r="O415" i="16" s="1"/>
  <c r="O416" i="16" s="1"/>
  <c r="O417" i="16" s="1"/>
  <c r="O418" i="16" s="1"/>
  <c r="O419" i="16" s="1"/>
  <c r="O420" i="16" s="1"/>
  <c r="O421" i="16" s="1"/>
  <c r="O422" i="16" s="1"/>
  <c r="O423" i="16" s="1"/>
  <c r="O424" i="16" s="1"/>
  <c r="O425" i="16" s="1"/>
  <c r="O426" i="16" s="1"/>
  <c r="O427" i="16" s="1"/>
  <c r="O428" i="16" s="1"/>
  <c r="O429" i="16" s="1"/>
  <c r="O430" i="16" s="1"/>
  <c r="O431" i="16" s="1"/>
  <c r="O432" i="16" s="1"/>
  <c r="O433" i="16" s="1"/>
  <c r="O434" i="16" s="1"/>
  <c r="O435" i="16" s="1"/>
  <c r="O436" i="16" s="1"/>
  <c r="O437" i="16" s="1"/>
  <c r="O438" i="16" s="1"/>
  <c r="O439" i="16" s="1"/>
  <c r="O440" i="16" s="1"/>
  <c r="O441" i="16" s="1"/>
  <c r="O442" i="16" s="1"/>
  <c r="O443" i="16" s="1"/>
  <c r="O444" i="16" s="1"/>
  <c r="O445" i="16" s="1"/>
  <c r="O446" i="16" s="1"/>
  <c r="O447" i="16" s="1"/>
  <c r="O448" i="16" s="1"/>
  <c r="O449" i="16" s="1"/>
  <c r="O450" i="16" s="1"/>
  <c r="O451" i="16" s="1"/>
  <c r="O452" i="16" s="1"/>
  <c r="O453" i="16" s="1"/>
  <c r="O454" i="16" s="1"/>
  <c r="O455" i="16" s="1"/>
  <c r="O456" i="16" s="1"/>
  <c r="O457" i="16" s="1"/>
  <c r="O458" i="16" s="1"/>
  <c r="O459" i="16" s="1"/>
  <c r="O460" i="16" s="1"/>
  <c r="O461" i="16" s="1"/>
  <c r="O462" i="16" s="1"/>
  <c r="O463" i="16" s="1"/>
  <c r="O464" i="16" s="1"/>
  <c r="O465" i="16" s="1"/>
  <c r="O466" i="16" s="1"/>
  <c r="O467" i="16" s="1"/>
  <c r="O468" i="16" s="1"/>
  <c r="O469" i="16" s="1"/>
  <c r="O470" i="16" s="1"/>
  <c r="O471" i="16" s="1"/>
  <c r="O472" i="16" s="1"/>
  <c r="O473" i="16" s="1"/>
  <c r="O474" i="16" s="1"/>
  <c r="O475" i="16" s="1"/>
  <c r="O476" i="16" s="1"/>
  <c r="O477" i="16" s="1"/>
  <c r="O478" i="16" s="1"/>
  <c r="O479" i="16" s="1"/>
  <c r="O480" i="16" s="1"/>
  <c r="O481" i="16" s="1"/>
  <c r="O482" i="16" s="1"/>
  <c r="O483" i="16" s="1"/>
  <c r="O484" i="16" s="1"/>
  <c r="O485" i="16" s="1"/>
  <c r="O486" i="16" s="1"/>
  <c r="O487" i="16" s="1"/>
  <c r="O488" i="16" s="1"/>
  <c r="O489" i="16" s="1"/>
  <c r="O490" i="16" s="1"/>
  <c r="O491" i="16" s="1"/>
  <c r="O492" i="16" s="1"/>
  <c r="O493" i="16" s="1"/>
  <c r="O494" i="16" s="1"/>
  <c r="O495" i="16" s="1"/>
  <c r="O496" i="16" s="1"/>
  <c r="O497" i="16" s="1"/>
  <c r="O498" i="16" s="1"/>
  <c r="O499" i="16" s="1"/>
  <c r="O500" i="16" s="1"/>
  <c r="O501" i="16" s="1"/>
  <c r="O502" i="16" s="1"/>
  <c r="O503" i="16" s="1"/>
  <c r="O504" i="16" s="1"/>
  <c r="O505" i="16" s="1"/>
  <c r="O506" i="16" s="1"/>
  <c r="O507" i="16" s="1"/>
  <c r="O508" i="16" s="1"/>
  <c r="O509" i="16" s="1"/>
  <c r="O510" i="16" s="1"/>
  <c r="O511" i="16" s="1"/>
  <c r="O512" i="16" s="1"/>
  <c r="O513" i="16" s="1"/>
  <c r="O514" i="16" s="1"/>
  <c r="O515" i="16" s="1"/>
  <c r="O516" i="16" s="1"/>
  <c r="O517" i="16" s="1"/>
  <c r="O518" i="16" s="1"/>
  <c r="O519" i="16" s="1"/>
  <c r="O520" i="16" s="1"/>
  <c r="O521" i="16" s="1"/>
  <c r="O522" i="16" s="1"/>
  <c r="O523" i="16" s="1"/>
  <c r="O524" i="16" s="1"/>
  <c r="O525" i="16" s="1"/>
  <c r="O526" i="16" s="1"/>
  <c r="O527" i="16" s="1"/>
  <c r="O528" i="16" s="1"/>
  <c r="O529" i="16" s="1"/>
  <c r="O530" i="16" s="1"/>
  <c r="O531" i="16" s="1"/>
  <c r="O532" i="16" s="1"/>
  <c r="O533" i="16" s="1"/>
  <c r="O534" i="16" s="1"/>
  <c r="O535" i="16" s="1"/>
  <c r="O536" i="16" s="1"/>
  <c r="O537" i="16" s="1"/>
  <c r="O538" i="16" s="1"/>
  <c r="O539" i="16" s="1"/>
  <c r="O540" i="16" s="1"/>
  <c r="O541" i="16" s="1"/>
  <c r="O542" i="16" s="1"/>
  <c r="O543" i="16" s="1"/>
  <c r="O544" i="16" s="1"/>
  <c r="O545" i="16" s="1"/>
  <c r="O546" i="16" s="1"/>
  <c r="O547" i="16" s="1"/>
  <c r="O548" i="16" s="1"/>
  <c r="O549" i="16" s="1"/>
  <c r="O550" i="16" s="1"/>
  <c r="O551" i="16" s="1"/>
  <c r="O552" i="16" s="1"/>
  <c r="O553" i="16" s="1"/>
  <c r="O554" i="16" s="1"/>
  <c r="O555" i="16" s="1"/>
  <c r="O556" i="16" s="1"/>
  <c r="O557" i="16" s="1"/>
  <c r="O558" i="16" s="1"/>
  <c r="O559" i="16" s="1"/>
  <c r="O560" i="16" s="1"/>
  <c r="O561" i="16" s="1"/>
  <c r="O562" i="16" s="1"/>
  <c r="O563" i="16" s="1"/>
  <c r="O564" i="16" s="1"/>
  <c r="O565" i="16" s="1"/>
  <c r="O566" i="16" s="1"/>
  <c r="O567" i="16" s="1"/>
  <c r="O568" i="16" s="1"/>
  <c r="O569" i="16" s="1"/>
  <c r="O570" i="16" s="1"/>
  <c r="O571" i="16" s="1"/>
  <c r="O572" i="16" s="1"/>
  <c r="O573" i="16" s="1"/>
  <c r="O574" i="16" s="1"/>
  <c r="O575" i="16" s="1"/>
  <c r="O576" i="16" s="1"/>
  <c r="O577" i="16" s="1"/>
  <c r="O578" i="16" s="1"/>
  <c r="O579" i="16" s="1"/>
  <c r="O580" i="16" s="1"/>
  <c r="O581" i="16" s="1"/>
  <c r="O582" i="16" s="1"/>
  <c r="O583" i="16" s="1"/>
  <c r="O584" i="16" s="1"/>
  <c r="O585" i="16" s="1"/>
  <c r="O586" i="16" s="1"/>
  <c r="O587" i="16" s="1"/>
  <c r="O588" i="16" s="1"/>
  <c r="O589" i="16" s="1"/>
  <c r="O590" i="16" s="1"/>
  <c r="O591" i="16" s="1"/>
  <c r="O592" i="16" s="1"/>
  <c r="O593" i="16" s="1"/>
  <c r="O594" i="16" s="1"/>
  <c r="O595" i="16" s="1"/>
  <c r="O596" i="16" s="1"/>
  <c r="O597" i="16" s="1"/>
  <c r="O598" i="16" s="1"/>
  <c r="O599" i="16" s="1"/>
  <c r="O600" i="16" s="1"/>
  <c r="O601" i="16" s="1"/>
  <c r="O602" i="16" s="1"/>
  <c r="O603" i="16" s="1"/>
  <c r="O604" i="16" s="1"/>
  <c r="O605" i="16" s="1"/>
  <c r="O606" i="16" s="1"/>
  <c r="O607" i="16" s="1"/>
  <c r="O608" i="16" s="1"/>
  <c r="O609" i="16" s="1"/>
  <c r="O610" i="16" s="1"/>
  <c r="O611" i="16" s="1"/>
  <c r="O612" i="16" s="1"/>
  <c r="O613" i="16" s="1"/>
  <c r="O614" i="16" s="1"/>
  <c r="O615" i="16" s="1"/>
  <c r="O616" i="16" s="1"/>
  <c r="O617" i="16" s="1"/>
  <c r="O618" i="16" s="1"/>
  <c r="O619" i="16" s="1"/>
  <c r="O620" i="16" s="1"/>
  <c r="O621" i="16" s="1"/>
  <c r="O622" i="16" s="1"/>
  <c r="O623" i="16" s="1"/>
  <c r="O624" i="16" s="1"/>
  <c r="O625" i="16" s="1"/>
  <c r="P5" i="16" s="1"/>
  <c r="P32" i="8"/>
  <c r="O32" i="8"/>
  <c r="C32" i="8"/>
  <c r="J32" i="8"/>
  <c r="K32" i="8" s="1"/>
  <c r="L32" i="8"/>
  <c r="M32" i="8" s="1"/>
  <c r="B33" i="8"/>
  <c r="P330" i="16" l="1"/>
  <c r="P6" i="16"/>
  <c r="P474" i="16"/>
  <c r="P443" i="16"/>
  <c r="P365" i="16"/>
  <c r="P310" i="16"/>
  <c r="P399" i="16"/>
  <c r="P518" i="16"/>
  <c r="P470" i="16"/>
  <c r="P307" i="16"/>
  <c r="P414" i="16"/>
  <c r="P502" i="16"/>
  <c r="P332" i="16"/>
  <c r="P571" i="16"/>
  <c r="P369" i="16"/>
  <c r="P454" i="16"/>
  <c r="P398" i="16"/>
  <c r="P604" i="16"/>
  <c r="P376" i="16"/>
  <c r="P618" i="16"/>
  <c r="P588" i="16"/>
  <c r="P407" i="16"/>
  <c r="P412" i="16"/>
  <c r="P441" i="16"/>
  <c r="P582" i="16"/>
  <c r="P444" i="16"/>
  <c r="P529" i="16"/>
  <c r="P302" i="16"/>
  <c r="P556" i="16"/>
  <c r="P517" i="16"/>
  <c r="P560" i="16"/>
  <c r="P581" i="16"/>
  <c r="P351" i="16"/>
  <c r="P526" i="16"/>
  <c r="P530" i="16"/>
  <c r="P490" i="16"/>
  <c r="P336" i="16"/>
  <c r="P341" i="16"/>
  <c r="P317" i="16"/>
  <c r="P388" i="16"/>
  <c r="P326" i="16"/>
  <c r="P602" i="16"/>
  <c r="P411" i="16"/>
  <c r="P401" i="16"/>
  <c r="P429" i="16"/>
  <c r="P579" i="16"/>
  <c r="P535" i="16"/>
  <c r="P570" i="16"/>
  <c r="P350" i="16"/>
  <c r="P316" i="16"/>
  <c r="P342" i="16"/>
  <c r="P348" i="16"/>
  <c r="P504" i="16"/>
  <c r="P506" i="16"/>
  <c r="P425" i="16"/>
  <c r="P493" i="16"/>
  <c r="P361" i="16"/>
  <c r="P528" i="16"/>
  <c r="P421" i="16"/>
  <c r="P452" i="16"/>
  <c r="P523" i="16"/>
  <c r="P465" i="16"/>
  <c r="P519" i="16"/>
  <c r="P451" i="16"/>
  <c r="P380" i="16"/>
  <c r="P503" i="16"/>
  <c r="P395" i="16"/>
  <c r="P379" i="16"/>
  <c r="P464" i="16"/>
  <c r="P492" i="16"/>
  <c r="P426" i="16"/>
  <c r="P471" i="16"/>
  <c r="P475" i="16"/>
  <c r="P546" i="16"/>
  <c r="P481" i="16"/>
  <c r="P568" i="16"/>
  <c r="P392" i="16"/>
  <c r="P334" i="16"/>
  <c r="P337" i="16"/>
  <c r="P306" i="16"/>
  <c r="P358" i="16"/>
  <c r="P524" i="16"/>
  <c r="P327" i="16"/>
  <c r="P511" i="16"/>
  <c r="P437" i="16"/>
  <c r="P510" i="16"/>
  <c r="P540" i="16"/>
  <c r="P323" i="16"/>
  <c r="P614" i="16"/>
  <c r="P354" i="16"/>
  <c r="P373" i="16"/>
  <c r="P320" i="16"/>
  <c r="P359" i="16"/>
  <c r="P497" i="16"/>
  <c r="P567" i="16"/>
  <c r="P304" i="16"/>
  <c r="P488" i="16"/>
  <c r="P477" i="16"/>
  <c r="P333" i="16"/>
  <c r="P584" i="16"/>
  <c r="P321" i="16"/>
  <c r="P623" i="16"/>
  <c r="P544" i="16"/>
  <c r="P404" i="16"/>
  <c r="P561" i="16"/>
  <c r="P396" i="16"/>
  <c r="P408" i="16"/>
  <c r="P384" i="16"/>
  <c r="P442" i="16"/>
  <c r="P370" i="16"/>
  <c r="P483" i="16"/>
  <c r="P438" i="16"/>
  <c r="P565" i="16"/>
  <c r="P355" i="16"/>
  <c r="P402" i="16"/>
  <c r="P324" i="16"/>
  <c r="P479" i="16"/>
  <c r="P436" i="16"/>
  <c r="P613" i="16"/>
  <c r="P390" i="16"/>
  <c r="P538" i="16"/>
  <c r="P461" i="16"/>
  <c r="P532" i="16"/>
  <c r="P484" i="16"/>
  <c r="P377" i="16"/>
  <c r="P356" i="16"/>
  <c r="P476" i="16"/>
  <c r="P391" i="16"/>
  <c r="P460" i="16"/>
  <c r="P368" i="16"/>
  <c r="P491" i="16"/>
  <c r="P600" i="16"/>
  <c r="P383" i="16"/>
  <c r="P455" i="16"/>
  <c r="P448" i="16"/>
  <c r="P615" i="16"/>
  <c r="P558" i="16"/>
  <c r="P621" i="16"/>
  <c r="P345" i="16"/>
  <c r="P562" i="16"/>
  <c r="P303" i="16"/>
  <c r="P466" i="16"/>
  <c r="P393" i="16"/>
  <c r="P620" i="16"/>
  <c r="P552" i="16"/>
  <c r="P405" i="16"/>
  <c r="P527" i="16"/>
  <c r="P331" i="16"/>
  <c r="P480" i="16"/>
  <c r="P418" i="16"/>
  <c r="P381" i="16"/>
  <c r="P305" i="16"/>
  <c r="P462" i="16"/>
  <c r="P505" i="16"/>
  <c r="P619" i="16"/>
  <c r="P339" i="16"/>
  <c r="P420" i="16"/>
  <c r="P607" i="16"/>
  <c r="P574" i="16"/>
  <c r="P593" i="16"/>
  <c r="P406" i="16"/>
  <c r="P371" i="16"/>
  <c r="P575" i="16"/>
  <c r="P539" i="16"/>
  <c r="P509" i="16"/>
  <c r="P564" i="16"/>
  <c r="P352" i="16"/>
  <c r="P340" i="16"/>
  <c r="P486" i="16"/>
  <c r="P501" i="16"/>
  <c r="P328" i="16"/>
  <c r="P555" i="16"/>
  <c r="P458" i="16"/>
  <c r="P563" i="16"/>
  <c r="P500" i="16"/>
  <c r="P456" i="16"/>
  <c r="P512" i="16"/>
  <c r="P450" i="16"/>
  <c r="P435" i="16"/>
  <c r="P453" i="16"/>
  <c r="P566" i="16"/>
  <c r="P463" i="16"/>
  <c r="P551" i="16"/>
  <c r="P343" i="16"/>
  <c r="P312" i="16"/>
  <c r="P536" i="16"/>
  <c r="P416" i="16"/>
  <c r="P547" i="16"/>
  <c r="P357" i="16"/>
  <c r="P580" i="16"/>
  <c r="P520" i="16"/>
  <c r="P478" i="16"/>
  <c r="P382" i="16"/>
  <c r="P573" i="16"/>
  <c r="P549" i="16"/>
  <c r="P487" i="16"/>
  <c r="P309" i="16"/>
  <c r="P449" i="16"/>
  <c r="P606" i="16"/>
  <c r="P428" i="16"/>
  <c r="P375" i="16"/>
  <c r="P616" i="16"/>
  <c r="P353" i="16"/>
  <c r="P319" i="16"/>
  <c r="P410" i="16"/>
  <c r="P489" i="16"/>
  <c r="P559" i="16"/>
  <c r="P495" i="16"/>
  <c r="P583" i="16"/>
  <c r="P599" i="16"/>
  <c r="P400" i="16"/>
  <c r="P415" i="16"/>
  <c r="P605" i="16"/>
  <c r="P367" i="16"/>
  <c r="P622" i="16"/>
  <c r="P603" i="16"/>
  <c r="P432" i="16"/>
  <c r="P617" i="16"/>
  <c r="P516" i="16"/>
  <c r="P311" i="16"/>
  <c r="P515" i="16"/>
  <c r="P362" i="16"/>
  <c r="P595" i="16"/>
  <c r="P344" i="16"/>
  <c r="P531" i="16"/>
  <c r="P372" i="16"/>
  <c r="P386" i="16"/>
  <c r="P374" i="16"/>
  <c r="P507" i="16"/>
  <c r="P537" i="16"/>
  <c r="P468" i="16"/>
  <c r="P329" i="16"/>
  <c r="P572" i="16"/>
  <c r="P545" i="16"/>
  <c r="P496" i="16"/>
  <c r="P482" i="16"/>
  <c r="P315" i="16"/>
  <c r="P591" i="16"/>
  <c r="P525" i="16"/>
  <c r="P385" i="16"/>
  <c r="P409" i="16"/>
  <c r="P597" i="16"/>
  <c r="P554" i="16"/>
  <c r="P417" i="16"/>
  <c r="P389" i="16"/>
  <c r="P430" i="16"/>
  <c r="P542" i="16"/>
  <c r="P586" i="16"/>
  <c r="P431" i="16"/>
  <c r="P534" i="16"/>
  <c r="P469" i="16"/>
  <c r="P576" i="16"/>
  <c r="P325" i="16"/>
  <c r="P403" i="16"/>
  <c r="P424" i="16"/>
  <c r="P499" i="16"/>
  <c r="P601" i="16"/>
  <c r="P578" i="16"/>
  <c r="P338" i="16"/>
  <c r="P335" i="16"/>
  <c r="P318" i="16"/>
  <c r="P427" i="16"/>
  <c r="P624" i="16"/>
  <c r="P553" i="16"/>
  <c r="P433" i="16"/>
  <c r="P394" i="16"/>
  <c r="P446" i="16"/>
  <c r="P422" i="16"/>
  <c r="P434" i="16"/>
  <c r="P419" i="16"/>
  <c r="P541" i="16"/>
  <c r="P589" i="16"/>
  <c r="P314" i="16"/>
  <c r="P347" i="16"/>
  <c r="P522" i="16"/>
  <c r="P513" i="16"/>
  <c r="P548" i="16"/>
  <c r="P313" i="16"/>
  <c r="P440" i="16"/>
  <c r="P349" i="16"/>
  <c r="P521" i="16"/>
  <c r="P322" i="16"/>
  <c r="P625" i="16"/>
  <c r="P485" i="16"/>
  <c r="P508" i="16"/>
  <c r="P610" i="16"/>
  <c r="P609" i="16"/>
  <c r="P472" i="16"/>
  <c r="P543" i="16"/>
  <c r="P569" i="16"/>
  <c r="P494" i="16"/>
  <c r="P550" i="16"/>
  <c r="P363" i="16"/>
  <c r="P413" i="16"/>
  <c r="P596" i="16"/>
  <c r="P364" i="16"/>
  <c r="P598" i="16"/>
  <c r="P587" i="16"/>
  <c r="P308" i="16"/>
  <c r="P577" i="16"/>
  <c r="P378" i="16"/>
  <c r="P439" i="16"/>
  <c r="P467" i="16"/>
  <c r="P360" i="16"/>
  <c r="P366" i="16"/>
  <c r="P590" i="16"/>
  <c r="P594" i="16"/>
  <c r="P557" i="16"/>
  <c r="P423" i="16"/>
  <c r="P592" i="16"/>
  <c r="P498" i="16"/>
  <c r="P445" i="16"/>
  <c r="P346" i="16"/>
  <c r="P612" i="16"/>
  <c r="P514" i="16"/>
  <c r="P473" i="16"/>
  <c r="P457" i="16"/>
  <c r="P585" i="16"/>
  <c r="P533" i="16"/>
  <c r="P387" i="16"/>
  <c r="P611" i="16"/>
  <c r="P459" i="16"/>
  <c r="P447" i="16"/>
  <c r="P608" i="16"/>
  <c r="P397" i="16"/>
  <c r="P8" i="16"/>
  <c r="P7" i="16"/>
  <c r="P9" i="16"/>
  <c r="P11" i="16"/>
  <c r="P12" i="16"/>
  <c r="P10" i="16"/>
  <c r="P14" i="16"/>
  <c r="P13" i="16"/>
  <c r="P19" i="16"/>
  <c r="P173" i="16"/>
  <c r="P16" i="16"/>
  <c r="P33" i="16"/>
  <c r="P21" i="16"/>
  <c r="P276" i="16"/>
  <c r="P31" i="16"/>
  <c r="P232" i="16"/>
  <c r="P114" i="16"/>
  <c r="P224" i="16"/>
  <c r="P198" i="16"/>
  <c r="P168" i="16"/>
  <c r="P43" i="16"/>
  <c r="P150" i="16"/>
  <c r="P167" i="16"/>
  <c r="P122" i="16"/>
  <c r="P231" i="16"/>
  <c r="P130" i="16"/>
  <c r="P185" i="16"/>
  <c r="P148" i="16"/>
  <c r="P35" i="16"/>
  <c r="P153" i="16"/>
  <c r="P242" i="16"/>
  <c r="P67" i="16"/>
  <c r="P116" i="16"/>
  <c r="P158" i="16"/>
  <c r="P182" i="16"/>
  <c r="P203" i="16"/>
  <c r="P66" i="16"/>
  <c r="P265" i="16"/>
  <c r="P96" i="16"/>
  <c r="P288" i="16"/>
  <c r="P128" i="16"/>
  <c r="P270" i="16"/>
  <c r="P64" i="16"/>
  <c r="P171" i="16"/>
  <c r="P144" i="16"/>
  <c r="P273" i="16"/>
  <c r="P133" i="16"/>
  <c r="P98" i="16"/>
  <c r="P280" i="16"/>
  <c r="P74" i="16"/>
  <c r="P28" i="16"/>
  <c r="P294" i="16"/>
  <c r="P220" i="16"/>
  <c r="P209" i="16"/>
  <c r="P95" i="16"/>
  <c r="P217" i="16"/>
  <c r="P15" i="16"/>
  <c r="P69" i="16"/>
  <c r="P142" i="16"/>
  <c r="P123" i="16"/>
  <c r="P222" i="16"/>
  <c r="P68" i="16"/>
  <c r="P210" i="16"/>
  <c r="P85" i="16"/>
  <c r="P216" i="16"/>
  <c r="P57" i="16"/>
  <c r="P235" i="16"/>
  <c r="P195" i="16"/>
  <c r="P230" i="16"/>
  <c r="P218" i="16"/>
  <c r="P166" i="16"/>
  <c r="P44" i="16"/>
  <c r="P125" i="16"/>
  <c r="P285" i="16"/>
  <c r="P261" i="16"/>
  <c r="P102" i="16"/>
  <c r="P219" i="16"/>
  <c r="P254" i="16"/>
  <c r="P70" i="16"/>
  <c r="P284" i="16"/>
  <c r="P189" i="16"/>
  <c r="P103" i="16"/>
  <c r="P89" i="16"/>
  <c r="P287" i="16"/>
  <c r="P124" i="16"/>
  <c r="P139" i="16"/>
  <c r="P274" i="16"/>
  <c r="P163" i="16"/>
  <c r="P192" i="16"/>
  <c r="P165" i="16"/>
  <c r="P154" i="16"/>
  <c r="P145" i="16"/>
  <c r="P160" i="16"/>
  <c r="P162" i="16"/>
  <c r="P298" i="16"/>
  <c r="P82" i="16"/>
  <c r="P109" i="16"/>
  <c r="P289" i="16"/>
  <c r="P53" i="16"/>
  <c r="P179" i="16"/>
  <c r="P211" i="16"/>
  <c r="P87" i="16"/>
  <c r="P199" i="16"/>
  <c r="P226" i="16"/>
  <c r="P88" i="16"/>
  <c r="P137" i="16"/>
  <c r="P169" i="16"/>
  <c r="P190" i="16"/>
  <c r="P223" i="16"/>
  <c r="P55" i="16"/>
  <c r="P65" i="16"/>
  <c r="P181" i="16"/>
  <c r="P251" i="16"/>
  <c r="P94" i="16"/>
  <c r="P191" i="16"/>
  <c r="P107" i="16"/>
  <c r="P90" i="16"/>
  <c r="P79" i="16"/>
  <c r="P175" i="16"/>
  <c r="P257" i="16"/>
  <c r="P75" i="16"/>
  <c r="P61" i="16"/>
  <c r="P115" i="16"/>
  <c r="P174" i="16"/>
  <c r="P42" i="16"/>
  <c r="P255" i="16"/>
  <c r="P234" i="16"/>
  <c r="P172" i="16"/>
  <c r="P100" i="16"/>
  <c r="P236" i="16"/>
  <c r="P248" i="16"/>
  <c r="P291" i="16"/>
  <c r="P36" i="16"/>
  <c r="P170" i="16"/>
  <c r="P58" i="16"/>
  <c r="P156" i="16"/>
  <c r="P17" i="16"/>
  <c r="P127" i="16"/>
  <c r="P267" i="16"/>
  <c r="P256" i="16"/>
  <c r="P238" i="16"/>
  <c r="P245" i="16"/>
  <c r="P277" i="16"/>
  <c r="P246" i="16"/>
  <c r="P282" i="16"/>
  <c r="P207" i="16"/>
  <c r="P194" i="16"/>
  <c r="P161" i="16"/>
  <c r="P206" i="16"/>
  <c r="P41" i="16"/>
  <c r="P176" i="16"/>
  <c r="P106" i="16"/>
  <c r="P99" i="16"/>
  <c r="P258" i="16"/>
  <c r="P138" i="16"/>
  <c r="P45" i="16"/>
  <c r="P47" i="16"/>
  <c r="P49" i="16"/>
  <c r="P204" i="16"/>
  <c r="P84" i="16"/>
  <c r="P20" i="16"/>
  <c r="P247" i="16"/>
  <c r="P215" i="16"/>
  <c r="P111" i="16"/>
  <c r="P268" i="16"/>
  <c r="P240" i="16"/>
  <c r="P243" i="16"/>
  <c r="P86" i="16"/>
  <c r="P229" i="16"/>
  <c r="P262" i="16"/>
  <c r="P202" i="16"/>
  <c r="P18" i="16"/>
  <c r="P205" i="16"/>
  <c r="P263" i="16"/>
  <c r="P63" i="16"/>
  <c r="P126" i="16"/>
  <c r="P279" i="16"/>
  <c r="P151" i="16"/>
  <c r="P237" i="16"/>
  <c r="P253" i="16"/>
  <c r="P141" i="16"/>
  <c r="P225" i="16"/>
  <c r="P140" i="16"/>
  <c r="P201" i="16"/>
  <c r="P134" i="16"/>
  <c r="P241" i="16"/>
  <c r="P272" i="16"/>
  <c r="P101" i="16"/>
  <c r="P71" i="16"/>
  <c r="P146" i="16"/>
  <c r="P22" i="16"/>
  <c r="P184" i="16"/>
  <c r="P147" i="16"/>
  <c r="P26" i="16"/>
  <c r="P39" i="16"/>
  <c r="P105" i="16"/>
  <c r="P80" i="16"/>
  <c r="P113" i="16"/>
  <c r="P91" i="16"/>
  <c r="P149" i="16"/>
  <c r="P120" i="16"/>
  <c r="P104" i="16"/>
  <c r="P46" i="16"/>
  <c r="P188" i="16"/>
  <c r="P34" i="16"/>
  <c r="P23" i="16"/>
  <c r="P197" i="16"/>
  <c r="P112" i="16"/>
  <c r="P200" i="16"/>
  <c r="P281" i="16"/>
  <c r="P260" i="16"/>
  <c r="P129" i="16"/>
  <c r="P73" i="16"/>
  <c r="P77" i="16"/>
  <c r="P51" i="16"/>
  <c r="P54" i="16"/>
  <c r="P92" i="16"/>
  <c r="P136" i="16"/>
  <c r="P296" i="16"/>
  <c r="P157" i="16"/>
  <c r="P50" i="16"/>
  <c r="P221" i="16"/>
  <c r="P24" i="16"/>
  <c r="P271" i="16"/>
  <c r="P283" i="16"/>
  <c r="P196" i="16"/>
  <c r="P37" i="16"/>
  <c r="P278" i="16"/>
  <c r="P60" i="16"/>
  <c r="P228" i="16"/>
  <c r="P131" i="16"/>
  <c r="P286" i="16"/>
  <c r="P108" i="16"/>
  <c r="P30" i="16"/>
  <c r="P233" i="16"/>
  <c r="P119" i="16"/>
  <c r="P266" i="16"/>
  <c r="P117" i="16"/>
  <c r="P32" i="16"/>
  <c r="P76" i="16"/>
  <c r="P132" i="16"/>
  <c r="P212" i="16"/>
  <c r="P78" i="16"/>
  <c r="P213" i="16"/>
  <c r="P264" i="16"/>
  <c r="P252" i="16"/>
  <c r="P180" i="16"/>
  <c r="P72" i="16"/>
  <c r="P118" i="16"/>
  <c r="P48" i="16"/>
  <c r="P25" i="16"/>
  <c r="P81" i="16"/>
  <c r="P244" i="16"/>
  <c r="P29" i="16"/>
  <c r="P135" i="16"/>
  <c r="P292" i="16"/>
  <c r="P259" i="16"/>
  <c r="P59" i="16"/>
  <c r="P62" i="16"/>
  <c r="P121" i="16"/>
  <c r="P186" i="16"/>
  <c r="P239" i="16"/>
  <c r="P297" i="16"/>
  <c r="P177" i="16"/>
  <c r="P97" i="16"/>
  <c r="P159" i="16"/>
  <c r="P178" i="16"/>
  <c r="P269" i="16"/>
  <c r="P143" i="16"/>
  <c r="P164" i="16"/>
  <c r="P193" i="16"/>
  <c r="P250" i="16"/>
  <c r="P187" i="16"/>
  <c r="P249" i="16"/>
  <c r="P183" i="16"/>
  <c r="P110" i="16"/>
  <c r="P300" i="16"/>
  <c r="P83" i="16"/>
  <c r="P155" i="16"/>
  <c r="P27" i="16"/>
  <c r="P227" i="16"/>
  <c r="P93" i="16"/>
  <c r="P40" i="16"/>
  <c r="P52" i="16"/>
  <c r="P290" i="16"/>
  <c r="P275" i="16"/>
  <c r="P214" i="16"/>
  <c r="P293" i="16"/>
  <c r="P152" i="16"/>
  <c r="P208" i="16"/>
  <c r="P38" i="16"/>
  <c r="P56" i="16"/>
  <c r="P295" i="16"/>
  <c r="P299" i="16"/>
  <c r="P301" i="16"/>
  <c r="J33" i="8"/>
  <c r="K33" i="8" s="1"/>
  <c r="B34" i="8"/>
  <c r="O33" i="8"/>
  <c r="C33" i="8"/>
  <c r="P33" i="8"/>
  <c r="L33" i="8"/>
  <c r="M33" i="8" s="1"/>
  <c r="P34" i="8" l="1"/>
  <c r="O34" i="8"/>
  <c r="C34" i="8"/>
  <c r="J34" i="8"/>
  <c r="K34" i="8" s="1"/>
  <c r="B35" i="8"/>
  <c r="L34" i="8"/>
  <c r="M34" i="8" s="1"/>
  <c r="J35" i="8" l="1"/>
  <c r="K35" i="8" s="1"/>
  <c r="B36" i="8"/>
  <c r="O35" i="8"/>
  <c r="C35" i="8"/>
  <c r="P35" i="8"/>
  <c r="L35" i="8"/>
  <c r="M35" i="8" s="1"/>
  <c r="P36" i="8" l="1"/>
  <c r="O36" i="8"/>
  <c r="C36" i="8"/>
  <c r="J36" i="8"/>
  <c r="K36" i="8" s="1"/>
  <c r="L36" i="8"/>
  <c r="M36" i="8" s="1"/>
  <c r="B37" i="8"/>
  <c r="J37" i="8" l="1"/>
  <c r="K37" i="8" s="1"/>
  <c r="B38" i="8"/>
  <c r="O37" i="8"/>
  <c r="C37" i="8"/>
  <c r="P37" i="8"/>
  <c r="L37" i="8"/>
  <c r="M37" i="8" s="1"/>
  <c r="P38" i="8" l="1"/>
  <c r="O38" i="8"/>
  <c r="C38" i="8"/>
  <c r="J38" i="8"/>
  <c r="K38" i="8" s="1"/>
  <c r="B39" i="8"/>
  <c r="L38" i="8"/>
  <c r="M38" i="8" s="1"/>
  <c r="J39" i="8" l="1"/>
  <c r="K39" i="8" s="1"/>
  <c r="B40" i="8"/>
  <c r="O39" i="8"/>
  <c r="C39" i="8"/>
  <c r="L39" i="8"/>
  <c r="M39" i="8" s="1"/>
  <c r="P39" i="8"/>
  <c r="P40" i="8" l="1"/>
  <c r="O40" i="8"/>
  <c r="C40" i="8"/>
  <c r="L40" i="8"/>
  <c r="M40" i="8" s="1"/>
  <c r="J40" i="8"/>
  <c r="K40" i="8" s="1"/>
  <c r="B41" i="8"/>
  <c r="J41" i="8" l="1"/>
  <c r="K41" i="8" s="1"/>
  <c r="B42" i="8"/>
  <c r="O41" i="8"/>
  <c r="C41" i="8"/>
  <c r="P41" i="8"/>
  <c r="L41" i="8"/>
  <c r="M41" i="8" s="1"/>
  <c r="P42" i="8" l="1"/>
  <c r="O42" i="8"/>
  <c r="C42" i="8"/>
  <c r="L42" i="8"/>
  <c r="M42" i="8" s="1"/>
  <c r="J42" i="8"/>
  <c r="K42" i="8" s="1"/>
  <c r="B43" i="8"/>
  <c r="L43" i="8" l="1"/>
  <c r="M43" i="8" s="1"/>
  <c r="J43" i="8"/>
  <c r="K43" i="8" s="1"/>
  <c r="B44" i="8"/>
  <c r="O43" i="8"/>
  <c r="C43" i="8"/>
  <c r="P43" i="8"/>
  <c r="P44" i="8" l="1"/>
  <c r="O44" i="8"/>
  <c r="C44" i="8"/>
  <c r="L44" i="8"/>
  <c r="M44" i="8" s="1"/>
  <c r="J44" i="8"/>
  <c r="K44" i="8" s="1"/>
  <c r="B45" i="8"/>
  <c r="L45" i="8" l="1"/>
  <c r="M45" i="8" s="1"/>
  <c r="J45" i="8"/>
  <c r="K45" i="8" s="1"/>
  <c r="B46" i="8"/>
  <c r="O45" i="8"/>
  <c r="C45" i="8"/>
  <c r="P45" i="8"/>
  <c r="P46" i="8" l="1"/>
  <c r="O46" i="8"/>
  <c r="C46" i="8"/>
  <c r="L46" i="8"/>
  <c r="M46" i="8" s="1"/>
  <c r="J46" i="8"/>
  <c r="K46" i="8" s="1"/>
  <c r="B47" i="8"/>
  <c r="L47" i="8" l="1"/>
  <c r="M47" i="8" s="1"/>
  <c r="J47" i="8"/>
  <c r="K47" i="8" s="1"/>
  <c r="B48" i="8"/>
  <c r="O47" i="8"/>
  <c r="C47" i="8"/>
  <c r="P47" i="8"/>
  <c r="P48" i="8" l="1"/>
  <c r="O48" i="8"/>
  <c r="C48" i="8"/>
  <c r="L48" i="8"/>
  <c r="M48" i="8" s="1"/>
  <c r="J48" i="8"/>
  <c r="K48" i="8" s="1"/>
  <c r="B49" i="8"/>
  <c r="L49" i="8" l="1"/>
  <c r="M49" i="8" s="1"/>
  <c r="J49" i="8"/>
  <c r="K49" i="8" s="1"/>
  <c r="B50" i="8"/>
  <c r="O49" i="8"/>
  <c r="C49" i="8"/>
  <c r="P49" i="8"/>
  <c r="P50" i="8" l="1"/>
  <c r="O50" i="8"/>
  <c r="C50" i="8"/>
  <c r="L50" i="8"/>
  <c r="M50" i="8" s="1"/>
  <c r="J50" i="8"/>
  <c r="K50" i="8" s="1"/>
  <c r="B51" i="8"/>
  <c r="L51" i="8" l="1"/>
  <c r="M51" i="8" s="1"/>
  <c r="J51" i="8"/>
  <c r="K51" i="8" s="1"/>
  <c r="B52" i="8"/>
  <c r="O51" i="8"/>
  <c r="C51" i="8"/>
  <c r="P51" i="8"/>
  <c r="P52" i="8" l="1"/>
  <c r="O52" i="8"/>
  <c r="C52" i="8"/>
  <c r="L52" i="8"/>
  <c r="M52" i="8" s="1"/>
  <c r="J52" i="8"/>
  <c r="K52" i="8" s="1"/>
  <c r="B53" i="8"/>
  <c r="L53" i="8" l="1"/>
  <c r="M53" i="8" s="1"/>
  <c r="J53" i="8"/>
  <c r="K53" i="8" s="1"/>
  <c r="B54" i="8"/>
  <c r="O53" i="8"/>
  <c r="C53" i="8"/>
  <c r="P53" i="8"/>
  <c r="P54" i="8" l="1"/>
  <c r="O54" i="8"/>
  <c r="C54" i="8"/>
  <c r="L54" i="8"/>
  <c r="M54" i="8" s="1"/>
  <c r="J54" i="8"/>
  <c r="K54" i="8" s="1"/>
  <c r="B55" i="8"/>
  <c r="L55" i="8" l="1"/>
  <c r="M55" i="8" s="1"/>
  <c r="J55" i="8"/>
  <c r="K55" i="8" s="1"/>
  <c r="B56" i="8"/>
  <c r="O55" i="8"/>
  <c r="C55" i="8"/>
  <c r="P55" i="8"/>
  <c r="P56" i="8" l="1"/>
  <c r="O56" i="8"/>
  <c r="C56" i="8"/>
  <c r="L56" i="8"/>
  <c r="M56" i="8" s="1"/>
  <c r="J56" i="8"/>
  <c r="K56" i="8" s="1"/>
  <c r="B57" i="8"/>
  <c r="L57" i="8" l="1"/>
  <c r="M57" i="8" s="1"/>
  <c r="J57" i="8"/>
  <c r="K57" i="8" s="1"/>
  <c r="B58" i="8"/>
  <c r="O57" i="8"/>
  <c r="C57" i="8"/>
  <c r="P57" i="8"/>
  <c r="P58" i="8" l="1"/>
  <c r="P6" i="8" s="1"/>
  <c r="C6" i="8" s="1"/>
  <c r="T4" i="8" s="1"/>
  <c r="K9" i="3" s="1"/>
  <c r="O58" i="8"/>
  <c r="O6" i="8" s="1"/>
  <c r="C5" i="8" s="1"/>
  <c r="C58" i="8"/>
  <c r="L58" i="8"/>
  <c r="M58" i="8" s="1"/>
  <c r="J58" i="8"/>
  <c r="K58" i="8" s="1"/>
  <c r="T3" i="8" l="1"/>
  <c r="J9" i="3" s="1"/>
  <c r="G27" i="18" l="1"/>
  <c r="G21" i="18"/>
  <c r="G19" i="18"/>
  <c r="G23" i="18"/>
  <c r="G24" i="18"/>
  <c r="G25" i="18"/>
  <c r="G18" i="18"/>
  <c r="G22" i="18"/>
  <c r="G17" i="18"/>
  <c r="G20" i="18"/>
  <c r="G16" i="18"/>
  <c r="G26" i="18"/>
  <c r="C28" i="12" l="1"/>
  <c r="E27" i="12"/>
  <c r="U197" i="12" s="1"/>
  <c r="P27" i="18"/>
  <c r="O30" i="1"/>
  <c r="W27" i="3" s="1"/>
  <c r="P18" i="18"/>
  <c r="E18" i="12"/>
  <c r="U188" i="12" s="1"/>
  <c r="O21" i="1"/>
  <c r="W18" i="3" s="1"/>
  <c r="O20" i="1"/>
  <c r="W17" i="3" s="1"/>
  <c r="P17" i="18"/>
  <c r="E17" i="12"/>
  <c r="U187" i="12" s="1"/>
  <c r="E25" i="12"/>
  <c r="U195" i="12" s="1"/>
  <c r="P25" i="18"/>
  <c r="O28" i="1"/>
  <c r="W25" i="3" s="1"/>
  <c r="P24" i="18"/>
  <c r="O27" i="1"/>
  <c r="W24" i="3" s="1"/>
  <c r="E24" i="12"/>
  <c r="U194" i="12" s="1"/>
  <c r="O26" i="1"/>
  <c r="W23" i="3" s="1"/>
  <c r="E23" i="12"/>
  <c r="U193" i="12" s="1"/>
  <c r="P23" i="18"/>
  <c r="O29" i="1"/>
  <c r="W26" i="3" s="1"/>
  <c r="E26" i="12"/>
  <c r="U196" i="12" s="1"/>
  <c r="P26" i="18"/>
  <c r="O23" i="1"/>
  <c r="W20" i="3" s="1"/>
  <c r="E20" i="12"/>
  <c r="U190" i="12" s="1"/>
  <c r="P20" i="18"/>
  <c r="E19" i="12"/>
  <c r="U189" i="12" s="1"/>
  <c r="P19" i="18"/>
  <c r="O22" i="1"/>
  <c r="W19" i="3" s="1"/>
  <c r="O19" i="1"/>
  <c r="W16" i="3" s="1"/>
  <c r="P16" i="18"/>
  <c r="E16" i="12"/>
  <c r="U186" i="12" s="1"/>
  <c r="C17" i="12"/>
  <c r="C25" i="12"/>
  <c r="C26" i="12"/>
  <c r="C20" i="12"/>
  <c r="C24" i="12"/>
  <c r="C22" i="12"/>
  <c r="C19" i="12"/>
  <c r="C21" i="12"/>
  <c r="C27" i="12"/>
  <c r="C23" i="12"/>
  <c r="C18" i="12"/>
  <c r="E22" i="12"/>
  <c r="U192" i="12" s="1"/>
  <c r="O25" i="1"/>
  <c r="W22" i="3" s="1"/>
  <c r="P22" i="18"/>
  <c r="O24" i="1"/>
  <c r="W21" i="3" s="1"/>
  <c r="E21" i="12"/>
  <c r="U191" i="12" s="1"/>
  <c r="P21" i="18"/>
  <c r="R198" i="12" l="1"/>
  <c r="D28" i="12"/>
  <c r="S198" i="12" s="1"/>
  <c r="D18" i="12"/>
  <c r="S188" i="12" s="1"/>
  <c r="R188" i="12"/>
  <c r="R190" i="12"/>
  <c r="D20" i="12"/>
  <c r="S190" i="12" s="1"/>
  <c r="D19" i="12"/>
  <c r="S189" i="12" s="1"/>
  <c r="R189" i="12"/>
  <c r="R197" i="12"/>
  <c r="D27" i="12"/>
  <c r="S197" i="12" s="1"/>
  <c r="D26" i="12"/>
  <c r="S196" i="12" s="1"/>
  <c r="R196" i="12"/>
  <c r="D22" i="12"/>
  <c r="S192" i="12" s="1"/>
  <c r="R192" i="12"/>
  <c r="D23" i="12"/>
  <c r="S193" i="12" s="1"/>
  <c r="R193" i="12"/>
  <c r="R195" i="12"/>
  <c r="D25" i="12"/>
  <c r="S195" i="12" s="1"/>
  <c r="D21" i="12"/>
  <c r="S191" i="12" s="1"/>
  <c r="R191" i="12"/>
  <c r="D24" i="12"/>
  <c r="S194" i="12" s="1"/>
  <c r="R194" i="12"/>
  <c r="R187" i="12"/>
  <c r="D17" i="12"/>
  <c r="S187" i="12" s="1"/>
  <c r="T198" i="12" l="1"/>
  <c r="AA198" i="12"/>
  <c r="Z198" i="12"/>
  <c r="Z191" i="12"/>
  <c r="T191" i="12"/>
  <c r="AA191" i="12"/>
  <c r="T192" i="12"/>
  <c r="AA192" i="12"/>
  <c r="Z192" i="12"/>
  <c r="T189" i="12"/>
  <c r="AA189" i="12"/>
  <c r="Z189" i="12"/>
  <c r="AA187" i="12"/>
  <c r="Z187" i="12"/>
  <c r="T187" i="12"/>
  <c r="T193" i="12"/>
  <c r="Z193" i="12"/>
  <c r="AA193" i="12"/>
  <c r="AA190" i="12"/>
  <c r="Z190" i="12"/>
  <c r="T190" i="12"/>
  <c r="Z196" i="12"/>
  <c r="AA196" i="12"/>
  <c r="T196" i="12"/>
  <c r="AA188" i="12"/>
  <c r="T188" i="12"/>
  <c r="Z188" i="12"/>
  <c r="AA197" i="12"/>
  <c r="Z197" i="12"/>
  <c r="T197" i="12"/>
  <c r="Z194" i="12"/>
  <c r="T194" i="12"/>
  <c r="AA194" i="12"/>
  <c r="T195" i="12"/>
  <c r="AA195" i="12"/>
  <c r="Z195" i="12"/>
  <c r="D12" i="3" l="1"/>
  <c r="B172" i="12" s="1"/>
  <c r="B181" i="12" s="1"/>
  <c r="J173" i="12" l="1"/>
  <c r="J185" i="12" s="1"/>
  <c r="B179" i="12"/>
  <c r="B176" i="12"/>
  <c r="B178" i="12"/>
  <c r="B173" i="12"/>
  <c r="B180" i="12"/>
  <c r="B177" i="12"/>
  <c r="B175" i="12"/>
  <c r="B174" i="12"/>
  <c r="J177" i="12" l="1"/>
  <c r="J182" i="12"/>
  <c r="J183" i="12"/>
  <c r="J174" i="12"/>
  <c r="J186" i="12"/>
  <c r="J175" i="12"/>
  <c r="J179" i="12"/>
  <c r="J184" i="12"/>
  <c r="J180" i="12"/>
  <c r="J178" i="12"/>
  <c r="J176" i="12"/>
  <c r="J181" i="12"/>
  <c r="B183" i="12"/>
  <c r="F173" i="12" s="1"/>
  <c r="F175" i="12" l="1"/>
  <c r="F174" i="12"/>
  <c r="F186" i="12"/>
  <c r="F176" i="12"/>
  <c r="F180" i="12"/>
  <c r="F185" i="12"/>
  <c r="F179" i="12"/>
  <c r="F182" i="12"/>
  <c r="F183" i="12"/>
  <c r="F181" i="12"/>
  <c r="F177" i="12"/>
  <c r="F178" i="12"/>
  <c r="F184" i="12"/>
  <c r="D10" i="3"/>
  <c r="X8" i="18"/>
  <c r="D13" i="3" l="1"/>
  <c r="J8" i="3" l="1"/>
  <c r="K8" i="3"/>
  <c r="T3" i="11" l="1"/>
  <c r="L4" i="11"/>
  <c r="I22" i="3" l="1" a="1"/>
  <c r="I22" i="3" s="1"/>
  <c r="I148" i="10"/>
  <c r="H148" i="10"/>
  <c r="E148" i="10" s="1"/>
  <c r="W14" i="1" l="1" a="1"/>
  <c r="W14" i="1" s="1"/>
  <c r="W13" i="1" a="1"/>
  <c r="W13" i="1" s="1"/>
  <c r="I149" i="10"/>
  <c r="H149" i="10"/>
  <c r="G15" i="18" l="1"/>
  <c r="E15" i="12" s="1"/>
  <c r="U185" i="12" s="1"/>
  <c r="X29" i="3"/>
  <c r="G13" i="18"/>
  <c r="P13" i="18" s="1"/>
  <c r="G14" i="18"/>
  <c r="G11" i="18"/>
  <c r="O14" i="1" s="1"/>
  <c r="W11" i="3" s="1"/>
  <c r="G12" i="18"/>
  <c r="G9" i="18"/>
  <c r="E9" i="12" s="1"/>
  <c r="U179" i="12" s="1"/>
  <c r="G10" i="18"/>
  <c r="O18" i="1" l="1"/>
  <c r="W15" i="3" s="1"/>
  <c r="P15" i="18"/>
  <c r="X49" i="3"/>
  <c r="X28" i="3"/>
  <c r="X4" i="3"/>
  <c r="X7" i="3"/>
  <c r="X42" i="3"/>
  <c r="X15" i="3"/>
  <c r="X8" i="3"/>
  <c r="X44" i="3"/>
  <c r="X38" i="3"/>
  <c r="X45" i="3"/>
  <c r="W2" i="3"/>
  <c r="X19" i="3"/>
  <c r="X25" i="3"/>
  <c r="X6" i="3"/>
  <c r="X12" i="3"/>
  <c r="X50" i="3"/>
  <c r="X3" i="3"/>
  <c r="X5" i="3"/>
  <c r="X46" i="3"/>
  <c r="X2" i="3"/>
  <c r="X9" i="3"/>
  <c r="X47" i="3"/>
  <c r="X17" i="3"/>
  <c r="X20" i="3"/>
  <c r="G6" i="18"/>
  <c r="O9" i="1" s="1"/>
  <c r="W6" i="3" s="1"/>
  <c r="X30" i="3"/>
  <c r="G8" i="18"/>
  <c r="O11" i="1" s="1"/>
  <c r="W8" i="3" s="1"/>
  <c r="X43" i="3"/>
  <c r="X39" i="3"/>
  <c r="X13" i="3"/>
  <c r="X26" i="3"/>
  <c r="G5" i="18"/>
  <c r="O8" i="1" s="1"/>
  <c r="W5" i="3" s="1"/>
  <c r="X31" i="3"/>
  <c r="X34" i="3"/>
  <c r="X40" i="3"/>
  <c r="X35" i="3"/>
  <c r="X24" i="3"/>
  <c r="X10" i="3"/>
  <c r="X36" i="3"/>
  <c r="X21" i="3"/>
  <c r="X52" i="3"/>
  <c r="X33" i="3"/>
  <c r="X48" i="3"/>
  <c r="X18" i="3"/>
  <c r="G3" i="18"/>
  <c r="E3" i="12" s="1"/>
  <c r="U173" i="12" s="1"/>
  <c r="X51" i="3"/>
  <c r="X14" i="3"/>
  <c r="X37" i="3"/>
  <c r="G7" i="18"/>
  <c r="O10" i="1" s="1"/>
  <c r="W7" i="3" s="1"/>
  <c r="X32" i="3"/>
  <c r="X41" i="3"/>
  <c r="X23" i="3"/>
  <c r="X16" i="3"/>
  <c r="X22" i="3"/>
  <c r="G4" i="18"/>
  <c r="P4" i="18" s="1"/>
  <c r="X27" i="3"/>
  <c r="X11" i="3"/>
  <c r="C16" i="12"/>
  <c r="D16" i="12" s="1"/>
  <c r="S186" i="12" s="1"/>
  <c r="O16" i="1"/>
  <c r="W13" i="3" s="1"/>
  <c r="E13" i="12"/>
  <c r="U183" i="12" s="1"/>
  <c r="C15" i="12"/>
  <c r="O17" i="1"/>
  <c r="W14" i="3" s="1"/>
  <c r="P14" i="18"/>
  <c r="E14" i="12"/>
  <c r="U184" i="12" s="1"/>
  <c r="C14" i="12"/>
  <c r="R184" i="12" s="1"/>
  <c r="O12" i="1"/>
  <c r="W9" i="3" s="1"/>
  <c r="P11" i="18"/>
  <c r="C13" i="12"/>
  <c r="E11" i="12"/>
  <c r="U181" i="12" s="1"/>
  <c r="P12" i="18"/>
  <c r="O15" i="1"/>
  <c r="W12" i="3" s="1"/>
  <c r="E12" i="12"/>
  <c r="U182" i="12" s="1"/>
  <c r="C12" i="12"/>
  <c r="P9" i="18"/>
  <c r="O13" i="1"/>
  <c r="W10" i="3" s="1"/>
  <c r="E10" i="12"/>
  <c r="U180" i="12" s="1"/>
  <c r="P10" i="18"/>
  <c r="D17" i="3"/>
  <c r="D19" i="3"/>
  <c r="D11" i="3"/>
  <c r="U13" i="1" s="1"/>
  <c r="C10" i="12" l="1"/>
  <c r="R180" i="12" s="1"/>
  <c r="AA180" i="12" s="1"/>
  <c r="C11" i="12"/>
  <c r="D11" i="12" s="1"/>
  <c r="S181" i="12" s="1"/>
  <c r="E6" i="12"/>
  <c r="U176" i="12" s="1"/>
  <c r="P8" i="18"/>
  <c r="E8" i="12"/>
  <c r="U178" i="12" s="1"/>
  <c r="P6" i="18"/>
  <c r="P7" i="18"/>
  <c r="E7" i="12"/>
  <c r="U177" i="12" s="1"/>
  <c r="O6" i="1"/>
  <c r="W3" i="3" s="1"/>
  <c r="P3" i="18"/>
  <c r="R186" i="12"/>
  <c r="Z186" i="12" s="1"/>
  <c r="P5" i="18"/>
  <c r="E5" i="12"/>
  <c r="U175" i="12" s="1"/>
  <c r="C7" i="12"/>
  <c r="D7" i="12" s="1"/>
  <c r="S177" i="12" s="1"/>
  <c r="O7" i="1"/>
  <c r="W4" i="3" s="1"/>
  <c r="Y9" i="18"/>
  <c r="E14" i="3" s="1"/>
  <c r="X9" i="18"/>
  <c r="D14" i="3" s="1"/>
  <c r="C6" i="12"/>
  <c r="R176" i="12" s="1"/>
  <c r="Y12" i="18"/>
  <c r="E17" i="3" s="1"/>
  <c r="Y11" i="18"/>
  <c r="E16" i="3" s="1"/>
  <c r="J17" i="3" s="1"/>
  <c r="Y7" i="18"/>
  <c r="U14" i="1" s="1"/>
  <c r="E4" i="12"/>
  <c r="U174" i="12" s="1"/>
  <c r="C5" i="12"/>
  <c r="D5" i="12" s="1"/>
  <c r="S175" i="12" s="1"/>
  <c r="Y5" i="18"/>
  <c r="U12" i="1" s="1"/>
  <c r="C8" i="12"/>
  <c r="D8" i="12" s="1"/>
  <c r="S178" i="12" s="1"/>
  <c r="C3" i="12"/>
  <c r="R173" i="12" s="1"/>
  <c r="Y6" i="18"/>
  <c r="E11" i="3" s="1"/>
  <c r="C4" i="12"/>
  <c r="D4" i="12" s="1"/>
  <c r="S174" i="12" s="1"/>
  <c r="C9" i="12"/>
  <c r="R179" i="12" s="1"/>
  <c r="D15" i="12"/>
  <c r="S185" i="12" s="1"/>
  <c r="R185" i="12"/>
  <c r="D14" i="12"/>
  <c r="S184" i="12" s="1"/>
  <c r="T184" i="12"/>
  <c r="Z184" i="12"/>
  <c r="AA184" i="12"/>
  <c r="R183" i="12"/>
  <c r="D13" i="12"/>
  <c r="S183" i="12" s="1"/>
  <c r="R182" i="12"/>
  <c r="D12" i="12"/>
  <c r="S182" i="12" s="1"/>
  <c r="D16" i="3"/>
  <c r="D20" i="3"/>
  <c r="B58" i="12" s="1"/>
  <c r="B68" i="12" s="1"/>
  <c r="T180" i="12" l="1"/>
  <c r="D10" i="12"/>
  <c r="S180" i="12" s="1"/>
  <c r="Z180" i="12"/>
  <c r="R181" i="12"/>
  <c r="AA181" i="12" s="1"/>
  <c r="Y14" i="18"/>
  <c r="E19" i="3" s="1"/>
  <c r="AA186" i="12"/>
  <c r="T186" i="12"/>
  <c r="K19" i="3"/>
  <c r="R177" i="12"/>
  <c r="AA177" i="12" s="1"/>
  <c r="H5" i="11"/>
  <c r="H18" i="11" s="1"/>
  <c r="H6" i="11"/>
  <c r="H7" i="11" s="1"/>
  <c r="E12" i="3"/>
  <c r="R175" i="12"/>
  <c r="AA175" i="12" s="1"/>
  <c r="R174" i="12"/>
  <c r="Z174" i="12" s="1"/>
  <c r="E10" i="3"/>
  <c r="R178" i="12"/>
  <c r="Z178" i="12" s="1"/>
  <c r="D3" i="12"/>
  <c r="S173" i="12" s="1"/>
  <c r="D6" i="12"/>
  <c r="S176" i="12" s="1"/>
  <c r="D9" i="12"/>
  <c r="S179" i="12" s="1"/>
  <c r="Y8" i="18"/>
  <c r="E13" i="3" s="1"/>
  <c r="J16" i="3"/>
  <c r="Z185" i="12"/>
  <c r="T185" i="12"/>
  <c r="AA185" i="12"/>
  <c r="Z183" i="12"/>
  <c r="AA183" i="12"/>
  <c r="T183" i="12"/>
  <c r="T182" i="12"/>
  <c r="AA182" i="12"/>
  <c r="Z182" i="12"/>
  <c r="C68" i="12"/>
  <c r="B69" i="12"/>
  <c r="Z179" i="12"/>
  <c r="AA179" i="12"/>
  <c r="T179" i="12"/>
  <c r="E58" i="12"/>
  <c r="M26" i="3"/>
  <c r="Z173" i="12"/>
  <c r="AA173" i="12"/>
  <c r="T173" i="12"/>
  <c r="T176" i="12"/>
  <c r="Z176" i="12"/>
  <c r="AA176" i="12"/>
  <c r="T181" i="12" l="1"/>
  <c r="Z181" i="12"/>
  <c r="Z177" i="12"/>
  <c r="T177" i="12"/>
  <c r="I20" i="11"/>
  <c r="Y15" i="18"/>
  <c r="E20" i="3" s="1"/>
  <c r="K16" i="3" s="1"/>
  <c r="C62" i="12" s="1"/>
  <c r="C63" i="12" s="1"/>
  <c r="H20" i="11"/>
  <c r="J14" i="3"/>
  <c r="I18" i="11"/>
  <c r="H19" i="11" s="1"/>
  <c r="E62" i="12" s="1"/>
  <c r="Z175" i="12"/>
  <c r="T175" i="12"/>
  <c r="H24" i="11"/>
  <c r="AA174" i="12"/>
  <c r="T174" i="12"/>
  <c r="AA178" i="12"/>
  <c r="T178" i="12"/>
  <c r="N177" i="12" s="1"/>
  <c r="D20" i="11"/>
  <c r="D24" i="11"/>
  <c r="Q19" i="9" s="1"/>
  <c r="E20" i="11"/>
  <c r="D18" i="11"/>
  <c r="E18" i="11"/>
  <c r="G62" i="12"/>
  <c r="G63" i="12" s="1"/>
  <c r="C69" i="12"/>
  <c r="B70" i="12"/>
  <c r="E68" i="12"/>
  <c r="F68" i="12" s="1"/>
  <c r="K17" i="3" l="1"/>
  <c r="O177" i="12"/>
  <c r="O176" i="12"/>
  <c r="U17" i="1"/>
  <c r="N176" i="12"/>
  <c r="N178" i="12" s="1"/>
  <c r="D19" i="11"/>
  <c r="K13" i="3" s="1"/>
  <c r="B71" i="12"/>
  <c r="C70" i="12"/>
  <c r="E63" i="12"/>
  <c r="F62" i="12"/>
  <c r="F63" i="12" s="1"/>
  <c r="J19" i="3"/>
  <c r="E69" i="12"/>
  <c r="O183" i="12" l="1"/>
  <c r="O179" i="12" s="1"/>
  <c r="S8" i="3"/>
  <c r="V20" i="1" s="1" a="1"/>
  <c r="V20" i="1" s="1"/>
  <c r="U4" i="8"/>
  <c r="M20" i="3" s="1" a="1"/>
  <c r="M20" i="3" s="1"/>
  <c r="D62" i="12"/>
  <c r="D63" i="12" s="1"/>
  <c r="O182" i="12"/>
  <c r="O178" i="12" s="1"/>
  <c r="N179" i="12"/>
  <c r="B62" i="12"/>
  <c r="B63" i="12" s="1"/>
  <c r="F69" i="12"/>
  <c r="E70" i="12"/>
  <c r="C71" i="12"/>
  <c r="B72" i="12"/>
  <c r="T20" i="1" l="1" a="1"/>
  <c r="T20" i="1" s="1"/>
  <c r="Q20" i="3" a="1"/>
  <c r="Q20" i="3" s="1"/>
  <c r="B73" i="12"/>
  <c r="C72" i="12"/>
  <c r="F70" i="12"/>
  <c r="E71" i="12"/>
  <c r="F71" i="12" l="1"/>
  <c r="E72" i="12"/>
  <c r="C73" i="12"/>
  <c r="B74" i="12"/>
  <c r="F72" i="12" l="1"/>
  <c r="E73" i="12"/>
  <c r="C74" i="12"/>
  <c r="B75" i="12"/>
  <c r="B76" i="12" l="1"/>
  <c r="C75" i="12"/>
  <c r="F73" i="12"/>
  <c r="E74" i="12"/>
  <c r="F74" i="12" l="1"/>
  <c r="E75" i="12"/>
  <c r="C76" i="12"/>
  <c r="B77" i="12"/>
  <c r="C77" i="12" l="1"/>
  <c r="B78" i="12"/>
  <c r="F75" i="12"/>
  <c r="E76" i="12"/>
  <c r="F76" i="12" l="1"/>
  <c r="E77" i="12"/>
  <c r="B79" i="12"/>
  <c r="C78" i="12"/>
  <c r="F77" i="12" l="1"/>
  <c r="E78" i="12"/>
  <c r="C79" i="12"/>
  <c r="B80" i="12"/>
  <c r="F78" i="12" l="1"/>
  <c r="E79" i="12"/>
  <c r="C80" i="12"/>
  <c r="B81" i="12"/>
  <c r="F79" i="12" l="1"/>
  <c r="E80" i="12"/>
  <c r="C81" i="12"/>
  <c r="B82" i="12"/>
  <c r="C82" i="12" l="1"/>
  <c r="B83" i="12"/>
  <c r="F80" i="12"/>
  <c r="E81" i="12"/>
  <c r="F81" i="12" l="1"/>
  <c r="E82" i="12"/>
  <c r="C83" i="12"/>
  <c r="B84" i="12"/>
  <c r="C84" i="12" l="1"/>
  <c r="B85" i="12"/>
  <c r="F82" i="12"/>
  <c r="E83" i="12"/>
  <c r="F83" i="12" l="1"/>
  <c r="E84" i="12"/>
  <c r="C85" i="12"/>
  <c r="B86" i="12"/>
  <c r="B87" i="12" l="1"/>
  <c r="C86" i="12"/>
  <c r="F84" i="12"/>
  <c r="E85" i="12"/>
  <c r="F85" i="12" l="1"/>
  <c r="E86" i="12"/>
  <c r="B88" i="12"/>
  <c r="C87" i="12"/>
  <c r="C88" i="12" l="1"/>
  <c r="B89" i="12"/>
  <c r="F86" i="12"/>
  <c r="E87" i="12"/>
  <c r="C89" i="12" l="1"/>
  <c r="B90" i="12"/>
  <c r="F87" i="12"/>
  <c r="E88" i="12"/>
  <c r="F88" i="12" l="1"/>
  <c r="E89" i="12"/>
  <c r="B91" i="12"/>
  <c r="C90" i="12"/>
  <c r="F89" i="12" l="1"/>
  <c r="E90" i="12"/>
  <c r="C91" i="12"/>
  <c r="B92" i="12"/>
  <c r="C92" i="12" l="1"/>
  <c r="B93" i="12"/>
  <c r="F90" i="12"/>
  <c r="E91" i="12"/>
  <c r="F91" i="12" l="1"/>
  <c r="E92" i="12"/>
  <c r="C93" i="12"/>
  <c r="B94" i="12"/>
  <c r="F92" i="12" l="1"/>
  <c r="E93" i="12"/>
  <c r="B95" i="12"/>
  <c r="C94" i="12"/>
  <c r="F93" i="12" l="1"/>
  <c r="E94" i="12"/>
  <c r="B96" i="12"/>
  <c r="C95" i="12"/>
  <c r="F94" i="12" l="1"/>
  <c r="E95" i="12"/>
  <c r="C96" i="12"/>
  <c r="B97" i="12"/>
  <c r="C97" i="12" l="1"/>
  <c r="B98" i="12"/>
  <c r="F95" i="12"/>
  <c r="E96" i="12"/>
  <c r="F96" i="12" l="1"/>
  <c r="E97" i="12"/>
  <c r="B99" i="12"/>
  <c r="C98" i="12"/>
  <c r="C99" i="12" l="1"/>
  <c r="B100" i="12"/>
  <c r="F97" i="12"/>
  <c r="E98" i="12"/>
  <c r="B101" i="12" l="1"/>
  <c r="C100" i="12"/>
  <c r="F98" i="12"/>
  <c r="E99" i="12"/>
  <c r="F99" i="12" l="1"/>
  <c r="E100" i="12"/>
  <c r="C101" i="12"/>
  <c r="B102" i="12"/>
  <c r="C102" i="12" l="1"/>
  <c r="B103" i="12"/>
  <c r="F100" i="12"/>
  <c r="E101" i="12"/>
  <c r="C103" i="12" l="1"/>
  <c r="B104" i="12"/>
  <c r="F101" i="12"/>
  <c r="E102" i="12"/>
  <c r="C104" i="12" l="1"/>
  <c r="B105" i="12"/>
  <c r="F102" i="12"/>
  <c r="E103" i="12"/>
  <c r="F103" i="12" l="1"/>
  <c r="E104" i="12"/>
  <c r="C105" i="12"/>
  <c r="B106" i="12"/>
  <c r="C106" i="12" l="1"/>
  <c r="B107" i="12"/>
  <c r="F104" i="12"/>
  <c r="E105" i="12"/>
  <c r="F105" i="12" l="1"/>
  <c r="E106" i="12"/>
  <c r="C107" i="12"/>
  <c r="B108" i="12"/>
  <c r="C108" i="12" l="1"/>
  <c r="B109" i="12"/>
  <c r="F106" i="12"/>
  <c r="E107" i="12"/>
  <c r="F107" i="12" l="1"/>
  <c r="E108" i="12"/>
  <c r="C109" i="12"/>
  <c r="B110" i="12"/>
  <c r="C110" i="12" l="1"/>
  <c r="B111" i="12"/>
  <c r="F108" i="12"/>
  <c r="E109" i="12"/>
  <c r="F109" i="12" l="1"/>
  <c r="E110" i="12"/>
  <c r="B112" i="12"/>
  <c r="C111" i="12"/>
  <c r="C112" i="12" l="1"/>
  <c r="B113" i="12"/>
  <c r="F110" i="12"/>
  <c r="E111" i="12"/>
  <c r="C113" i="12" l="1"/>
  <c r="B114" i="12"/>
  <c r="F111" i="12"/>
  <c r="E112" i="12"/>
  <c r="F112" i="12" l="1"/>
  <c r="E113" i="12"/>
  <c r="B115" i="12"/>
  <c r="C114" i="12"/>
  <c r="F113" i="12" l="1"/>
  <c r="E114" i="12"/>
  <c r="B116" i="12"/>
  <c r="C115" i="12"/>
  <c r="F114" i="12" l="1"/>
  <c r="E115" i="12"/>
  <c r="C116" i="12"/>
  <c r="B117" i="12"/>
  <c r="C117" i="12" l="1"/>
  <c r="B118" i="12"/>
  <c r="F115" i="12"/>
  <c r="E116" i="12"/>
  <c r="F116" i="12" l="1"/>
  <c r="E117" i="12"/>
  <c r="B119" i="12"/>
  <c r="C118" i="12"/>
  <c r="F117" i="12" l="1"/>
  <c r="E118" i="12"/>
  <c r="C119" i="12"/>
  <c r="B120" i="12"/>
  <c r="C120" i="12" l="1"/>
  <c r="B121" i="12"/>
  <c r="F118" i="12"/>
  <c r="E119" i="12"/>
  <c r="C121" i="12" l="1"/>
  <c r="B122" i="12"/>
  <c r="F119" i="12"/>
  <c r="E120" i="12"/>
  <c r="C122" i="12" l="1"/>
  <c r="B123" i="12"/>
  <c r="F120" i="12"/>
  <c r="E121" i="12"/>
  <c r="F121" i="12" l="1"/>
  <c r="E122" i="12"/>
  <c r="C123" i="12"/>
  <c r="B124" i="12"/>
  <c r="C124" i="12" l="1"/>
  <c r="B125" i="12"/>
  <c r="F122" i="12"/>
  <c r="E123" i="12"/>
  <c r="F123" i="12" l="1"/>
  <c r="E124" i="12"/>
  <c r="C125" i="12"/>
  <c r="B126" i="12"/>
  <c r="C126" i="12" l="1"/>
  <c r="B127" i="12"/>
  <c r="F124" i="12"/>
  <c r="E125" i="12"/>
  <c r="F125" i="12" l="1"/>
  <c r="E126" i="12"/>
  <c r="B128" i="12"/>
  <c r="C127" i="12"/>
  <c r="F126" i="12" l="1"/>
  <c r="E127" i="12"/>
  <c r="C128" i="12"/>
  <c r="B129" i="12"/>
  <c r="C129" i="12" l="1"/>
  <c r="B130" i="12"/>
  <c r="F127" i="12"/>
  <c r="E128" i="12"/>
  <c r="F128" i="12" l="1"/>
  <c r="E129" i="12"/>
  <c r="B131" i="12"/>
  <c r="C130" i="12"/>
  <c r="F129" i="12" l="1"/>
  <c r="E130" i="12"/>
  <c r="B132" i="12"/>
  <c r="C131" i="12"/>
  <c r="C132" i="12" l="1"/>
  <c r="B133" i="12"/>
  <c r="F130" i="12"/>
  <c r="E131" i="12"/>
  <c r="C133" i="12" l="1"/>
  <c r="B134" i="12"/>
  <c r="F131" i="12"/>
  <c r="E132" i="12"/>
  <c r="C134" i="12" l="1"/>
  <c r="B135" i="12"/>
  <c r="F132" i="12"/>
  <c r="E133" i="12"/>
  <c r="F133" i="12" l="1"/>
  <c r="E134" i="12"/>
  <c r="B136" i="12"/>
  <c r="C135" i="12"/>
  <c r="C136" i="12" l="1"/>
  <c r="B137" i="12"/>
  <c r="F134" i="12"/>
  <c r="E135" i="12"/>
  <c r="C137" i="12" l="1"/>
  <c r="B138" i="12"/>
  <c r="F135" i="12"/>
  <c r="E136" i="12"/>
  <c r="F136" i="12" l="1"/>
  <c r="E137" i="12"/>
  <c r="C138" i="12"/>
  <c r="B139" i="12"/>
  <c r="C139" i="12" l="1"/>
  <c r="B140" i="12"/>
  <c r="F137" i="12"/>
  <c r="E138" i="12"/>
  <c r="C140" i="12" l="1"/>
  <c r="B141" i="12"/>
  <c r="F138" i="12"/>
  <c r="E139" i="12"/>
  <c r="F139" i="12" l="1"/>
  <c r="E140" i="12"/>
  <c r="C141" i="12"/>
  <c r="B142" i="12"/>
  <c r="C142" i="12" l="1"/>
  <c r="B143" i="12"/>
  <c r="F140" i="12"/>
  <c r="E141" i="12"/>
  <c r="F141" i="12" l="1"/>
  <c r="E142" i="12"/>
  <c r="B144" i="12"/>
  <c r="C143" i="12"/>
  <c r="F142" i="12" l="1"/>
  <c r="E143" i="12"/>
  <c r="C144" i="12"/>
  <c r="B145" i="12"/>
  <c r="C145" i="12" l="1"/>
  <c r="B146" i="12"/>
  <c r="F143" i="12"/>
  <c r="E144" i="12"/>
  <c r="F144" i="12" l="1"/>
  <c r="E145" i="12"/>
  <c r="C146" i="12"/>
  <c r="B147" i="12"/>
  <c r="C147" i="12" l="1"/>
  <c r="B148" i="12"/>
  <c r="F145" i="12"/>
  <c r="E146" i="12"/>
  <c r="F146" i="12" l="1"/>
  <c r="E147" i="12"/>
  <c r="C148" i="12"/>
  <c r="B149" i="12"/>
  <c r="C149" i="12" l="1"/>
  <c r="B150" i="12"/>
  <c r="F147" i="12"/>
  <c r="E148" i="12"/>
  <c r="F148" i="12" l="1"/>
  <c r="E149" i="12"/>
  <c r="C150" i="12"/>
  <c r="B151" i="12"/>
  <c r="B152" i="12" l="1"/>
  <c r="C151" i="12"/>
  <c r="F149" i="12"/>
  <c r="E150" i="12"/>
  <c r="F150" i="12" l="1"/>
  <c r="E151" i="12"/>
  <c r="C152" i="12"/>
  <c r="B153" i="12"/>
  <c r="C153" i="12" l="1"/>
  <c r="B154" i="12"/>
  <c r="F151" i="12"/>
  <c r="E152" i="12"/>
  <c r="F152" i="12" l="1"/>
  <c r="E153" i="12"/>
  <c r="C154" i="12"/>
  <c r="B155" i="12"/>
  <c r="C155" i="12" l="1"/>
  <c r="B156" i="12"/>
  <c r="F153" i="12"/>
  <c r="E154" i="12"/>
  <c r="F154" i="12" l="1"/>
  <c r="E155" i="12"/>
  <c r="C156" i="12"/>
  <c r="B157" i="12"/>
  <c r="C157" i="12" l="1"/>
  <c r="B158" i="12"/>
  <c r="F155" i="12"/>
  <c r="E156" i="12"/>
  <c r="C158" i="12" l="1"/>
  <c r="B159" i="12"/>
  <c r="F156" i="12"/>
  <c r="E157" i="12"/>
  <c r="B160" i="12" l="1"/>
  <c r="C159" i="12"/>
  <c r="F157" i="12"/>
  <c r="E158" i="12"/>
  <c r="F158" i="12" l="1"/>
  <c r="E159" i="12"/>
  <c r="C160" i="12"/>
  <c r="B161" i="12"/>
  <c r="B162" i="12" l="1"/>
  <c r="C161" i="12"/>
  <c r="F159" i="12"/>
  <c r="E160" i="12"/>
  <c r="F160" i="12" l="1"/>
  <c r="E161" i="12"/>
  <c r="C162" i="12"/>
  <c r="B163" i="12"/>
  <c r="C163" i="12" l="1"/>
  <c r="B164" i="12"/>
  <c r="F161" i="12"/>
  <c r="E162" i="12"/>
  <c r="F162" i="12" l="1"/>
  <c r="E163" i="12"/>
  <c r="C164" i="12"/>
  <c r="B165" i="12"/>
  <c r="C165" i="12" l="1"/>
  <c r="B166" i="12"/>
  <c r="F163" i="12"/>
  <c r="E164" i="12"/>
  <c r="B167" i="12" l="1"/>
  <c r="C167" i="12" s="1"/>
  <c r="C166" i="12"/>
  <c r="F164" i="12"/>
  <c r="E165" i="12"/>
  <c r="F165" i="12" l="1"/>
  <c r="E166" i="12"/>
  <c r="B61" i="12"/>
  <c r="B65" i="12"/>
  <c r="C65" i="12"/>
  <c r="D65" i="12" s="1"/>
  <c r="F166" i="12" l="1"/>
  <c r="E167" i="12"/>
  <c r="F167" i="12" s="1"/>
  <c r="F65" i="12" l="1"/>
  <c r="G65" i="12" s="1"/>
  <c r="E61" i="12"/>
  <c r="E65" i="1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<sst xmlns="http://schemas.openxmlformats.org/spreadsheetml/2006/main" count="2234" uniqueCount="1999">
  <si>
    <t>Målinger</t>
  </si>
  <si>
    <t>Less than detection limit</t>
  </si>
  <si>
    <t>Norsk</t>
  </si>
  <si>
    <t>English</t>
  </si>
  <si>
    <t>Kjemikalie</t>
  </si>
  <si>
    <t>Measurements</t>
  </si>
  <si>
    <t>Arbeidstid</t>
  </si>
  <si>
    <t>Reduksjonsfaktor</t>
  </si>
  <si>
    <t>Reduction factor</t>
  </si>
  <si>
    <t>Faktor</t>
  </si>
  <si>
    <t>Work hours</t>
  </si>
  <si>
    <t>Factor</t>
  </si>
  <si>
    <t>Daily</t>
  </si>
  <si>
    <t>Weekly</t>
  </si>
  <si>
    <t>Daglig</t>
  </si>
  <si>
    <t>Ukentlig</t>
  </si>
  <si>
    <t>Antall</t>
  </si>
  <si>
    <t>Målinger (n)</t>
  </si>
  <si>
    <t>Målinger under DG (m)</t>
  </si>
  <si>
    <t>Variasjonsbredde (spredning)</t>
  </si>
  <si>
    <t>ppm</t>
  </si>
  <si>
    <t>ppb</t>
  </si>
  <si>
    <t>Aritmetisk</t>
  </si>
  <si>
    <t>Median</t>
  </si>
  <si>
    <t>ln-transformerte data</t>
  </si>
  <si>
    <t>6 or more measurements</t>
  </si>
  <si>
    <t>n</t>
  </si>
  <si>
    <t>Assessment criteria</t>
  </si>
  <si>
    <t>Number</t>
  </si>
  <si>
    <t>Measurements (n)</t>
  </si>
  <si>
    <t>Highest measured value (max)</t>
  </si>
  <si>
    <t>Lowest measured value (min)</t>
  </si>
  <si>
    <t>Veiledende konklusjon</t>
  </si>
  <si>
    <t>Suggested conclusion</t>
  </si>
  <si>
    <t>Estimated</t>
  </si>
  <si>
    <t>Estimert</t>
  </si>
  <si>
    <t>Log-normal</t>
  </si>
  <si>
    <t>Normal</t>
  </si>
  <si>
    <t>Språk</t>
  </si>
  <si>
    <t>Enheter</t>
  </si>
  <si>
    <t>µg</t>
  </si>
  <si>
    <t>mg</t>
  </si>
  <si>
    <t>Enheter 2</t>
  </si>
  <si>
    <t>Level</t>
  </si>
  <si>
    <t>hours</t>
  </si>
  <si>
    <t>timer</t>
  </si>
  <si>
    <t>Nivå</t>
  </si>
  <si>
    <t>Corrected</t>
  </si>
  <si>
    <t>Korrigert</t>
  </si>
  <si>
    <t>Enhet</t>
  </si>
  <si>
    <t>Offshore</t>
  </si>
  <si>
    <t>Svar</t>
  </si>
  <si>
    <t>Ja</t>
  </si>
  <si>
    <t>Nei</t>
  </si>
  <si>
    <t>Answer</t>
  </si>
  <si>
    <t>Yes</t>
  </si>
  <si>
    <t>No</t>
  </si>
  <si>
    <t>#</t>
  </si>
  <si>
    <t>Volum
(L)</t>
  </si>
  <si>
    <t>Volume
(L)</t>
  </si>
  <si>
    <t>Tier 1</t>
  </si>
  <si>
    <t>Tier 2</t>
  </si>
  <si>
    <t>Sum of all exposure divided by their respective OELV</t>
  </si>
  <si>
    <t>This method should be used if the appraiser has insufficient knowledge of the combined effects of all the chemical exposure</t>
  </si>
  <si>
    <t>Variation width (spread)</t>
  </si>
  <si>
    <t>Arithmetic</t>
  </si>
  <si>
    <t>Standardavvik</t>
  </si>
  <si>
    <t>Geometrisk</t>
  </si>
  <si>
    <t>Geometric</t>
  </si>
  <si>
    <t>ln-transformed data</t>
  </si>
  <si>
    <t>Standard Deviation</t>
  </si>
  <si>
    <t>Antatt fordeling</t>
  </si>
  <si>
    <t>Calc (W-test)</t>
  </si>
  <si>
    <t>d</t>
  </si>
  <si>
    <t>k</t>
  </si>
  <si>
    <t>w</t>
  </si>
  <si>
    <t>i</t>
  </si>
  <si>
    <t>xn-i+1</t>
  </si>
  <si>
    <t>ai</t>
  </si>
  <si>
    <t>W Test Table</t>
  </si>
  <si>
    <t>Min</t>
  </si>
  <si>
    <t>Lnr</t>
  </si>
  <si>
    <t>kons (x)</t>
  </si>
  <si>
    <t>y</t>
  </si>
  <si>
    <t>x</t>
  </si>
  <si>
    <t>y bar</t>
  </si>
  <si>
    <t>z</t>
  </si>
  <si>
    <t>f(z)</t>
  </si>
  <si>
    <t>sy</t>
  </si>
  <si>
    <t>f(sy,z)</t>
  </si>
  <si>
    <t>Antatt
log-normal</t>
  </si>
  <si>
    <t>AM_beta</t>
  </si>
  <si>
    <t>GM_beta</t>
  </si>
  <si>
    <t>x (mean)</t>
  </si>
  <si>
    <t>x (gm)</t>
  </si>
  <si>
    <t>ln (x (gm))</t>
  </si>
  <si>
    <t>SD</t>
  </si>
  <si>
    <t>GM</t>
  </si>
  <si>
    <t>AM</t>
  </si>
  <si>
    <t>x bar</t>
  </si>
  <si>
    <t>GSD</t>
  </si>
  <si>
    <t>X95</t>
  </si>
  <si>
    <t>Antatt
normal</t>
  </si>
  <si>
    <t>n-m</t>
  </si>
  <si>
    <t>BETA</t>
  </si>
  <si>
    <t>From Beta</t>
  </si>
  <si>
    <t>ln(x)</t>
  </si>
  <si>
    <t>min-&gt;max (x)</t>
  </si>
  <si>
    <t>xi</t>
  </si>
  <si>
    <t>ai(xn-i+1-xi)</t>
  </si>
  <si>
    <t>ln(xn-i+1)</t>
  </si>
  <si>
    <t>ln(xi)</t>
  </si>
  <si>
    <t>ai(ln(xn-i+1)-ln(xi))</t>
  </si>
  <si>
    <t>Sum</t>
  </si>
  <si>
    <t>w (ln-data)</t>
  </si>
  <si>
    <t>W Percentage Table</t>
  </si>
  <si>
    <t>W alpha</t>
  </si>
  <si>
    <t>Lognormal</t>
  </si>
  <si>
    <t>Accept normal or log-normal</t>
  </si>
  <si>
    <t>a = 0.05</t>
  </si>
  <si>
    <t>W</t>
  </si>
  <si>
    <t>Statistics</t>
  </si>
  <si>
    <t>term 1</t>
  </si>
  <si>
    <t>term 2</t>
  </si>
  <si>
    <t>term 3</t>
  </si>
  <si>
    <t>term 4</t>
  </si>
  <si>
    <t>term 5</t>
  </si>
  <si>
    <t>term 6</t>
  </si>
  <si>
    <t>MVUE</t>
  </si>
  <si>
    <t>MVUE(max)</t>
  </si>
  <si>
    <t>MLE</t>
  </si>
  <si>
    <t>95%-il (estimate -z)</t>
  </si>
  <si>
    <t>U_T FACTOR TABLE</t>
  </si>
  <si>
    <t>U_T (95, 70)</t>
  </si>
  <si>
    <t>U_T</t>
  </si>
  <si>
    <t>UTL</t>
  </si>
  <si>
    <t>Assumed distribution</t>
  </si>
  <si>
    <t>K1</t>
  </si>
  <si>
    <t>Eksponeringen over grenseverdi. Tiltak nødvendig.</t>
  </si>
  <si>
    <t>Exposure above OEL. Mitigation needed.</t>
  </si>
  <si>
    <t>K2</t>
  </si>
  <si>
    <t xml:space="preserve">Over exposure cannot be ruled out. Mitigation / detailed assessment needed. </t>
  </si>
  <si>
    <t>K3</t>
  </si>
  <si>
    <t>K4</t>
  </si>
  <si>
    <t>Assumed distribution:</t>
  </si>
  <si>
    <t>A1</t>
  </si>
  <si>
    <t>For få målinger over DG</t>
  </si>
  <si>
    <t>Too few measurements above DL</t>
  </si>
  <si>
    <t>A2</t>
  </si>
  <si>
    <t>Hverken normal- eller log-normalfordeling</t>
  </si>
  <si>
    <t>A3</t>
  </si>
  <si>
    <t>A4</t>
  </si>
  <si>
    <t>K11</t>
  </si>
  <si>
    <t>K12</t>
  </si>
  <si>
    <t>Forutsetningene for statistisk vurdering ikke tilstede. Faglig vurdering nødvendig.</t>
  </si>
  <si>
    <t>A statistical assessment cannot be conducted. Professional judgment needed.</t>
  </si>
  <si>
    <t>K13</t>
  </si>
  <si>
    <t>K14</t>
  </si>
  <si>
    <t>K15</t>
  </si>
  <si>
    <t>Neither normal or log-normal distribution</t>
  </si>
  <si>
    <t>Konklusjon (n &gt; 5)</t>
  </si>
  <si>
    <t>Conclusion (n &gt; 5)</t>
  </si>
  <si>
    <t>Veiledende konklusjon (n &lt; 6):</t>
  </si>
  <si>
    <t>Suggested conclusion (n &lt; 6):</t>
  </si>
  <si>
    <t>N/A</t>
  </si>
  <si>
    <t>Calculations</t>
  </si>
  <si>
    <t>assumed distribution</t>
  </si>
  <si>
    <t>Suggested conclusion 2 &lt; n &lt; 5</t>
  </si>
  <si>
    <t>n = 3 -- maks 10% av GV
n = 4 -- maks 15% av GV
n = 5 -- maks 20% av GV</t>
  </si>
  <si>
    <t>Beta method is used</t>
  </si>
  <si>
    <t>Beta metode er brukt</t>
  </si>
  <si>
    <t>DG er brukt</t>
  </si>
  <si>
    <t>Eksponeringen kan trolig ansees som akseptabel</t>
  </si>
  <si>
    <t>Professional judgment needed</t>
  </si>
  <si>
    <t>Molecular mass (g/mol)</t>
  </si>
  <si>
    <t>Molecular volume (L)</t>
  </si>
  <si>
    <r>
      <t>25</t>
    </r>
    <r>
      <rPr>
        <b/>
        <sz val="11"/>
        <color theme="1"/>
        <rFont val="Calibri"/>
        <family val="2"/>
      </rPr>
      <t>°</t>
    </r>
    <r>
      <rPr>
        <b/>
        <sz val="11"/>
        <color theme="1"/>
        <rFont val="Calibri"/>
        <family val="2"/>
        <scheme val="minor"/>
      </rPr>
      <t>C, 1atm</t>
    </r>
  </si>
  <si>
    <t>1: DG</t>
  </si>
  <si>
    <t>2: DG/SQRT(2)</t>
  </si>
  <si>
    <t>3: DG/2</t>
  </si>
  <si>
    <t>4: Beta</t>
  </si>
  <si>
    <t>0: Anbefalt (se Regler for håndtering av verdier under DG)</t>
  </si>
  <si>
    <t>Default</t>
  </si>
  <si>
    <t>DL</t>
  </si>
  <si>
    <t>DL/sqrt(2)</t>
  </si>
  <si>
    <t>DL/2</t>
  </si>
  <si>
    <t>beta</t>
  </si>
  <si>
    <t>MLE (Cohen´s)</t>
  </si>
  <si>
    <t>Methodes</t>
  </si>
  <si>
    <t>Imputation for values below DL</t>
  </si>
  <si>
    <t>Col</t>
  </si>
  <si>
    <t>Data in col</t>
  </si>
  <si>
    <t>Select CDM</t>
  </si>
  <si>
    <t>1:DG</t>
  </si>
  <si>
    <t>Calc</t>
  </si>
  <si>
    <t>Benyttede tall</t>
  </si>
  <si>
    <t>Percentage of the normal distribution below zero</t>
  </si>
  <si>
    <t>Not normal  or log-normal distribution</t>
  </si>
  <si>
    <t>Ikke normal eller log-normal fordeling</t>
  </si>
  <si>
    <t>New measurements</t>
  </si>
  <si>
    <t>J</t>
  </si>
  <si>
    <t>Kommentar</t>
  </si>
  <si>
    <t>Description</t>
  </si>
  <si>
    <t>Recommended new mapping</t>
  </si>
  <si>
    <t>within 36 months</t>
  </si>
  <si>
    <t>within 12 months</t>
  </si>
  <si>
    <t>following implementation of mitigating measures</t>
  </si>
  <si>
    <t>innen 12 måneder</t>
  </si>
  <si>
    <t>innen 24 måneder</t>
  </si>
  <si>
    <t>innen 36 måneder</t>
  </si>
  <si>
    <t>etter implementring av risikoreduserende tiltak</t>
  </si>
  <si>
    <t>Measurements above DL (k)</t>
  </si>
  <si>
    <t>Ni</t>
  </si>
  <si>
    <t>Xi (ranked)</t>
  </si>
  <si>
    <t>No.</t>
  </si>
  <si>
    <t>Plot data</t>
  </si>
  <si>
    <t>Serieplott
(måledata benyttet uten korrigering av verdier under DG)</t>
  </si>
  <si>
    <t>Sequential Data Plot
(measurement data used without censored data correction)</t>
  </si>
  <si>
    <t>y-akse tittel</t>
  </si>
  <si>
    <t>x-akse tittel</t>
  </si>
  <si>
    <t>Nummer</t>
  </si>
  <si>
    <t>Konsentrasjon</t>
  </si>
  <si>
    <t>Concentration</t>
  </si>
  <si>
    <t>X</t>
  </si>
  <si>
    <t>F(x)</t>
  </si>
  <si>
    <t>99%-ile/100</t>
  </si>
  <si>
    <t>Y</t>
  </si>
  <si>
    <t>AM (MVUE)</t>
  </si>
  <si>
    <t>95%-ile</t>
  </si>
  <si>
    <t>Log-normalfordelingsplott</t>
  </si>
  <si>
    <t>Log-normal Distribution Plot</t>
  </si>
  <si>
    <t>95%-il</t>
  </si>
  <si>
    <t>EØK</t>
  </si>
  <si>
    <t>Normalfordelingsplott</t>
  </si>
  <si>
    <t>Normal Distribution Plot</t>
  </si>
  <si>
    <t>Determine Y cross point</t>
  </si>
  <si>
    <t>X-axis</t>
  </si>
  <si>
    <t>Y-axis</t>
  </si>
  <si>
    <t>Fordeling</t>
  </si>
  <si>
    <t>Distribution</t>
  </si>
  <si>
    <t>Plot points</t>
  </si>
  <si>
    <t>Plot position</t>
  </si>
  <si>
    <t>z-value</t>
  </si>
  <si>
    <t>Stigning</t>
  </si>
  <si>
    <t>Skjæringspunkt Y</t>
  </si>
  <si>
    <t>LN(x)</t>
  </si>
  <si>
    <t>Least Squares</t>
  </si>
  <si>
    <t>X1</t>
  </si>
  <si>
    <t>X2</t>
  </si>
  <si>
    <t>Y1</t>
  </si>
  <si>
    <t>Y2</t>
  </si>
  <si>
    <t>ln(x)1</t>
  </si>
  <si>
    <t>ln(x)2</t>
  </si>
  <si>
    <t>Xi (ranked) calc</t>
  </si>
  <si>
    <t>ln(x) calc</t>
  </si>
  <si>
    <t>z-value calc</t>
  </si>
  <si>
    <t>plot position calc</t>
  </si>
  <si>
    <t>Log-Probability Plot and Least-Squares Best Fit Line</t>
  </si>
  <si>
    <t>Probability Plot and Least-Squares Best Fit Line</t>
  </si>
  <si>
    <t>≤ 0,20</t>
  </si>
  <si>
    <t>within 24 months</t>
  </si>
  <si>
    <t>Andel av normalfordeling mindre enn null</t>
  </si>
  <si>
    <t>Fraction of normal distribution below zero</t>
  </si>
  <si>
    <t>Prosent av normalfordeling under null</t>
  </si>
  <si>
    <t>Anbefalt ny kartlegging</t>
  </si>
  <si>
    <t>10-er regelen</t>
  </si>
  <si>
    <t>Tank / trangt rom uten ventilasjon</t>
  </si>
  <si>
    <t>Forventet fortynning av metningskonsentrasjon</t>
  </si>
  <si>
    <t>Dårlig ventilasjon</t>
  </si>
  <si>
    <t>Punktavsug</t>
  </si>
  <si>
    <t>Lukket prosessanlegg</t>
  </si>
  <si>
    <t>GV</t>
  </si>
  <si>
    <t>Overeksponering kan ikke utelukkes. Tiltak / detaljert kartlegging nødvendig</t>
  </si>
  <si>
    <t>Eksponeringen over grenseverdi. Tiltak nødvendig</t>
  </si>
  <si>
    <t>The exposure is assumed to be acceptable</t>
  </si>
  <si>
    <t>Overeksponering kan ikke utelukkes. Tiltak nødvendig.</t>
  </si>
  <si>
    <t>Fordeling - test (n &gt; 2, k &gt; 1)</t>
  </si>
  <si>
    <t>Distribution - test (n &gt; 2, k &gt; 1)</t>
  </si>
  <si>
    <t>Prosent over</t>
  </si>
  <si>
    <t>Øvre 70% konfidensgrense til 95%-il skal være under GV</t>
  </si>
  <si>
    <t>En faglig vurdering nødvendig</t>
  </si>
  <si>
    <t>Criteria 3 &lt; n &lt; 6</t>
  </si>
  <si>
    <r>
      <t xml:space="preserve">Criteria (3 ≤ n </t>
    </r>
    <r>
      <rPr>
        <sz val="11"/>
        <color theme="1"/>
        <rFont val="Calibri"/>
        <family val="2"/>
      </rPr>
      <t>≤ 5</t>
    </r>
    <r>
      <rPr>
        <sz val="11"/>
        <color theme="1"/>
        <rFont val="Calibri"/>
        <family val="2"/>
        <scheme val="minor"/>
      </rPr>
      <t>)</t>
    </r>
  </si>
  <si>
    <t>Kriterier (3 ≤ n ≤ 5)</t>
  </si>
  <si>
    <r>
      <t xml:space="preserve">Kriterier (n </t>
    </r>
    <r>
      <rPr>
        <sz val="11"/>
        <color theme="1"/>
        <rFont val="Calibri"/>
        <family val="2"/>
      </rPr>
      <t>≥</t>
    </r>
    <r>
      <rPr>
        <sz val="11"/>
        <color theme="1"/>
        <rFont val="Calibri"/>
        <family val="2"/>
        <scheme val="minor"/>
      </rPr>
      <t xml:space="preserve"> 6)</t>
    </r>
  </si>
  <si>
    <t>Criteria (n ≥ 6)</t>
  </si>
  <si>
    <t>Fyll inn</t>
  </si>
  <si>
    <t>Fill in</t>
  </si>
  <si>
    <t>Chemical agent</t>
  </si>
  <si>
    <r>
      <t>I</t>
    </r>
    <r>
      <rPr>
        <vertAlign val="subscript"/>
        <sz val="11"/>
        <color theme="1"/>
        <rFont val="Calibri"/>
        <family val="2"/>
        <scheme val="minor"/>
      </rPr>
      <t>E</t>
    </r>
  </si>
  <si>
    <r>
      <rPr>
        <i/>
        <sz val="11"/>
        <color theme="1"/>
        <rFont val="Calibri"/>
        <family val="2"/>
        <scheme val="minor"/>
      </rPr>
      <t>I</t>
    </r>
    <r>
      <rPr>
        <vertAlign val="subscript"/>
        <sz val="11"/>
        <color theme="1"/>
        <rFont val="Calibri"/>
        <family val="2"/>
        <scheme val="minor"/>
      </rPr>
      <t>E</t>
    </r>
  </si>
  <si>
    <t>Nivå 1</t>
  </si>
  <si>
    <t>Nivå 2</t>
  </si>
  <si>
    <t>Effect group</t>
  </si>
  <si>
    <r>
      <rPr>
        <i/>
        <sz val="11"/>
        <color theme="1"/>
        <rFont val="Calibri"/>
        <family val="2"/>
        <scheme val="minor"/>
      </rPr>
      <t>I</t>
    </r>
    <r>
      <rPr>
        <vertAlign val="subscript"/>
        <sz val="11"/>
        <color theme="1"/>
        <rFont val="Calibri"/>
        <family val="2"/>
        <scheme val="minor"/>
      </rPr>
      <t>AE, A</t>
    </r>
  </si>
  <si>
    <r>
      <rPr>
        <i/>
        <sz val="11"/>
        <color theme="1"/>
        <rFont val="Calibri"/>
        <family val="2"/>
        <scheme val="minor"/>
      </rPr>
      <t>I</t>
    </r>
    <r>
      <rPr>
        <vertAlign val="subscript"/>
        <sz val="11"/>
        <color theme="1"/>
        <rFont val="Calibri"/>
        <family val="2"/>
        <scheme val="minor"/>
      </rPr>
      <t>AE, C</t>
    </r>
  </si>
  <si>
    <r>
      <rPr>
        <i/>
        <sz val="11"/>
        <color theme="1"/>
        <rFont val="Calibri"/>
        <family val="2"/>
        <scheme val="minor"/>
      </rPr>
      <t>I</t>
    </r>
    <r>
      <rPr>
        <vertAlign val="subscript"/>
        <sz val="11"/>
        <color theme="1"/>
        <rFont val="Calibri"/>
        <family val="2"/>
        <scheme val="minor"/>
      </rPr>
      <t>AE, B</t>
    </r>
  </si>
  <si>
    <r>
      <rPr>
        <i/>
        <sz val="11"/>
        <color theme="1"/>
        <rFont val="Calibri"/>
        <family val="2"/>
        <scheme val="minor"/>
      </rPr>
      <t>I</t>
    </r>
    <r>
      <rPr>
        <vertAlign val="subscript"/>
        <sz val="11"/>
        <color theme="1"/>
        <rFont val="Calibri"/>
        <family val="2"/>
        <scheme val="minor"/>
      </rPr>
      <t>AE, D</t>
    </r>
  </si>
  <si>
    <r>
      <rPr>
        <i/>
        <sz val="11"/>
        <color theme="1"/>
        <rFont val="Calibri"/>
        <family val="2"/>
        <scheme val="minor"/>
      </rPr>
      <t>I</t>
    </r>
    <r>
      <rPr>
        <vertAlign val="subscript"/>
        <sz val="11"/>
        <color theme="1"/>
        <rFont val="Calibri"/>
        <family val="2"/>
        <scheme val="minor"/>
      </rPr>
      <t>AE, E</t>
    </r>
  </si>
  <si>
    <t>Name</t>
  </si>
  <si>
    <t>Health effects</t>
  </si>
  <si>
    <t>OELV fraction</t>
  </si>
  <si>
    <t>Exposure index</t>
  </si>
  <si>
    <t>Exposure to multiple chemical agents</t>
  </si>
  <si>
    <r>
      <t>I</t>
    </r>
    <r>
      <rPr>
        <vertAlign val="subscript"/>
        <sz val="11"/>
        <color theme="1"/>
        <rFont val="Calibri"/>
        <family val="2"/>
        <scheme val="minor"/>
      </rPr>
      <t>AE</t>
    </r>
  </si>
  <si>
    <t>Tier 1 
(Exposure index)</t>
  </si>
  <si>
    <t>Kun ment som et estimat på eksponering og bør ikke betraktes som absolutt eksponeringsnivå</t>
  </si>
  <si>
    <t>Estimert eksponering</t>
  </si>
  <si>
    <t xml:space="preserve"> </t>
  </si>
  <si>
    <t>Short term (15 min)</t>
  </si>
  <si>
    <t>Rule of thumb</t>
  </si>
  <si>
    <t>Short term exposure</t>
  </si>
  <si>
    <t>Korttidseksponering</t>
  </si>
  <si>
    <t>Korttid (15 min)</t>
  </si>
  <si>
    <t>Samlet vurdering</t>
  </si>
  <si>
    <t>Overall assessment</t>
  </si>
  <si>
    <t>Tier</t>
  </si>
  <si>
    <t>Eksponeringsindeks</t>
  </si>
  <si>
    <t>Navn</t>
  </si>
  <si>
    <t>Helseeffekter</t>
  </si>
  <si>
    <t>GV-fraksjon</t>
  </si>
  <si>
    <t>Agens</t>
  </si>
  <si>
    <t>Effekt gruppe</t>
  </si>
  <si>
    <t>OELV - 8h</t>
  </si>
  <si>
    <t>GV - 8t</t>
  </si>
  <si>
    <t>Nivå 1
(Eksponeringsindeks)</t>
  </si>
  <si>
    <t>Nivå 2
(Additiv effekt)</t>
  </si>
  <si>
    <t>Tier 2 
(Additive effect)</t>
  </si>
  <si>
    <t>Summen av eksponering delt på de respektive GV</t>
  </si>
  <si>
    <t>Sum of all exposure with similar effect or acting on the same organ divided by their respective OELV</t>
  </si>
  <si>
    <t>Summen av eksponering som har liknende effekt eller påvirker det samme organet delt på respektive GV</t>
  </si>
  <si>
    <t>Forventet fortynning</t>
  </si>
  <si>
    <t>Multiple exposures</t>
  </si>
  <si>
    <t>Rule of ten</t>
  </si>
  <si>
    <t>Analyse</t>
  </si>
  <si>
    <t>Analysis</t>
  </si>
  <si>
    <t>Flere eksponeringer</t>
  </si>
  <si>
    <t>Saturation concentration</t>
  </si>
  <si>
    <t>Expected dilution</t>
  </si>
  <si>
    <t>Estimated exposure</t>
  </si>
  <si>
    <t>Tank / cramped room without ventilation</t>
  </si>
  <si>
    <t>Poor ventilation</t>
  </si>
  <si>
    <t>Local exhaust ventilation</t>
  </si>
  <si>
    <t>Closed processing plant</t>
  </si>
  <si>
    <t>Vapour pressure can be found here -  https://chem.nlm.nih.gov/chemidplus/</t>
  </si>
  <si>
    <t>Damptrykk er å finner her - https://chem.nlm.nih.gov/chemidplus/</t>
  </si>
  <si>
    <t>Ventilation</t>
  </si>
  <si>
    <t>Ventilasjon</t>
  </si>
  <si>
    <t>Expected dilution of saturation concentration</t>
  </si>
  <si>
    <t>Estimer eksponering</t>
  </si>
  <si>
    <t>Estimate exposure</t>
  </si>
  <si>
    <t>≤ 0.10</t>
  </si>
  <si>
    <t>≤ 1.00</t>
  </si>
  <si>
    <t>≤ 0.15</t>
  </si>
  <si>
    <r>
      <rPr>
        <sz val="11"/>
        <color theme="1"/>
        <rFont val="Calibri"/>
        <family val="2"/>
      </rPr>
      <t>≤</t>
    </r>
    <r>
      <rPr>
        <sz val="11"/>
        <color theme="1"/>
        <rFont val="Calibri"/>
        <family val="2"/>
        <scheme val="minor"/>
      </rPr>
      <t xml:space="preserve"> 0.20</t>
    </r>
  </si>
  <si>
    <t>&gt; 5</t>
  </si>
  <si>
    <t>Kriterier ved bruk av</t>
  </si>
  <si>
    <t>Criteria when using</t>
  </si>
  <si>
    <t>Eksponering for flere kjemiske agenser</t>
  </si>
  <si>
    <t>https://limitvalue.ifa.dguv.de/</t>
  </si>
  <si>
    <t>Arbeidstilsynets temasider om kjemikalier</t>
  </si>
  <si>
    <t>https://arbeidstilsynet.no/tema/kjemikalier/</t>
  </si>
  <si>
    <t>Kartlegging og vurdering av eksponering</t>
  </si>
  <si>
    <t>Bruk fane</t>
  </si>
  <si>
    <t>Kilder</t>
  </si>
  <si>
    <t>1. Innledende vurdering</t>
  </si>
  <si>
    <t>3. Detaljert undersøkelse</t>
  </si>
  <si>
    <t>Type vurdering / undersøkelse</t>
  </si>
  <si>
    <t>Use sheet</t>
  </si>
  <si>
    <t>Type of evaluation / survey</t>
  </si>
  <si>
    <t>Sources</t>
  </si>
  <si>
    <t>2. Forenklet undersøkelse</t>
  </si>
  <si>
    <t>3. Detailed survey</t>
  </si>
  <si>
    <t>Input (område)</t>
  </si>
  <si>
    <t>Fargekoder brukt i regnearkene</t>
  </si>
  <si>
    <t>Kan det være eksponering ?</t>
  </si>
  <si>
    <t>Avslutt med rapport</t>
  </si>
  <si>
    <t>May it be exposure?</t>
  </si>
  <si>
    <t>Er eksponeringen uakseptabel?</t>
  </si>
  <si>
    <t>Is the exposure unacceptable?</t>
  </si>
  <si>
    <t>3-5 målinger
Vurdering baseres på maksimumsverdien</t>
  </si>
  <si>
    <t>Sett i gang tiltak
eller
gå til 1, 2 eller 3</t>
  </si>
  <si>
    <t>Implement measures
or
go to 1, 2 or 3</t>
  </si>
  <si>
    <t>Information gathering
Estimation of exposure</t>
  </si>
  <si>
    <t>3-5 measurements
Evaluation is based on maximum value</t>
  </si>
  <si>
    <t>Minst 6 målinger
Estimert øvre konsentrasjon (EØK) beregnes statistisk</t>
  </si>
  <si>
    <t>Ny vurdering etter 1 år eller endringer som kan påvirke eksponeringen</t>
  </si>
  <si>
    <t>Finish with a report</t>
  </si>
  <si>
    <t>New evaluation after 1 year or following changes that may affect the exposure</t>
  </si>
  <si>
    <t>Flytskjema</t>
  </si>
  <si>
    <t>Flow chart</t>
  </si>
  <si>
    <t>Mapping and evaluation of exposure</t>
  </si>
  <si>
    <t>Required input (cell)</t>
  </si>
  <si>
    <t>Påkrevd input (celle)</t>
  </si>
  <si>
    <t>Input (area)</t>
  </si>
  <si>
    <t>Colour codes used in the spreadsheets</t>
  </si>
  <si>
    <t>EE = SC * expected dilution</t>
  </si>
  <si>
    <t>Korttidsmålinger (referansetid 15 minutter)</t>
  </si>
  <si>
    <t>Short term exposure (reference time 15 minutes)</t>
  </si>
  <si>
    <t>Takverdi</t>
  </si>
  <si>
    <t>Ceiling value</t>
  </si>
  <si>
    <t>Grenseverdi</t>
  </si>
  <si>
    <t>Korttidsverdi</t>
  </si>
  <si>
    <t>CAS-nr.</t>
  </si>
  <si>
    <t>Stoff</t>
  </si>
  <si>
    <t>mg/m³</t>
  </si>
  <si>
    <t>fiber/cm³</t>
  </si>
  <si>
    <t>75-07-0</t>
  </si>
  <si>
    <t>Acetaldehyd</t>
  </si>
  <si>
    <t>60-35-5</t>
  </si>
  <si>
    <t>Acetamid</t>
  </si>
  <si>
    <t>67-64-1</t>
  </si>
  <si>
    <t>Aceton</t>
  </si>
  <si>
    <t>75-05-8</t>
  </si>
  <si>
    <t>Acetonitril</t>
  </si>
  <si>
    <t>50-78-2</t>
  </si>
  <si>
    <t>Acetylsalisylsyre</t>
  </si>
  <si>
    <t>AES-ull</t>
  </si>
  <si>
    <t>107-02-8</t>
  </si>
  <si>
    <t>Akrylaldehyd</t>
  </si>
  <si>
    <t>79-06-1</t>
  </si>
  <si>
    <t>Akrylamid</t>
  </si>
  <si>
    <t>107-13-1</t>
  </si>
  <si>
    <t>Akrylnitril</t>
  </si>
  <si>
    <t>79-10-7</t>
  </si>
  <si>
    <t>Akrylsyre</t>
  </si>
  <si>
    <t>309-00-2</t>
  </si>
  <si>
    <t>Aldrin</t>
  </si>
  <si>
    <t>107-11-9</t>
  </si>
  <si>
    <t>Allylamin</t>
  </si>
  <si>
    <t>106-92-3</t>
  </si>
  <si>
    <t>1-allyloksy-2,3-epoksypropan</t>
  </si>
  <si>
    <t>2179-59-1</t>
  </si>
  <si>
    <t>Allylpropyldisulfid</t>
  </si>
  <si>
    <t>7429-90-5</t>
  </si>
  <si>
    <t>Aluminiumpulver (pyroteknikk)</t>
  </si>
  <si>
    <t>Aluminiumløselige salter (beregnet som Al)</t>
  </si>
  <si>
    <t>Aluminiumalkyler</t>
  </si>
  <si>
    <t>1344-28-1</t>
  </si>
  <si>
    <t>Aluminiumoksid</t>
  </si>
  <si>
    <t>Aluminium sveiserøyk</t>
  </si>
  <si>
    <t>141-43-5</t>
  </si>
  <si>
    <t>2-aminoetanol</t>
  </si>
  <si>
    <t>504-29-0</t>
  </si>
  <si>
    <t>2-aminopyridin</t>
  </si>
  <si>
    <t>7664-41-7</t>
  </si>
  <si>
    <t>Ammoniakk</t>
  </si>
  <si>
    <t>12125-02-9</t>
  </si>
  <si>
    <t>Ammoniumklorid</t>
  </si>
  <si>
    <t>7773-06-0</t>
  </si>
  <si>
    <t>Ammoniumsulfamat</t>
  </si>
  <si>
    <t>Respirabelt støv (ammoniumsulfamat)</t>
  </si>
  <si>
    <t>625-16-1</t>
  </si>
  <si>
    <t>tert-amylacetat</t>
  </si>
  <si>
    <t>62-53-3</t>
  </si>
  <si>
    <t>Anilin</t>
  </si>
  <si>
    <t>Antimon og antimonforb. (beregnet som Sb)</t>
  </si>
  <si>
    <t>7803-52-3</t>
  </si>
  <si>
    <t>Antimonhydrid</t>
  </si>
  <si>
    <t>Arsen og uorg. arsenforb. (unntatt arsenhydrid) (beregnet som As)</t>
  </si>
  <si>
    <t>7784-42-1</t>
  </si>
  <si>
    <t>Arsenhydrid</t>
  </si>
  <si>
    <t>Asbest, alle former</t>
  </si>
  <si>
    <t>8052-42-4</t>
  </si>
  <si>
    <t>Asfalt (røyk)</t>
  </si>
  <si>
    <t>1912-24-9</t>
  </si>
  <si>
    <t>Atrazin</t>
  </si>
  <si>
    <t>111-40-0</t>
  </si>
  <si>
    <t>3-azapentan-1,5-diamin</t>
  </si>
  <si>
    <t>86-50-0</t>
  </si>
  <si>
    <t>Azinfosmetyl</t>
  </si>
  <si>
    <t>Barium og bariumforb. (unntatt bariumsulfat) (beregnet som Ba)</t>
  </si>
  <si>
    <t>17804-35-2</t>
  </si>
  <si>
    <t>Benomyl</t>
  </si>
  <si>
    <t>71-43-2</t>
  </si>
  <si>
    <t>Benzen</t>
  </si>
  <si>
    <t>108-46-3</t>
  </si>
  <si>
    <t>1,3-benzendiol</t>
  </si>
  <si>
    <t>108-98-5</t>
  </si>
  <si>
    <t>Benzentiol</t>
  </si>
  <si>
    <t>552-30-7</t>
  </si>
  <si>
    <t>Benzen-1,2,4-trikarboksylsyre-1,2-anhydrid</t>
  </si>
  <si>
    <t>106-51-4</t>
  </si>
  <si>
    <t>1,4-benzokinon</t>
  </si>
  <si>
    <t>94-36-0</t>
  </si>
  <si>
    <t>Benzoylperoksid</t>
  </si>
  <si>
    <t>85-68-7</t>
  </si>
  <si>
    <t>Benzylbutylftalat (BBP)</t>
  </si>
  <si>
    <t>Beryllium og berylliumforb. (beregnet som Be)</t>
  </si>
  <si>
    <t>92-52-4</t>
  </si>
  <si>
    <t>Bifenyl</t>
  </si>
  <si>
    <t>80-05-7</t>
  </si>
  <si>
    <t>Bisfenol A, inhalerbar</t>
  </si>
  <si>
    <t>Bly og uorg. blyforb. (beregnet som Pb) (støv og røyk)</t>
  </si>
  <si>
    <t>301-04-2</t>
  </si>
  <si>
    <t>Blyacetat (beregnet som Pb)</t>
  </si>
  <si>
    <t>7446-27-7</t>
  </si>
  <si>
    <t>Blyfosfat (beregnet som Pb)</t>
  </si>
  <si>
    <t>7758-97-6</t>
  </si>
  <si>
    <t>Blykromat (beregnet som Cr(VI))</t>
  </si>
  <si>
    <t>1335-32-6</t>
  </si>
  <si>
    <t>Blysubacetat (beregnet som Pb)</t>
  </si>
  <si>
    <t>Bomullstøv, totalstøv</t>
  </si>
  <si>
    <t>1303-86-2</t>
  </si>
  <si>
    <t>Boroksid</t>
  </si>
  <si>
    <t>10294-33-4</t>
  </si>
  <si>
    <t>Bortribromid</t>
  </si>
  <si>
    <t>Bortrifluorid</t>
  </si>
  <si>
    <t>7726-95-6</t>
  </si>
  <si>
    <t>Brom</t>
  </si>
  <si>
    <t>74-96-4</t>
  </si>
  <si>
    <t>Brometan</t>
  </si>
  <si>
    <t>74-97-5</t>
  </si>
  <si>
    <t>Bromklormetan</t>
  </si>
  <si>
    <t>74-83-9</t>
  </si>
  <si>
    <t>Brommetan</t>
  </si>
  <si>
    <t>7789-30-2</t>
  </si>
  <si>
    <t>Brompentafluorid</t>
  </si>
  <si>
    <t>75-63-8</t>
  </si>
  <si>
    <t>Bromtrifluormetan</t>
  </si>
  <si>
    <t>106-99-0</t>
  </si>
  <si>
    <t>1,3-butadien</t>
  </si>
  <si>
    <t>106-97-8</t>
  </si>
  <si>
    <t>Butan</t>
  </si>
  <si>
    <t>71-36-3</t>
  </si>
  <si>
    <t>Butan-1-ol</t>
  </si>
  <si>
    <t>78-92-2</t>
  </si>
  <si>
    <t>Butan-2-ol</t>
  </si>
  <si>
    <t>431-03-8</t>
  </si>
  <si>
    <t>2, 3-butandion</t>
  </si>
  <si>
    <t>Butanol (alle isomere)</t>
  </si>
  <si>
    <t>78-93-3</t>
  </si>
  <si>
    <t>Butanon</t>
  </si>
  <si>
    <t>1338-23-4</t>
  </si>
  <si>
    <t>2-butanonperoksid</t>
  </si>
  <si>
    <t>109-79-5</t>
  </si>
  <si>
    <t>Butantiol</t>
  </si>
  <si>
    <t>123-73-9</t>
  </si>
  <si>
    <t>(E)-2-butenal</t>
  </si>
  <si>
    <t>111-76-2</t>
  </si>
  <si>
    <t>2-butoksyetanol</t>
  </si>
  <si>
    <t>1-butoksy-2,3-epoksypropan</t>
  </si>
  <si>
    <t>112-34-5</t>
  </si>
  <si>
    <t>2-2(butoksyetoksy)etanol</t>
  </si>
  <si>
    <t>112-07-2</t>
  </si>
  <si>
    <t>2-butoksyetylacetat</t>
  </si>
  <si>
    <t>Butylacetat (alle isomere)</t>
  </si>
  <si>
    <t>141-32-2</t>
  </si>
  <si>
    <t>Butylakrylat</t>
  </si>
  <si>
    <t>Butylamin (alle isomere)</t>
  </si>
  <si>
    <t>1189-85-1</t>
  </si>
  <si>
    <t>tert-butylkromat (beregnet som CrO₃ )</t>
  </si>
  <si>
    <t>138-22-7</t>
  </si>
  <si>
    <t>Butyllaktat</t>
  </si>
  <si>
    <t>97-88-1</t>
  </si>
  <si>
    <t>Butylmetakrylat</t>
  </si>
  <si>
    <t>1634-04-4</t>
  </si>
  <si>
    <t>tert-butylmetyleter (MTBE)</t>
  </si>
  <si>
    <t>Captafol</t>
  </si>
  <si>
    <t>133-06-2</t>
  </si>
  <si>
    <t>Captan</t>
  </si>
  <si>
    <t>1333-86-4</t>
  </si>
  <si>
    <t>Carbon Black (lampesot)</t>
  </si>
  <si>
    <t>21351-79-1</t>
  </si>
  <si>
    <t>Cesiumhydroksid</t>
  </si>
  <si>
    <t>420-04-2</t>
  </si>
  <si>
    <t>Cyanamid</t>
  </si>
  <si>
    <t>Cyanider (beregnet som CN)</t>
  </si>
  <si>
    <t>506-77-4</t>
  </si>
  <si>
    <t>Cyanogenklorid</t>
  </si>
  <si>
    <t>13121-70-5</t>
  </si>
  <si>
    <t>Cyheksatin</t>
  </si>
  <si>
    <t>50-29-3</t>
  </si>
  <si>
    <t>DDT</t>
  </si>
  <si>
    <t>17702-41-9</t>
  </si>
  <si>
    <t>Dekaboran</t>
  </si>
  <si>
    <t>Dekaner og andre høyere alifatiske hydrokarboner</t>
  </si>
  <si>
    <t>8065-48-3</t>
  </si>
  <si>
    <t>Demeton</t>
  </si>
  <si>
    <t>867-27-6</t>
  </si>
  <si>
    <t>Demeton-O-metyl</t>
  </si>
  <si>
    <t>57041-67-5</t>
  </si>
  <si>
    <t>Desfluran</t>
  </si>
  <si>
    <t>Respirabelt støv (Desfluran)</t>
  </si>
  <si>
    <t>333-41-5</t>
  </si>
  <si>
    <t>Diazinon</t>
  </si>
  <si>
    <t>334-88-3</t>
  </si>
  <si>
    <t>Diazometan</t>
  </si>
  <si>
    <t>19287-45-7</t>
  </si>
  <si>
    <t>Diboran</t>
  </si>
  <si>
    <t>75-61-6</t>
  </si>
  <si>
    <t>Dibromdifluormetan</t>
  </si>
  <si>
    <t>106-93-4</t>
  </si>
  <si>
    <t>1,2-dibrometan</t>
  </si>
  <si>
    <t>102-81-8</t>
  </si>
  <si>
    <t>2-(dibutylamino)etanol</t>
  </si>
  <si>
    <t>Dibutylfosfat (alle isomere)</t>
  </si>
  <si>
    <t>84-74-2</t>
  </si>
  <si>
    <t>Dibutylftalat</t>
  </si>
  <si>
    <t>460-19-5</t>
  </si>
  <si>
    <t>Dicyan</t>
  </si>
  <si>
    <t>60-57-1</t>
  </si>
  <si>
    <t>Dieldrin</t>
  </si>
  <si>
    <t>Dietanolamin</t>
  </si>
  <si>
    <t>109-89-7</t>
  </si>
  <si>
    <t>Dietylamin</t>
  </si>
  <si>
    <t>100-37-8</t>
  </si>
  <si>
    <t>2-(dietylamino)etanol</t>
  </si>
  <si>
    <t>60-29-7</t>
  </si>
  <si>
    <t>Dietyleter</t>
  </si>
  <si>
    <t>84-66-2</t>
  </si>
  <si>
    <t>Dietylftalat</t>
  </si>
  <si>
    <t>117-81-7</t>
  </si>
  <si>
    <t>Di-2-etylheksylftalat (DEHP)</t>
  </si>
  <si>
    <t>122-39-4</t>
  </si>
  <si>
    <t>Difenylamin</t>
  </si>
  <si>
    <t>101-84-8</t>
  </si>
  <si>
    <t>Difenyleter</t>
  </si>
  <si>
    <t>101-68-8</t>
  </si>
  <si>
    <t>Difenylmetan-4,4-diisocyanat (MDI)</t>
  </si>
  <si>
    <t>75-71-8</t>
  </si>
  <si>
    <t>Difluordiklormetan</t>
  </si>
  <si>
    <t>75-45-6</t>
  </si>
  <si>
    <t>Difluorklormetan</t>
  </si>
  <si>
    <t>76-12-0</t>
  </si>
  <si>
    <t>1,2-difluor-1,1,2,2-tetrakloretan</t>
  </si>
  <si>
    <t>1314-56-3</t>
  </si>
  <si>
    <t>Difosfor(V)oksid</t>
  </si>
  <si>
    <t>120-80-9</t>
  </si>
  <si>
    <t>1,2-dihydroksybenzen</t>
  </si>
  <si>
    <t>Diisocyanater</t>
  </si>
  <si>
    <t>108-18-9</t>
  </si>
  <si>
    <t>Diisopropylamin</t>
  </si>
  <si>
    <t>108-20-3</t>
  </si>
  <si>
    <t>Diisopropyleter</t>
  </si>
  <si>
    <t>7572-29-4</t>
  </si>
  <si>
    <t>Dikloracetylen</t>
  </si>
  <si>
    <t>95-50-1</t>
  </si>
  <si>
    <t>1,2-diklorbenzen</t>
  </si>
  <si>
    <t>106-46-7</t>
  </si>
  <si>
    <t>1,4-diklorbenzen</t>
  </si>
  <si>
    <t>111-44-4</t>
  </si>
  <si>
    <t>2,2'-diklordietyleter</t>
  </si>
  <si>
    <t>542-88-1</t>
  </si>
  <si>
    <t>1,1'-diklordimetyleter</t>
  </si>
  <si>
    <t>118-52-5</t>
  </si>
  <si>
    <t>1,3-diklor-5,5-dimetylhydantoin</t>
  </si>
  <si>
    <t>75-34-3</t>
  </si>
  <si>
    <t>1,1-dikloretan</t>
  </si>
  <si>
    <t>107-06-2</t>
  </si>
  <si>
    <t>1,2-dikloretan</t>
  </si>
  <si>
    <t>75-35-4</t>
  </si>
  <si>
    <t>1,1-dikloreten</t>
  </si>
  <si>
    <t>540-59-0</t>
  </si>
  <si>
    <t>1,2-dikloreten</t>
  </si>
  <si>
    <t>94-75-7</t>
  </si>
  <si>
    <t>2,4-diklorfenoksyeddiksyre</t>
  </si>
  <si>
    <t>136-78-7</t>
  </si>
  <si>
    <t>2(2,4-diklorfenoksy)etylsulfat</t>
  </si>
  <si>
    <t>75-09-2</t>
  </si>
  <si>
    <t>Diklormetan</t>
  </si>
  <si>
    <t>594-72-9</t>
  </si>
  <si>
    <t>1,1-diklor-1-nitroetan</t>
  </si>
  <si>
    <t>78-87-5</t>
  </si>
  <si>
    <t>1,2-diklorpropan</t>
  </si>
  <si>
    <t>75-99-0</t>
  </si>
  <si>
    <t>2,2-diklorpropansyre</t>
  </si>
  <si>
    <t>542-75-6</t>
  </si>
  <si>
    <t>1,3-diklorpropen</t>
  </si>
  <si>
    <t>62-73-7</t>
  </si>
  <si>
    <t>Diklorvos</t>
  </si>
  <si>
    <t>85-00-7</t>
  </si>
  <si>
    <t>Diquatdibromid</t>
  </si>
  <si>
    <t>109-87-5</t>
  </si>
  <si>
    <t>Dimetoksymetan</t>
  </si>
  <si>
    <t>127-19-5</t>
  </si>
  <si>
    <t>N,N-dimetylacetamid</t>
  </si>
  <si>
    <t>124-40-3</t>
  </si>
  <si>
    <t>Dimetylamin</t>
  </si>
  <si>
    <t>121-69-7</t>
  </si>
  <si>
    <t>N,N-Dimetylanilin</t>
  </si>
  <si>
    <t>108-84-9</t>
  </si>
  <si>
    <t>1,3-dimetylbutyl acetat</t>
  </si>
  <si>
    <t>300-76-5</t>
  </si>
  <si>
    <t>Dimetyl-1,2-dibrom-2,2-dikloretyl fosfat</t>
  </si>
  <si>
    <t>115-10-6</t>
  </si>
  <si>
    <t>Dimetyleter</t>
  </si>
  <si>
    <t>598-56-1</t>
  </si>
  <si>
    <t>Dimetyletylamin</t>
  </si>
  <si>
    <t>68-12-2</t>
  </si>
  <si>
    <t>N,N-dimetylformamid</t>
  </si>
  <si>
    <t>131-11-3</t>
  </si>
  <si>
    <t>Dimetylftalat</t>
  </si>
  <si>
    <t>108-83-8</t>
  </si>
  <si>
    <t>2,6-dimetyl-4-heptanon</t>
  </si>
  <si>
    <t>57-14-7</t>
  </si>
  <si>
    <t>1,1-dimetylhydrazin</t>
  </si>
  <si>
    <t>1,2-dimetylhydrazin</t>
  </si>
  <si>
    <t>77-78-1</t>
  </si>
  <si>
    <t>Dimetylsulfat</t>
  </si>
  <si>
    <t>Dinitrobenzen (alle isomere)</t>
  </si>
  <si>
    <t>10024-97-2</t>
  </si>
  <si>
    <t>Dinitrogenoksid</t>
  </si>
  <si>
    <t>534-52-1</t>
  </si>
  <si>
    <t>4,6-dinitro-o-kresol</t>
  </si>
  <si>
    <t>Dinitrotoluen (alle isomere)</t>
  </si>
  <si>
    <t>123-91-1</t>
  </si>
  <si>
    <t>1,4-dioksan</t>
  </si>
  <si>
    <t>117-84-0</t>
  </si>
  <si>
    <t>Dioktylftalat</t>
  </si>
  <si>
    <t>138-86-3</t>
  </si>
  <si>
    <t>Dipenten</t>
  </si>
  <si>
    <t>97-77-8</t>
  </si>
  <si>
    <t>Disulfiram</t>
  </si>
  <si>
    <t>10025-67-9</t>
  </si>
  <si>
    <t>Disvoveldiklorid</t>
  </si>
  <si>
    <t>5124-30-1</t>
  </si>
  <si>
    <t>Disykloheksylmetan-4,4'-diisocyanat</t>
  </si>
  <si>
    <t>77-73-6</t>
  </si>
  <si>
    <t>Disyklopentadien</t>
  </si>
  <si>
    <t>298-04-4</t>
  </si>
  <si>
    <t>Disyston</t>
  </si>
  <si>
    <t>330-54-1</t>
  </si>
  <si>
    <t>Diuron</t>
  </si>
  <si>
    <t>Divinylbenzen (alle isomere)</t>
  </si>
  <si>
    <t>64-19-7</t>
  </si>
  <si>
    <t>Eddiksyre</t>
  </si>
  <si>
    <t>108-24-7</t>
  </si>
  <si>
    <t>Eddiksyreanhydrid</t>
  </si>
  <si>
    <t>Ekstraksjonsbensin (vesentlig n-heksan)</t>
  </si>
  <si>
    <t>Ekstraksjonsbensin (uspesifisert)</t>
  </si>
  <si>
    <t>115-29-7</t>
  </si>
  <si>
    <t>Endosulfan</t>
  </si>
  <si>
    <t>72-20-8</t>
  </si>
  <si>
    <t>Endrin</t>
  </si>
  <si>
    <t>13838-16-9</t>
  </si>
  <si>
    <t>Enfluran</t>
  </si>
  <si>
    <t>556-52-5</t>
  </si>
  <si>
    <t>2,3-epoksy-1-propanol</t>
  </si>
  <si>
    <t>4016-14-2</t>
  </si>
  <si>
    <t>2,3-epoksypropyl isopropyleter</t>
  </si>
  <si>
    <t>64-17-5</t>
  </si>
  <si>
    <t>Etanol</t>
  </si>
  <si>
    <t>107-21-1</t>
  </si>
  <si>
    <t>1,2-etandiol</t>
  </si>
  <si>
    <t>628-96-6</t>
  </si>
  <si>
    <t>1,2-etandioldinitrat</t>
  </si>
  <si>
    <t>75-08-1</t>
  </si>
  <si>
    <t>Etantiol</t>
  </si>
  <si>
    <t>110-80-5</t>
  </si>
  <si>
    <t>2-etoksyetanol</t>
  </si>
  <si>
    <t>111-15-9</t>
  </si>
  <si>
    <t>2-etoksyetylacetat</t>
  </si>
  <si>
    <t>141-78-6</t>
  </si>
  <si>
    <t>Etylacetat</t>
  </si>
  <si>
    <t>140-88-5</t>
  </si>
  <si>
    <t>Etylakrylat</t>
  </si>
  <si>
    <t>75-04-7</t>
  </si>
  <si>
    <t>Etylamin</t>
  </si>
  <si>
    <t>100-41-4</t>
  </si>
  <si>
    <t>Etylbenzen</t>
  </si>
  <si>
    <t>107-15-3</t>
  </si>
  <si>
    <t>Etylendiamin</t>
  </si>
  <si>
    <t>151-56-4</t>
  </si>
  <si>
    <t>Etylenimin</t>
  </si>
  <si>
    <t>75-21-8</t>
  </si>
  <si>
    <t>Etylenoksid</t>
  </si>
  <si>
    <t>109-94-4</t>
  </si>
  <si>
    <t>Etylformiat</t>
  </si>
  <si>
    <t>16219-75-3</t>
  </si>
  <si>
    <t>5-etyliden-2-norbornen</t>
  </si>
  <si>
    <t>97-63-2</t>
  </si>
  <si>
    <t>Etylmetakrylat</t>
  </si>
  <si>
    <t>100-74-3</t>
  </si>
  <si>
    <t>N-etylmorfolin</t>
  </si>
  <si>
    <t>2104-64-5</t>
  </si>
  <si>
    <t>O-etyl-O-4-nitrofenylfenyltiofosfonat</t>
  </si>
  <si>
    <t>78-10-4</t>
  </si>
  <si>
    <t>Etylsilikat</t>
  </si>
  <si>
    <t>108-95-2</t>
  </si>
  <si>
    <t>Fenol</t>
  </si>
  <si>
    <t>92-84-2</t>
  </si>
  <si>
    <t>Fenotiazin</t>
  </si>
  <si>
    <t>108-45-2</t>
  </si>
  <si>
    <t>m-fenylendiamin</t>
  </si>
  <si>
    <t>95-54-5</t>
  </si>
  <si>
    <t>o-fenylendiamin</t>
  </si>
  <si>
    <t>638-21-1</t>
  </si>
  <si>
    <t>Fenylfosfin</t>
  </si>
  <si>
    <t>122-60-1</t>
  </si>
  <si>
    <t>Fenylglycidyleter</t>
  </si>
  <si>
    <t>100-63-0</t>
  </si>
  <si>
    <t>Fenylhydrazin</t>
  </si>
  <si>
    <t>98-83-9</t>
  </si>
  <si>
    <t>2-fenylpropen</t>
  </si>
  <si>
    <t>14484-64-1</t>
  </si>
  <si>
    <t>Ferbam</t>
  </si>
  <si>
    <t>12604-58-9</t>
  </si>
  <si>
    <t>Ferrovanadium</t>
  </si>
  <si>
    <t>7782-41-4</t>
  </si>
  <si>
    <t>Fluor</t>
  </si>
  <si>
    <t>75-43-4</t>
  </si>
  <si>
    <t>Fluordiklormetan</t>
  </si>
  <si>
    <t>75-69-4</t>
  </si>
  <si>
    <t>Fluortriklormetan</t>
  </si>
  <si>
    <t>298-02-2</t>
  </si>
  <si>
    <t>Forat</t>
  </si>
  <si>
    <t>50-00-0</t>
  </si>
  <si>
    <t>Formaldehyd</t>
  </si>
  <si>
    <t>75-12-7</t>
  </si>
  <si>
    <t>Formamid</t>
  </si>
  <si>
    <t>7803-51-2</t>
  </si>
  <si>
    <t>Fosfin</t>
  </si>
  <si>
    <t>7723-14-0</t>
  </si>
  <si>
    <t>Fosfor (gult)</t>
  </si>
  <si>
    <t>10026-13-8</t>
  </si>
  <si>
    <t>Fosforpentaklorid</t>
  </si>
  <si>
    <t>1314-80-3</t>
  </si>
  <si>
    <t>Fosforpentasulfid</t>
  </si>
  <si>
    <t>7664-38-2</t>
  </si>
  <si>
    <t>Fosforsyre</t>
  </si>
  <si>
    <t>Fosfortriklorid</t>
  </si>
  <si>
    <t>10025-87-3</t>
  </si>
  <si>
    <t>Fosforylklorid</t>
  </si>
  <si>
    <t>75-44-5</t>
  </si>
  <si>
    <t>Fosgen</t>
  </si>
  <si>
    <t>626-17-5</t>
  </si>
  <si>
    <t>m-ftalodinitril</t>
  </si>
  <si>
    <t>85-44-9</t>
  </si>
  <si>
    <t>Ftalsyreanhydrid</t>
  </si>
  <si>
    <t>98-01-1</t>
  </si>
  <si>
    <t>2-furaldehyd</t>
  </si>
  <si>
    <t>98-00-0</t>
  </si>
  <si>
    <t>Furfurylalkohol</t>
  </si>
  <si>
    <t>7782-65-2</t>
  </si>
  <si>
    <t>Germaniumtetrahydrid</t>
  </si>
  <si>
    <t>Glassfiber/polyester, totalstøv</t>
  </si>
  <si>
    <t>Glimmer (totalstøv)</t>
  </si>
  <si>
    <t>Glimmer (Respirabelt støv)</t>
  </si>
  <si>
    <t>111-30-8</t>
  </si>
  <si>
    <t>Glutaraldehyd</t>
  </si>
  <si>
    <t>Glutaraldehyd (alkalisk aktivert)</t>
  </si>
  <si>
    <t>55-63-0</t>
  </si>
  <si>
    <t>Glyceroltrinitrat</t>
  </si>
  <si>
    <t>Grafitt, naturlig (Totalstøv)</t>
  </si>
  <si>
    <t>Grafitt, naturlig (Respirabelt støv)</t>
  </si>
  <si>
    <t>Grafitt, syntetisk (Totalstøv)</t>
  </si>
  <si>
    <t>Grafitt, syntetisk (Respirabelt støv)</t>
  </si>
  <si>
    <t>7440-58-6</t>
  </si>
  <si>
    <t>Hafnium</t>
  </si>
  <si>
    <t>151-67-7</t>
  </si>
  <si>
    <t>Halotan</t>
  </si>
  <si>
    <t>684-16-2</t>
  </si>
  <si>
    <t>Heksafluoraceton</t>
  </si>
  <si>
    <t>87-68-3</t>
  </si>
  <si>
    <t>Heksaklorbutadien</t>
  </si>
  <si>
    <t>67-72-1</t>
  </si>
  <si>
    <t>Heksakloretan</t>
  </si>
  <si>
    <t>1335-87-1</t>
  </si>
  <si>
    <t>Heksaklornaftalen</t>
  </si>
  <si>
    <t>77-47-4</t>
  </si>
  <si>
    <t>Heksaklorsyklopentadien</t>
  </si>
  <si>
    <t>100-97-0</t>
  </si>
  <si>
    <t>Heksametylentetramin</t>
  </si>
  <si>
    <t>110-54-3</t>
  </si>
  <si>
    <t>n-heksan</t>
  </si>
  <si>
    <t>Heksan (unntatt n-heksan)</t>
  </si>
  <si>
    <t>124-09-4</t>
  </si>
  <si>
    <t>Heksandiamin</t>
  </si>
  <si>
    <t>822-06-0</t>
  </si>
  <si>
    <t>Heksan-1,6-diisocyanat</t>
  </si>
  <si>
    <t>591-78-6</t>
  </si>
  <si>
    <t>Heksan-2-on</t>
  </si>
  <si>
    <t>76-44-8</t>
  </si>
  <si>
    <t>Heptaklor</t>
  </si>
  <si>
    <t>142-82-5</t>
  </si>
  <si>
    <t>Heptan</t>
  </si>
  <si>
    <t>123-19-3</t>
  </si>
  <si>
    <t>Heptan-4-on</t>
  </si>
  <si>
    <t>110-43-0</t>
  </si>
  <si>
    <t>2-heptanon</t>
  </si>
  <si>
    <t>106-35-4</t>
  </si>
  <si>
    <t>3-heptanon</t>
  </si>
  <si>
    <t>302-01-2</t>
  </si>
  <si>
    <t>Hydrazin</t>
  </si>
  <si>
    <t>10035-10-6</t>
  </si>
  <si>
    <t>Hydrogenbromid</t>
  </si>
  <si>
    <t>74-90-8</t>
  </si>
  <si>
    <t>Hydrogencyanid</t>
  </si>
  <si>
    <t>Hydrogenerte terfenyler</t>
  </si>
  <si>
    <t>7664-39-3</t>
  </si>
  <si>
    <t>Hydrogenfluorid</t>
  </si>
  <si>
    <t>7647-01-0</t>
  </si>
  <si>
    <t>Hydrogenklorid</t>
  </si>
  <si>
    <t>7722-84-1</t>
  </si>
  <si>
    <t>Hydrogenperoksid</t>
  </si>
  <si>
    <t>Hydrogenselenid</t>
  </si>
  <si>
    <t>Hydrogensulfid</t>
  </si>
  <si>
    <t>123-31-9</t>
  </si>
  <si>
    <t>Hydrokinon</t>
  </si>
  <si>
    <t>868-77-9</t>
  </si>
  <si>
    <t>2-hydroksyetylmetakrylat</t>
  </si>
  <si>
    <t>123-42-2</t>
  </si>
  <si>
    <t>4-hydroksy-4-metyl-2-pentanon</t>
  </si>
  <si>
    <t>999-61-1</t>
  </si>
  <si>
    <t>2-hydroksypropylakrylat</t>
  </si>
  <si>
    <t>Ildfaste keramiske fibrer</t>
  </si>
  <si>
    <t>111-42-2</t>
  </si>
  <si>
    <t>2,2'-iminodietanol</t>
  </si>
  <si>
    <t>95-13-6</t>
  </si>
  <si>
    <t>Inden</t>
  </si>
  <si>
    <t>Indium og indiumforb. (beregnet som In)</t>
  </si>
  <si>
    <t>97-86-9</t>
  </si>
  <si>
    <t>Isobutylmetakrylat</t>
  </si>
  <si>
    <t>26675-46-7</t>
  </si>
  <si>
    <t>Isofluran</t>
  </si>
  <si>
    <t>78-59-1</t>
  </si>
  <si>
    <t>Isoforon</t>
  </si>
  <si>
    <t>4098-71-9</t>
  </si>
  <si>
    <t>Isoforondiisocyanat</t>
  </si>
  <si>
    <t>26952-21-6</t>
  </si>
  <si>
    <t>Isooktan-1-ol</t>
  </si>
  <si>
    <t>78-78-4</t>
  </si>
  <si>
    <t>Isopentan</t>
  </si>
  <si>
    <t>123-92-2</t>
  </si>
  <si>
    <t>Isopentylacetat</t>
  </si>
  <si>
    <t>109-59-1</t>
  </si>
  <si>
    <t>2-isopropoksyetanol</t>
  </si>
  <si>
    <t>108-21-4</t>
  </si>
  <si>
    <t>Isopropylacetat</t>
  </si>
  <si>
    <t>768-52-5</t>
  </si>
  <si>
    <t>Isopropylanilin</t>
  </si>
  <si>
    <t>1309-37-1</t>
  </si>
  <si>
    <t>Jern(III)oksid (beregnet som Fe)</t>
  </si>
  <si>
    <t>13463-40-6</t>
  </si>
  <si>
    <t>Jernpentakarbonyl</t>
  </si>
  <si>
    <t>Jernsalter (beregnet som Fe)</t>
  </si>
  <si>
    <t>7553-56-2</t>
  </si>
  <si>
    <t>Jod</t>
  </si>
  <si>
    <t>74-88-4</t>
  </si>
  <si>
    <t>Jodmetan</t>
  </si>
  <si>
    <t>1306-19-0</t>
  </si>
  <si>
    <t>1310-58-3</t>
  </si>
  <si>
    <t>Kaliumhydroksid</t>
  </si>
  <si>
    <t>156-62-7</t>
  </si>
  <si>
    <t>Kalsiumcyanamid</t>
  </si>
  <si>
    <t>1305-62-0</t>
  </si>
  <si>
    <t>Kalsiumhydroksid</t>
  </si>
  <si>
    <t>1305-78-8</t>
  </si>
  <si>
    <t>Kalsiumoksid</t>
  </si>
  <si>
    <t>8001-35-2</t>
  </si>
  <si>
    <t>Kamfeklor</t>
  </si>
  <si>
    <t>76-22-2</t>
  </si>
  <si>
    <t>Kamfer (syntetisk)</t>
  </si>
  <si>
    <t>105-60-2</t>
  </si>
  <si>
    <t>ε-kaprolaktam</t>
  </si>
  <si>
    <t>63-25-2</t>
  </si>
  <si>
    <t>Karbaryl</t>
  </si>
  <si>
    <t>1563-66-2</t>
  </si>
  <si>
    <t>Karbofuran</t>
  </si>
  <si>
    <t>124-38-9</t>
  </si>
  <si>
    <t>Karbondioksid</t>
  </si>
  <si>
    <t>75-15-0</t>
  </si>
  <si>
    <t>Karbondisulfid</t>
  </si>
  <si>
    <t>630-08-0</t>
  </si>
  <si>
    <t>Karbonmonoksid</t>
  </si>
  <si>
    <t>558-13-4</t>
  </si>
  <si>
    <t>Karbontetrabromid</t>
  </si>
  <si>
    <t>353-50-4</t>
  </si>
  <si>
    <t>Karbonylfluorid</t>
  </si>
  <si>
    <t>13466-78-9</t>
  </si>
  <si>
    <t>δ-karen</t>
  </si>
  <si>
    <t>463-51-4</t>
  </si>
  <si>
    <t>Keten</t>
  </si>
  <si>
    <t>Kleberstein (Totalstøv)</t>
  </si>
  <si>
    <t>Kleberstein (Respirabelt støv)</t>
  </si>
  <si>
    <t>7782-50-5</t>
  </si>
  <si>
    <t>Klor</t>
  </si>
  <si>
    <t>107-20-0</t>
  </si>
  <si>
    <t>Kloracetaldehyd</t>
  </si>
  <si>
    <t>532-27-4</t>
  </si>
  <si>
    <t>α-kloracetofenon</t>
  </si>
  <si>
    <t>79-04-9</t>
  </si>
  <si>
    <t>Kloracetylklorid</t>
  </si>
  <si>
    <t>108-90-7</t>
  </si>
  <si>
    <t>Klorbenzen</t>
  </si>
  <si>
    <t>2698-41-1</t>
  </si>
  <si>
    <t>o-klorbenzylidenmalononitril</t>
  </si>
  <si>
    <t>57-74-9</t>
  </si>
  <si>
    <t>Klordan</t>
  </si>
  <si>
    <t>10049-04-4</t>
  </si>
  <si>
    <t>Klordioksid</t>
  </si>
  <si>
    <t>106-89-8</t>
  </si>
  <si>
    <t>1-klor-2,3-epoksypropan</t>
  </si>
  <si>
    <t>55720-99-5</t>
  </si>
  <si>
    <t>Klorert difenyloksid</t>
  </si>
  <si>
    <t>75-00-3</t>
  </si>
  <si>
    <t>Kloretan</t>
  </si>
  <si>
    <t>107-07-3</t>
  </si>
  <si>
    <t>2-kloretanol</t>
  </si>
  <si>
    <t>74-87-3</t>
  </si>
  <si>
    <t>Klormetan</t>
  </si>
  <si>
    <t>100-00-5</t>
  </si>
  <si>
    <t>1-klor-4-nitrobenzen</t>
  </si>
  <si>
    <t>600-25-9</t>
  </si>
  <si>
    <t>1-klor-1-nitropropan</t>
  </si>
  <si>
    <t>126-99-8</t>
  </si>
  <si>
    <t>2-kloropren</t>
  </si>
  <si>
    <t>107-05-1</t>
  </si>
  <si>
    <t>3-klorpropen</t>
  </si>
  <si>
    <t>2921-88-2</t>
  </si>
  <si>
    <t>Klorpyrifos</t>
  </si>
  <si>
    <t>2039-87-4</t>
  </si>
  <si>
    <t>o-klorstyren</t>
  </si>
  <si>
    <t>100-44-7</t>
  </si>
  <si>
    <t>α-klortoluen</t>
  </si>
  <si>
    <t>95-49-8</t>
  </si>
  <si>
    <t>o-klortoluen</t>
  </si>
  <si>
    <t>7790-91-2</t>
  </si>
  <si>
    <t>Klortrifluorid</t>
  </si>
  <si>
    <t>7440-50-8</t>
  </si>
  <si>
    <t>Kobber (Røyk)</t>
  </si>
  <si>
    <t>Kobber (Støv)</t>
  </si>
  <si>
    <t>Kobolt (røyk) og uorg. koboltforb. (beregnet som Co, unntatt Co(II)</t>
  </si>
  <si>
    <t>Kobolt, Co(II)-forb. (røyk) og uorg. (beregnet som Co)</t>
  </si>
  <si>
    <t>Kobolthydrokarbonyl (beregnet som Co)</t>
  </si>
  <si>
    <t>Koboltkabonyl (beregnet som Co)</t>
  </si>
  <si>
    <t>1319-77-3</t>
  </si>
  <si>
    <t>Kresoler (alle isomere)</t>
  </si>
  <si>
    <t>14464-46-1</t>
  </si>
  <si>
    <t>Kristobalitt (Totalstøv)</t>
  </si>
  <si>
    <t>Kristobalitt (Respirabelt støv)</t>
  </si>
  <si>
    <t>Krom og Cr​2​+ – og Crm³​+ – forb. (beregnet som Cr)</t>
  </si>
  <si>
    <t>Kromsyre og Kromater (beregnet som Cr(VI))</t>
  </si>
  <si>
    <t>Kullstøv (Totalstøv)</t>
  </si>
  <si>
    <t>Kullstøv (Respirabelt støv)</t>
  </si>
  <si>
    <t>14808-60-7</t>
  </si>
  <si>
    <t>α-kvarts (Totalstøv)</t>
  </si>
  <si>
    <t>α-kvarts (Respirabelt støv)</t>
  </si>
  <si>
    <t>Kvikksølv og kvikksølvforb. (unntatt alkylforbindelser) (beregnet som Hg)</t>
  </si>
  <si>
    <t>Kvikksølv, alkylforb. (beregnet som Hg)</t>
  </si>
  <si>
    <t>5989-27-5</t>
  </si>
  <si>
    <t>d-limonen</t>
  </si>
  <si>
    <t>5989-54-8</t>
  </si>
  <si>
    <t>i-limonen</t>
  </si>
  <si>
    <t>58-89-9</t>
  </si>
  <si>
    <t>Lindan</t>
  </si>
  <si>
    <t>7580-67-8</t>
  </si>
  <si>
    <t>Litiumhydrid</t>
  </si>
  <si>
    <t>Loddetråd med harpiksholdig kjerne (beregnet som formaldehyd)</t>
  </si>
  <si>
    <t>1309-48-4</t>
  </si>
  <si>
    <t>Magnesiumoksid</t>
  </si>
  <si>
    <t>121-75-5</t>
  </si>
  <si>
    <t>Malation</t>
  </si>
  <si>
    <t>108-31-6</t>
  </si>
  <si>
    <t>Maleinsyreanhydrid</t>
  </si>
  <si>
    <t>7439-96-5</t>
  </si>
  <si>
    <t>Mangan og uorganiske manganforb. (beregnet som Mn) (Inhalerbar fraksjon)</t>
  </si>
  <si>
    <t>Mangan og uorganiske manganforb. (beregnet som Mn) (Respirabel fraksjon)</t>
  </si>
  <si>
    <t>12079-65-1</t>
  </si>
  <si>
    <t>Mangansyklopentadienyltrikarbonyl (beregnet som Mn)</t>
  </si>
  <si>
    <t>–</t>
  </si>
  <si>
    <t>64-18-6</t>
  </si>
  <si>
    <t>Maursyre</t>
  </si>
  <si>
    <t>Melstøv, inhalerbar</t>
  </si>
  <si>
    <t>108-67-8</t>
  </si>
  <si>
    <t>Mesitylen (trimetylbenzener)</t>
  </si>
  <si>
    <t>79-41-4</t>
  </si>
  <si>
    <t>Metakrylsyre</t>
  </si>
  <si>
    <t>67-56-1</t>
  </si>
  <si>
    <t>Metanol</t>
  </si>
  <si>
    <t>74-93-1</t>
  </si>
  <si>
    <t>Metantiol</t>
  </si>
  <si>
    <t>90-04-0</t>
  </si>
  <si>
    <t>2-metoksyanilin</t>
  </si>
  <si>
    <t>104-94-9</t>
  </si>
  <si>
    <t>4-metoksyanilin</t>
  </si>
  <si>
    <t>109-86-4</t>
  </si>
  <si>
    <t>2-metoksyetanol</t>
  </si>
  <si>
    <t>111-77-3</t>
  </si>
  <si>
    <t>2-(2-metoksyetoksy)etanol</t>
  </si>
  <si>
    <t>110-49-6</t>
  </si>
  <si>
    <t>2-metoksyetylacetat</t>
  </si>
  <si>
    <t>150-76-5</t>
  </si>
  <si>
    <t>4-metoksyfenol</t>
  </si>
  <si>
    <t>72-43-5</t>
  </si>
  <si>
    <t>Metosyklor</t>
  </si>
  <si>
    <t>34590-94-8</t>
  </si>
  <si>
    <t>(2-metoksymetyletoksy)-propanol</t>
  </si>
  <si>
    <t>107-98-2</t>
  </si>
  <si>
    <t>1-metoksy-2-propanol</t>
  </si>
  <si>
    <t>108-65-6</t>
  </si>
  <si>
    <t>1-metoksy-2-propylacetat</t>
  </si>
  <si>
    <t>1589-47-5</t>
  </si>
  <si>
    <t>2-metyloksy-1-propanol</t>
  </si>
  <si>
    <t>70657-70-4</t>
  </si>
  <si>
    <t>2-metoksy-1-propylacetat</t>
  </si>
  <si>
    <t>16752-77-5</t>
  </si>
  <si>
    <t>Metomyl</t>
  </si>
  <si>
    <t>79-20-9</t>
  </si>
  <si>
    <t>Metylacetat</t>
  </si>
  <si>
    <t>Metylacetylen-propadien-blanding</t>
  </si>
  <si>
    <t>96-33-3</t>
  </si>
  <si>
    <t>Metylakrylat</t>
  </si>
  <si>
    <t>126-98-7</t>
  </si>
  <si>
    <t>Metylakrylnitril</t>
  </si>
  <si>
    <t>74-89-5</t>
  </si>
  <si>
    <t>Metylamin</t>
  </si>
  <si>
    <t>100-61-8</t>
  </si>
  <si>
    <t>N-metylanilin</t>
  </si>
  <si>
    <t>75-55-8</t>
  </si>
  <si>
    <t>2-metylaziridin</t>
  </si>
  <si>
    <t>563-80-4</t>
  </si>
  <si>
    <t>3-metyl-2-butanon</t>
  </si>
  <si>
    <t>123-51-3</t>
  </si>
  <si>
    <t>3-metyl-1-butanol</t>
  </si>
  <si>
    <t>626-38-0</t>
  </si>
  <si>
    <t>1-metylbutylacetat</t>
  </si>
  <si>
    <t>98-51-1</t>
  </si>
  <si>
    <t>1-metyl-4-tert-butylbenzen</t>
  </si>
  <si>
    <t>137-05-3</t>
  </si>
  <si>
    <t>Metyl-2-cyanoakrylat</t>
  </si>
  <si>
    <t>101-77-9</t>
  </si>
  <si>
    <t>4,4'-metylendianilin</t>
  </si>
  <si>
    <t>98-82-8</t>
  </si>
  <si>
    <t>1-metyletylbenzen</t>
  </si>
  <si>
    <t>110-12-3</t>
  </si>
  <si>
    <t>5-metyl-2-heksanon</t>
  </si>
  <si>
    <t>541-85-5</t>
  </si>
  <si>
    <t>5-metyl-3-heptanon</t>
  </si>
  <si>
    <t>60-34-4</t>
  </si>
  <si>
    <t>Metylhydrazin</t>
  </si>
  <si>
    <t>624-83-9</t>
  </si>
  <si>
    <t>Metylisocyanat</t>
  </si>
  <si>
    <t>korttidsverdi (over 5 minutter)</t>
  </si>
  <si>
    <t>80-62-6</t>
  </si>
  <si>
    <t>Metylmetakrylat</t>
  </si>
  <si>
    <t>107-31-3</t>
  </si>
  <si>
    <t>Metylmetanat</t>
  </si>
  <si>
    <t>107-41-5</t>
  </si>
  <si>
    <t>2-metyl-2,4-pentandiol</t>
  </si>
  <si>
    <t>872-50-4</t>
  </si>
  <si>
    <t>N-metyl-2-pyrrolidon</t>
  </si>
  <si>
    <t>108-11-2</t>
  </si>
  <si>
    <t>4-metyl-2-pentanol</t>
  </si>
  <si>
    <t>108-10-1</t>
  </si>
  <si>
    <t>4-metylpentan-2-on</t>
  </si>
  <si>
    <t>141-79-7</t>
  </si>
  <si>
    <t>4-metyl-3-penten-2-on</t>
  </si>
  <si>
    <t>78-83-1</t>
  </si>
  <si>
    <t>2-metylpropan-1-ol</t>
  </si>
  <si>
    <t>75-65-0</t>
  </si>
  <si>
    <t>2-metyl-2-propanol</t>
  </si>
  <si>
    <t>681-84-5</t>
  </si>
  <si>
    <t>Metylsilikat</t>
  </si>
  <si>
    <t>108-87-2</t>
  </si>
  <si>
    <t>Metylsykloheksan</t>
  </si>
  <si>
    <t>Metylsykloheksanol (alle isomere)</t>
  </si>
  <si>
    <t>583-60-8</t>
  </si>
  <si>
    <t>2-metylsykloheksanon</t>
  </si>
  <si>
    <t>12108-13-3</t>
  </si>
  <si>
    <t>Metylsyklopentadienylmangantrikarbonyl (beregnet som Mn)</t>
  </si>
  <si>
    <t>479-45-8</t>
  </si>
  <si>
    <t>N-Metyl-2,4,6-N-tetranitroanilin</t>
  </si>
  <si>
    <t>7786-34-7</t>
  </si>
  <si>
    <t>Mevinfos</t>
  </si>
  <si>
    <t>MMMF (Man Made Mineral Fibers) se ildfaste keramiske fibrer, tynne glassfibrer til spesialformål, mineralull og AES-ull (Mineralull)</t>
  </si>
  <si>
    <t>Molybdenforbindelser, løselige (beregnet som Mo)</t>
  </si>
  <si>
    <t>Molybdenforbindelser, uløselige (beregnet som Mo)</t>
  </si>
  <si>
    <t>110-91-8</t>
  </si>
  <si>
    <t>Morfolin</t>
  </si>
  <si>
    <t>91-20-3</t>
  </si>
  <si>
    <t>Naftalen</t>
  </si>
  <si>
    <t>3173-72-6</t>
  </si>
  <si>
    <t>Naftalen-1,5-diisocyanat</t>
  </si>
  <si>
    <t>86-88-4</t>
  </si>
  <si>
    <t>1-naftyltiourea</t>
  </si>
  <si>
    <t>26628-22-8</t>
  </si>
  <si>
    <t>Natriumazid</t>
  </si>
  <si>
    <t>62-74-8</t>
  </si>
  <si>
    <t>Natriumfluoracetat</t>
  </si>
  <si>
    <t>7631-90-5</t>
  </si>
  <si>
    <t>Natriumhydrogensulfitt</t>
  </si>
  <si>
    <t>1310-73-2</t>
  </si>
  <si>
    <t>Natriumhydroksid</t>
  </si>
  <si>
    <t>7681-57-4</t>
  </si>
  <si>
    <t>Natriummetabisulfitt (natriumpyrosulfitt)</t>
  </si>
  <si>
    <t>1330-43-4</t>
  </si>
  <si>
    <t>Natriumtetraborater (Vannfritt)</t>
  </si>
  <si>
    <t>1303-96-4</t>
  </si>
  <si>
    <t>Natriumtetraborater (Dekahydrater)</t>
  </si>
  <si>
    <t>12447-40-4</t>
  </si>
  <si>
    <t>Natriumtetraborater (Pentahydrater)</t>
  </si>
  <si>
    <t>463-82-1</t>
  </si>
  <si>
    <t>Neopentan</t>
  </si>
  <si>
    <t>Nikkel og nikkelforbindelser (beregnet som Ni)</t>
  </si>
  <si>
    <t>13463-39-3</t>
  </si>
  <si>
    <t>Nikkeltetrakarbonyl</t>
  </si>
  <si>
    <t>54-11-5</t>
  </si>
  <si>
    <t>Nikotin</t>
  </si>
  <si>
    <t>100-01-6</t>
  </si>
  <si>
    <t>p-nitroanilin</t>
  </si>
  <si>
    <t>98-95-3</t>
  </si>
  <si>
    <t>Nitrobenzen</t>
  </si>
  <si>
    <t>79-24-3</t>
  </si>
  <si>
    <t>Nitroetan</t>
  </si>
  <si>
    <t>10102-44-0</t>
  </si>
  <si>
    <t>Nitrogendioksid</t>
  </si>
  <si>
    <t>10102-43-9</t>
  </si>
  <si>
    <t>Nitrogenoksid</t>
  </si>
  <si>
    <t>7783-54-2</t>
  </si>
  <si>
    <t>Nitrogentrifluorid</t>
  </si>
  <si>
    <t>75-52-5</t>
  </si>
  <si>
    <t>Nitrometan</t>
  </si>
  <si>
    <t>108-03-2</t>
  </si>
  <si>
    <t>1-nitropropan</t>
  </si>
  <si>
    <t>79-46-9</t>
  </si>
  <si>
    <t>2-nitropropan</t>
  </si>
  <si>
    <t>Nitrotoluen (alle isomere)</t>
  </si>
  <si>
    <t>111-84-2</t>
  </si>
  <si>
    <t>Nonan</t>
  </si>
  <si>
    <t>144-62-7</t>
  </si>
  <si>
    <t>Oksalsyre</t>
  </si>
  <si>
    <t>2,2'-[oksibis(metylen)] bisoksiran</t>
  </si>
  <si>
    <t>7783-41-7</t>
  </si>
  <si>
    <t>Oksygendifluorid</t>
  </si>
  <si>
    <t>2234-13-1</t>
  </si>
  <si>
    <t>Oktaklornaftalen</t>
  </si>
  <si>
    <t>111-65-9</t>
  </si>
  <si>
    <t>Oktan</t>
  </si>
  <si>
    <t>Oljedamp</t>
  </si>
  <si>
    <t>Oljetåke (mineraloljepartikler)</t>
  </si>
  <si>
    <t>Organisk støv, totalstøv</t>
  </si>
  <si>
    <t>20816-12-0</t>
  </si>
  <si>
    <t>Osmiumtetraoksid</t>
  </si>
  <si>
    <t>10028-15-6</t>
  </si>
  <si>
    <t>Ozon</t>
  </si>
  <si>
    <t>PAH (polyaromatiske hydrokarboner)</t>
  </si>
  <si>
    <t>8002-74-2</t>
  </si>
  <si>
    <t>Parafin (røyk)</t>
  </si>
  <si>
    <t>4685-14-7</t>
  </si>
  <si>
    <t>Parakvat</t>
  </si>
  <si>
    <t>56-38-2</t>
  </si>
  <si>
    <t>Paration</t>
  </si>
  <si>
    <t>298-00-0</t>
  </si>
  <si>
    <t>Paration-metyl</t>
  </si>
  <si>
    <t>1336-36-3</t>
  </si>
  <si>
    <t>PCB (polyklorerte bifenyler)</t>
  </si>
  <si>
    <t>19624-22-7</t>
  </si>
  <si>
    <t>Pentaboran</t>
  </si>
  <si>
    <t>76-01-7</t>
  </si>
  <si>
    <t>Pentakloretan</t>
  </si>
  <si>
    <t>87-86-5</t>
  </si>
  <si>
    <t>Pentaklorfenol</t>
  </si>
  <si>
    <t>1321-64-8</t>
  </si>
  <si>
    <t>Pentaklornaftalen</t>
  </si>
  <si>
    <t>109-66-0</t>
  </si>
  <si>
    <t>Pentan</t>
  </si>
  <si>
    <t>96-22-0</t>
  </si>
  <si>
    <t>pentan-3-on</t>
  </si>
  <si>
    <t>Pentanol (alle isomere)</t>
  </si>
  <si>
    <t>107-87-9</t>
  </si>
  <si>
    <t>2-pentanon</t>
  </si>
  <si>
    <t>620-11-1</t>
  </si>
  <si>
    <t>3-pentylacetat</t>
  </si>
  <si>
    <t>628-63-7</t>
  </si>
  <si>
    <t>Pentylacetat</t>
  </si>
  <si>
    <t>Pentylacetat (alle isomere)</t>
  </si>
  <si>
    <t>121-82-4</t>
  </si>
  <si>
    <t>Perhydro-1,3,5-trinitro-1,3,5-triazin</t>
  </si>
  <si>
    <t>7616-94-6</t>
  </si>
  <si>
    <t>Perklorylfluorid</t>
  </si>
  <si>
    <t>Perlitt (Totalstøv)</t>
  </si>
  <si>
    <t>Perlitt (Respirabelt støv)</t>
  </si>
  <si>
    <t>Persulfater</t>
  </si>
  <si>
    <t>88-89-1</t>
  </si>
  <si>
    <t>Pikrinsyre</t>
  </si>
  <si>
    <t>83-26-1</t>
  </si>
  <si>
    <t>Pindon</t>
  </si>
  <si>
    <t>80-56-8</t>
  </si>
  <si>
    <t>α-pinen</t>
  </si>
  <si>
    <t>127-91-3</t>
  </si>
  <si>
    <t>β-pinen</t>
  </si>
  <si>
    <t>110-85-0</t>
  </si>
  <si>
    <t>Piperazin</t>
  </si>
  <si>
    <t>Platinaforbindelser, løselige (beregnet som Pt)</t>
  </si>
  <si>
    <t>Polyester/glassfiber, totalstøv</t>
  </si>
  <si>
    <t>74-98-6</t>
  </si>
  <si>
    <t>Propan</t>
  </si>
  <si>
    <t>57-55-6</t>
  </si>
  <si>
    <t>Propan-1,2-diol</t>
  </si>
  <si>
    <t>6423-43-4</t>
  </si>
  <si>
    <t>Propan-1,2-diyl dinitrat</t>
  </si>
  <si>
    <t>71-23-8</t>
  </si>
  <si>
    <t>1-propanol</t>
  </si>
  <si>
    <t>67-63-0</t>
  </si>
  <si>
    <t>2-propanol</t>
  </si>
  <si>
    <t>107-18-6</t>
  </si>
  <si>
    <t>2-propen-1-ol</t>
  </si>
  <si>
    <t>79-09-4</t>
  </si>
  <si>
    <t>Propionsyre</t>
  </si>
  <si>
    <t>57-57-8</t>
  </si>
  <si>
    <t>β-propiolakton</t>
  </si>
  <si>
    <t>114-26-1</t>
  </si>
  <si>
    <t>Propoxur</t>
  </si>
  <si>
    <t>109-60-4</t>
  </si>
  <si>
    <t>n-propylacetat</t>
  </si>
  <si>
    <t>75-31-0</t>
  </si>
  <si>
    <t>2-propylamin</t>
  </si>
  <si>
    <t>75-56-9</t>
  </si>
  <si>
    <t>1,2-propylenoksid</t>
  </si>
  <si>
    <t>627-13-4</t>
  </si>
  <si>
    <t>Propylnitrat</t>
  </si>
  <si>
    <t>74-99-7</t>
  </si>
  <si>
    <t>Propyn</t>
  </si>
  <si>
    <t>107-19-7</t>
  </si>
  <si>
    <t>2-propyn-1-ol</t>
  </si>
  <si>
    <t>8003-34-7</t>
  </si>
  <si>
    <t>Pyretrin</t>
  </si>
  <si>
    <t>110-86-1</t>
  </si>
  <si>
    <t>Pyridin</t>
  </si>
  <si>
    <t>Respirabelt støv i silisiumkarbidindustri, i ovnshus og ovnshusrelaterte avdelinger i silisiumkarbidindustri</t>
  </si>
  <si>
    <t>7440-16-6</t>
  </si>
  <si>
    <t>Rhodium</t>
  </si>
  <si>
    <t>Rhodiumforb., løselige (beregnet som Rh)</t>
  </si>
  <si>
    <t>299-84-3</t>
  </si>
  <si>
    <t>Ronnel</t>
  </si>
  <si>
    <t>83-79-4</t>
  </si>
  <si>
    <t>Rotenon</t>
  </si>
  <si>
    <t>7697-37-2</t>
  </si>
  <si>
    <t>Salpetersyre</t>
  </si>
  <si>
    <t>Selen og uorg. selenforb. (unntatt selensulfid, hydrogenselenid og selenheksafluorid) (beregnet som Se)</t>
  </si>
  <si>
    <t>7783-79-1</t>
  </si>
  <si>
    <t>Selenheksafluorid</t>
  </si>
  <si>
    <t>7446-34-6</t>
  </si>
  <si>
    <t>Selensulfid</t>
  </si>
  <si>
    <t>28523-86-6</t>
  </si>
  <si>
    <t>Sevofluran</t>
  </si>
  <si>
    <t>7803-62-5</t>
  </si>
  <si>
    <t>Silan</t>
  </si>
  <si>
    <t>7440-21-3</t>
  </si>
  <si>
    <t>Silisium</t>
  </si>
  <si>
    <t>Silisiumkarbid fiber</t>
  </si>
  <si>
    <t>7646-85-7</t>
  </si>
  <si>
    <t>Sinkklorid</t>
  </si>
  <si>
    <t>1314-13-2</t>
  </si>
  <si>
    <t>Sinkoksid</t>
  </si>
  <si>
    <t>Sjenerende støv (Totalstøv)</t>
  </si>
  <si>
    <t>Sjenerende støv (Respirabelt støv)</t>
  </si>
  <si>
    <t>57-24-9</t>
  </si>
  <si>
    <t>Stryknin</t>
  </si>
  <si>
    <t>100-42-5</t>
  </si>
  <si>
    <t>Styren</t>
  </si>
  <si>
    <t>1395-21-7</t>
  </si>
  <si>
    <t>Subtilisiner (vaskemiddelenzymer)</t>
  </si>
  <si>
    <t>3689-24-5</t>
  </si>
  <si>
    <t>Sulfotep</t>
  </si>
  <si>
    <t>2699-79-8</t>
  </si>
  <si>
    <t>Sulfurylfluorid</t>
  </si>
  <si>
    <t>Sveiserøyk (uspesifisert)</t>
  </si>
  <si>
    <t>Svoveldioksid</t>
  </si>
  <si>
    <t>2551-62-4</t>
  </si>
  <si>
    <t>Svovelheksafluorid</t>
  </si>
  <si>
    <t>5714-22-7</t>
  </si>
  <si>
    <t>Svovelpentafluorid</t>
  </si>
  <si>
    <t>7664-93-9</t>
  </si>
  <si>
    <t>Svovelsyreaerosol, torakal fraksjon</t>
  </si>
  <si>
    <t>7783-60-0</t>
  </si>
  <si>
    <t>Svoveltetrafluorid</t>
  </si>
  <si>
    <t>110-82-7</t>
  </si>
  <si>
    <t>Sykloheksan</t>
  </si>
  <si>
    <t>108-93-0</t>
  </si>
  <si>
    <t>Sykloheksanol</t>
  </si>
  <si>
    <t>108-94-1</t>
  </si>
  <si>
    <t>Sykloheksanon</t>
  </si>
  <si>
    <t>110-83-8</t>
  </si>
  <si>
    <t>Sykloheksen</t>
  </si>
  <si>
    <t>108-91-8</t>
  </si>
  <si>
    <t>Sykloheksylamin</t>
  </si>
  <si>
    <t>542-92-7</t>
  </si>
  <si>
    <t>1,3-syklopentadien</t>
  </si>
  <si>
    <t>7440-22-4</t>
  </si>
  <si>
    <t>Sølv, metallstøv og røyk</t>
  </si>
  <si>
    <t>Sølv, løselige forb. (beregnet som Ag)</t>
  </si>
  <si>
    <t>Talkum uten fiber (Totalstøv)</t>
  </si>
  <si>
    <t>Talkum uten fiber (Respirabelt støv)</t>
  </si>
  <si>
    <t>13494-80-9</t>
  </si>
  <si>
    <t>Tellur</t>
  </si>
  <si>
    <t>7783-80-4</t>
  </si>
  <si>
    <t>Tellurheksafluorid</t>
  </si>
  <si>
    <t>Terfenyler</t>
  </si>
  <si>
    <t>8006-64-2</t>
  </si>
  <si>
    <t>Terpentin (vegetabilsk)</t>
  </si>
  <si>
    <t>79-27-6</t>
  </si>
  <si>
    <t>1,1,2,2-tetrabrometan</t>
  </si>
  <si>
    <t>78-00-2</t>
  </si>
  <si>
    <t>Tetraetylbly</t>
  </si>
  <si>
    <t>107-49-3</t>
  </si>
  <si>
    <t>Tetraetylpyrofosfat</t>
  </si>
  <si>
    <t>76-14-2</t>
  </si>
  <si>
    <t>1,1,2,2-tetrafluor-1,2-dikloretan</t>
  </si>
  <si>
    <t>109-99-9</t>
  </si>
  <si>
    <t>Tetrahydrofuran</t>
  </si>
  <si>
    <t>79-34-5</t>
  </si>
  <si>
    <t>1,1,2,2-tetrakloretan</t>
  </si>
  <si>
    <t>127-18-4</t>
  </si>
  <si>
    <t>Tetrakloreten</t>
  </si>
  <si>
    <t>56-23-5</t>
  </si>
  <si>
    <t>Tetraklormetan</t>
  </si>
  <si>
    <t>1335-88-2</t>
  </si>
  <si>
    <t>Tetraklornaftalen</t>
  </si>
  <si>
    <t>75-74-1</t>
  </si>
  <si>
    <t>Tetrametylbly</t>
  </si>
  <si>
    <t>3333-52-6</t>
  </si>
  <si>
    <t>Tetrametylsuccinonitril</t>
  </si>
  <si>
    <t>7722-88-5</t>
  </si>
  <si>
    <t>Tetranatriumpyrofosfat</t>
  </si>
  <si>
    <t>509-14-8</t>
  </si>
  <si>
    <t>Tetranitrometan</t>
  </si>
  <si>
    <t>Thallium og løselige thalliumforb. (beregnet som Tl)</t>
  </si>
  <si>
    <t>Thionylklorid</t>
  </si>
  <si>
    <t>Tinnforbindelser, organiske (beregnet som Sn)</t>
  </si>
  <si>
    <t>Tinnforbindelser, uorganiske (beregnet som Sn)</t>
  </si>
  <si>
    <t>68-11-1</t>
  </si>
  <si>
    <t>Tioglykolsyre</t>
  </si>
  <si>
    <t>137-26-8</t>
  </si>
  <si>
    <t>Tiram</t>
  </si>
  <si>
    <t>13463-67-7</t>
  </si>
  <si>
    <t>Titandioksid</t>
  </si>
  <si>
    <t>108-88-3</t>
  </si>
  <si>
    <t>Toluen</t>
  </si>
  <si>
    <t>584-84-9</t>
  </si>
  <si>
    <t>2,4-toluendiisocyanat</t>
  </si>
  <si>
    <t>91-08-7</t>
  </si>
  <si>
    <t>2,6-toluendiisocyanat</t>
  </si>
  <si>
    <t>95-53-4</t>
  </si>
  <si>
    <t>o-toluidin</t>
  </si>
  <si>
    <t>Trestøv fra harde eksotiske tresorter, eik og bøk (Inhalerbar fraksjon)</t>
  </si>
  <si>
    <t>Trestøv fra nordiske tresorter unntatt eik og bøk (Totalstøv)</t>
  </si>
  <si>
    <t>75-25-2</t>
  </si>
  <si>
    <t>Tribrommetan</t>
  </si>
  <si>
    <t>126-73-8</t>
  </si>
  <si>
    <t>Tributylfosfat</t>
  </si>
  <si>
    <t>15468-32-3</t>
  </si>
  <si>
    <t>Tridymitt (Totalstøv)</t>
  </si>
  <si>
    <t>Tridymitt (Respirabelt støv)</t>
  </si>
  <si>
    <t>102-71-6</t>
  </si>
  <si>
    <t>Trietanolamin</t>
  </si>
  <si>
    <t>121-44-8</t>
  </si>
  <si>
    <t>Trietylamin</t>
  </si>
  <si>
    <t>112-24-3</t>
  </si>
  <si>
    <t>Trietylentetramin</t>
  </si>
  <si>
    <t>603-34-9</t>
  </si>
  <si>
    <t>Trifenylamin</t>
  </si>
  <si>
    <t>115-86-6</t>
  </si>
  <si>
    <t>Trifenylfosfat</t>
  </si>
  <si>
    <t>76-13-1</t>
  </si>
  <si>
    <t>1,2,2-trifluor-1,1,2-trikloretan</t>
  </si>
  <si>
    <t>75-47-8</t>
  </si>
  <si>
    <t>Trijodmetan</t>
  </si>
  <si>
    <t>120-82-1</t>
  </si>
  <si>
    <t>1,2,4-triklorbenzen</t>
  </si>
  <si>
    <t>76-03-9</t>
  </si>
  <si>
    <t>Trikloreddiksyre</t>
  </si>
  <si>
    <t>71-55-6</t>
  </si>
  <si>
    <t>1,1,1-trikloretan</t>
  </si>
  <si>
    <t>79-00-5</t>
  </si>
  <si>
    <t>1,1,2-trikloretan</t>
  </si>
  <si>
    <t>79-01-6</t>
  </si>
  <si>
    <t>Trikloreten</t>
  </si>
  <si>
    <t>93-76-5</t>
  </si>
  <si>
    <t>2,4,5-triklorfenoksyeddiksyre</t>
  </si>
  <si>
    <t>67-66-3</t>
  </si>
  <si>
    <t>Triklormetan</t>
  </si>
  <si>
    <t>594-42-3</t>
  </si>
  <si>
    <t>Triklormetansulfenylklorid</t>
  </si>
  <si>
    <t>1321-65-9</t>
  </si>
  <si>
    <t>Triklornaftalen</t>
  </si>
  <si>
    <t>76-06-2</t>
  </si>
  <si>
    <t>Triklornitrometan</t>
  </si>
  <si>
    <t>96-18-4</t>
  </si>
  <si>
    <t>1,2,3-triklorpropan</t>
  </si>
  <si>
    <t>75-50-3</t>
  </si>
  <si>
    <t>Trimetylamin</t>
  </si>
  <si>
    <t>526-73-8</t>
  </si>
  <si>
    <t>1,2,3-trimetylbenzen</t>
  </si>
  <si>
    <t>95-63-6</t>
  </si>
  <si>
    <t>1,2,4-trimetylbenzen</t>
  </si>
  <si>
    <t>121-45-9</t>
  </si>
  <si>
    <t>Trimetylfosfitt</t>
  </si>
  <si>
    <t>118-96-7</t>
  </si>
  <si>
    <t>2,4,6-trinitrotoluen</t>
  </si>
  <si>
    <t>78-30-8</t>
  </si>
  <si>
    <t>Triortokresylfosfat</t>
  </si>
  <si>
    <t>Tynne glassfibrer til spesialformål</t>
  </si>
  <si>
    <t>Uorganiske fluorider (beregnet som F)</t>
  </si>
  <si>
    <t>Uran og uranforb. (beregnet som U)</t>
  </si>
  <si>
    <t>110-62-3</t>
  </si>
  <si>
    <t>Valeraldehyd</t>
  </si>
  <si>
    <t>7440-62-2</t>
  </si>
  <si>
    <t>Vanadium (Røyk (beregnet som V))</t>
  </si>
  <si>
    <t>Vanadium (Støv (beregnet som V))</t>
  </si>
  <si>
    <t>108-05-4</t>
  </si>
  <si>
    <t>Vinylacetat</t>
  </si>
  <si>
    <t>593-60-2</t>
  </si>
  <si>
    <t>Vinylbromid</t>
  </si>
  <si>
    <t>75-01-4</t>
  </si>
  <si>
    <t>Vinylklorid</t>
  </si>
  <si>
    <t>106-87-6</t>
  </si>
  <si>
    <t>Vinylsykloheksendioksid</t>
  </si>
  <si>
    <t>Vinyltoluen (alle isomere)</t>
  </si>
  <si>
    <t>1304-82-1</t>
  </si>
  <si>
    <t>Vismuttellurid</t>
  </si>
  <si>
    <t>Vismuttellurid (tilsatt selen)</t>
  </si>
  <si>
    <t>81-81-2</t>
  </si>
  <si>
    <t>Warfarin</t>
  </si>
  <si>
    <t>White Spirit (aromatinnhold &lt; 22 %)</t>
  </si>
  <si>
    <t>White Spirit (aromatinnhold &gt; 22 %)</t>
  </si>
  <si>
    <t>Wolfram og uløselige wolframforb. (beregnet som W)</t>
  </si>
  <si>
    <t>Wolframforb. løselige (beregnet som W)</t>
  </si>
  <si>
    <t>1330-20-7</t>
  </si>
  <si>
    <t>Xylen (alle isomere)</t>
  </si>
  <si>
    <t>108-38-3</t>
  </si>
  <si>
    <t>m-xylen</t>
  </si>
  <si>
    <t>106-42-3</t>
  </si>
  <si>
    <t>p-xylen</t>
  </si>
  <si>
    <t>95-47-6</t>
  </si>
  <si>
    <t>o-xylen</t>
  </si>
  <si>
    <t>1477-55-0</t>
  </si>
  <si>
    <t>m-xylen-α-,α-diamin)</t>
  </si>
  <si>
    <t>Xylidin (alle isomere)</t>
  </si>
  <si>
    <t>7440-65-5</t>
  </si>
  <si>
    <t>Yttrium</t>
  </si>
  <si>
    <t>Zirkoniumforb. (beregnet som Zr)</t>
  </si>
  <si>
    <t>Det trengs minimum 3 målinger for å gjennomføre beregninger.</t>
  </si>
  <si>
    <t>Need a minimum of 3 measurements to run calculations.</t>
  </si>
  <si>
    <t>Sikre at du alle nødvendige input data er registrert korrekt (fyll inn alle oransje felt i dette regnearket).</t>
  </si>
  <si>
    <t>Ensure that all the input data is registered correctly (fill in all orange fields in this sheet).</t>
  </si>
  <si>
    <t>Pa</t>
  </si>
  <si>
    <t>mmHg / Torr</t>
  </si>
  <si>
    <t>bar</t>
  </si>
  <si>
    <t>Stoffets damptrykk</t>
  </si>
  <si>
    <t>Atmosfæretrykk</t>
  </si>
  <si>
    <t>Atmospheric pressure</t>
  </si>
  <si>
    <t>The substance's vapour pressure</t>
  </si>
  <si>
    <t>Good general ventilation (&gt; 6 air changes per hour)</t>
  </si>
  <si>
    <t>God allmennventilasjon (&gt; 6 luftutskiftinger per time)</t>
  </si>
  <si>
    <t>1 mmHg / Torr</t>
  </si>
  <si>
    <t>!!! Viktig !!!</t>
  </si>
  <si>
    <t>!!! Important !!!</t>
  </si>
  <si>
    <t>Resultat (område)</t>
  </si>
  <si>
    <t>Result (area)</t>
  </si>
  <si>
    <t>Metningskonsentrasjon</t>
  </si>
  <si>
    <t>1.</t>
  </si>
  <si>
    <t>2.</t>
  </si>
  <si>
    <t>3.</t>
  </si>
  <si>
    <t>5.</t>
  </si>
  <si>
    <t>7.</t>
  </si>
  <si>
    <t>Molekylært volum (L)</t>
  </si>
  <si>
    <t>Molekylær masse (g/mol)</t>
  </si>
  <si>
    <t>Results</t>
  </si>
  <si>
    <t>Input overall assessment as required</t>
  </si>
  <si>
    <t>Konverter konsentrasjon (volum-volum &lt;--&gt; masse-volum)</t>
  </si>
  <si>
    <t>Convert concentration (volume-volume &lt;--&gt; volume-mass)</t>
  </si>
  <si>
    <t>(Område vil kun vise dersom det er aktuelt)</t>
  </si>
  <si>
    <t>(Area will only show if relevant)</t>
  </si>
  <si>
    <t>Bruk dersom det er nødvendig å konvertere konsentrasjon
a. Input verdi i H21 (molekylær masse for agensen som analyseres)
b. Dersom aktuelt, juster molekylært volum (L) i celle H20</t>
  </si>
  <si>
    <t>Resultater</t>
  </si>
  <si>
    <t>Resultater fra analysen presenteres i dette området</t>
  </si>
  <si>
    <t>Result from the analysis will be presented in this area</t>
  </si>
  <si>
    <t>Legg til samlet vurdering etter behov</t>
  </si>
  <si>
    <t>Brukerveiledning</t>
  </si>
  <si>
    <t>User manual</t>
  </si>
  <si>
    <t>(Kolonne for volum vil kun vise dersom det er aktuelt)</t>
  </si>
  <si>
    <t>(Column for volume will only show if relevant)</t>
  </si>
  <si>
    <t>% av KV</t>
  </si>
  <si>
    <t>% av GV</t>
  </si>
  <si>
    <t>% of OEL</t>
  </si>
  <si>
    <t>Support</t>
  </si>
  <si>
    <t>Mean (y)</t>
  </si>
  <si>
    <t>Standard Deviation (s_y)</t>
  </si>
  <si>
    <t>IHMOD</t>
  </si>
  <si>
    <t>IHSKIN</t>
  </si>
  <si>
    <t>https://www.aiha.org/public-resources/consumer-resources/topics-of-interest/ih-apps-tools</t>
  </si>
  <si>
    <t>Max</t>
  </si>
  <si>
    <t>Chosen distribution</t>
  </si>
  <si>
    <t>Hvis relevant, definer fordeling manuelt. Sett til YH-hjelp dersom estimert fordeling skal brukes.</t>
  </si>
  <si>
    <t>Percent above</t>
  </si>
  <si>
    <t>Calc (W-test)'!$H$4</t>
  </si>
  <si>
    <t>2-3. Analysis'!$D$22</t>
  </si>
  <si>
    <t>2-3. Analysis'!$D$23</t>
  </si>
  <si>
    <t>Calc (W-test)'!$H$3</t>
  </si>
  <si>
    <r>
      <t xml:space="preserve">Hvis n </t>
    </r>
    <r>
      <rPr>
        <sz val="11"/>
        <color theme="1"/>
        <rFont val="Calibri"/>
        <family val="2"/>
      </rPr>
      <t>≤</t>
    </r>
    <r>
      <rPr>
        <sz val="11"/>
        <color theme="1"/>
        <rFont val="Calibri"/>
        <family val="2"/>
        <scheme val="minor"/>
      </rPr>
      <t xml:space="preserve"> 10 antas log-normalfordeling</t>
    </r>
  </si>
  <si>
    <r>
      <t xml:space="preserve">If n </t>
    </r>
    <r>
      <rPr>
        <sz val="11"/>
        <color theme="1"/>
        <rFont val="Calibri"/>
        <family val="2"/>
      </rPr>
      <t>≤</t>
    </r>
    <r>
      <rPr>
        <sz val="11"/>
        <color theme="1"/>
        <rFont val="Calibri"/>
        <family val="2"/>
        <scheme val="minor"/>
      </rPr>
      <t xml:space="preserve"> 10 a log-normal distribution is assumed as default</t>
    </r>
  </si>
  <si>
    <t>Volume</t>
  </si>
  <si>
    <t xml:space="preserve">
x (mean)</t>
  </si>
  <si>
    <t>Percent above OEL</t>
  </si>
  <si>
    <t>Mean (AM)</t>
  </si>
  <si>
    <t>Standard Deviation (SD)</t>
  </si>
  <si>
    <t>Mean (GM)</t>
  </si>
  <si>
    <t>Standard Deviation (GSD)</t>
  </si>
  <si>
    <t>LN 
(benyttede tall)</t>
  </si>
  <si>
    <t>HVIS(M4&lt;&gt;"";M4;HVIS('2-3. Analysis'!$D$5&lt;6;"K4";HVIS(OG('2-3. Analysis'!$D$5&gt;5;('2-3. Analysis'!$D$5-'2-3. Analysis'!$D$6)&lt;3);"A1";HVIS('2-3. Analysis'!$D$13=0;"A2";HVIS(ELLER(OG('2-3. Analysis'!$K$9="Nei";'2-3. Analysis'!$J$9="Nei");OG('2-3. Analysis'!$K$9="No";'2-3. Analysis'!$J$9="No"));"A2";HVIS(ELLER('2-3. Analysis'!$K$8&gt;='2-3. Analysis'!$J$8;'2-3. Analysis'!$D$5&lt;=10);"A3";"A4"))))))</t>
  </si>
  <si>
    <t>LN 
(Calc)</t>
  </si>
  <si>
    <t>Filled input (cell)</t>
  </si>
  <si>
    <t>Optional input (cell)</t>
  </si>
  <si>
    <t>Valgfri input (celle)</t>
  </si>
  <si>
    <t>Utfylt input (celle)</t>
  </si>
  <si>
    <t>Brukte verdier</t>
  </si>
  <si>
    <t>Used values</t>
  </si>
  <si>
    <t>a. Input måledata i cellene M6:M55
b. Viss relevant, for å konvertere masse til masse-volum, input volum i celler N6:N55
c. Kolonne O - Verdier benyttet i beregninger hvor verdier under deteksjonsgrense er kalkulert basert på valgt metode i seksjon 2.</t>
  </si>
  <si>
    <t>a. Input measurement values in cells M6:M55
b. If relevant, to convert mass to mass-volume input volume in cells N6:N55
c. Column O - Values used for calculations, where values below the detection limit have been calculated based on the method chosen in section 2.</t>
  </si>
  <si>
    <t>Versjon</t>
  </si>
  <si>
    <t>Dato</t>
  </si>
  <si>
    <t>Disclaimer</t>
  </si>
  <si>
    <t>Forslag - periodiske målinger</t>
  </si>
  <si>
    <t>Suggested - periodic measurements</t>
  </si>
  <si>
    <r>
      <t xml:space="preserve">0,20 &lt; J </t>
    </r>
    <r>
      <rPr>
        <sz val="10"/>
        <color theme="1"/>
        <rFont val="Calibri"/>
        <family val="2"/>
      </rPr>
      <t>≤ 0,25</t>
    </r>
  </si>
  <si>
    <r>
      <t xml:space="preserve">0,25 &lt; J </t>
    </r>
    <r>
      <rPr>
        <sz val="10"/>
        <color theme="1"/>
        <rFont val="Calibri"/>
        <family val="2"/>
      </rPr>
      <t>≤ 0,50</t>
    </r>
  </si>
  <si>
    <r>
      <t xml:space="preserve">0,50 &lt; J </t>
    </r>
    <r>
      <rPr>
        <sz val="10"/>
        <color theme="1"/>
        <rFont val="Calibri"/>
        <family val="2"/>
      </rPr>
      <t>≤</t>
    </r>
    <r>
      <rPr>
        <sz val="10"/>
        <color theme="1"/>
        <rFont val="Calibri"/>
        <family val="2"/>
        <scheme val="minor"/>
      </rPr>
      <t xml:space="preserve"> 1,00</t>
    </r>
  </si>
  <si>
    <t>Version</t>
  </si>
  <si>
    <t>Date</t>
  </si>
  <si>
    <t>Contact details</t>
  </si>
  <si>
    <t>References</t>
  </si>
  <si>
    <t>Referanser</t>
  </si>
  <si>
    <t>Kontaktdetaljer</t>
  </si>
  <si>
    <t>Tekst referanser</t>
  </si>
  <si>
    <t>Text references</t>
  </si>
  <si>
    <t>Velg enhet</t>
  </si>
  <si>
    <t>Select unit</t>
  </si>
  <si>
    <t xml:space="preserve">1,00 &lt; J
</t>
  </si>
  <si>
    <t>Standard</t>
  </si>
  <si>
    <t>Avansert</t>
  </si>
  <si>
    <t>Advanced</t>
  </si>
  <si>
    <t>Mulig å justere GV i henhold til offshore reduksjonsfaktor</t>
  </si>
  <si>
    <t>Alle funksjoner tilgjengelig</t>
  </si>
  <si>
    <t>All functions available</t>
  </si>
  <si>
    <t>Manually set to use</t>
  </si>
  <si>
    <t>Manuelt sett til å benytte</t>
  </si>
  <si>
    <t>Håndtering  av verdier &lt; DG</t>
  </si>
  <si>
    <t>Method</t>
  </si>
  <si>
    <t>En faglig vurdering nødvendig. Vurder informasjon i Analysis.</t>
  </si>
  <si>
    <t>A professional evaluation is necessary. Evaluate information in Analysis.</t>
  </si>
  <si>
    <t>Dette regnearket er utviklet som en hjelp til å vurdere yrkeshygieniske målinger. Regnearket er utviklet med bakgrunn i NS-EN 689:2019.</t>
  </si>
  <si>
    <t>Vurderingskriterie</t>
  </si>
  <si>
    <t>Estimert Øvre Konsentrasjon (EØK) - U_T(95%, 70%)</t>
  </si>
  <si>
    <t>n = 3 -- max 10% of OELV
n = 4 -- max 15% of OELV
n = 5 -- max 20% of OELV</t>
  </si>
  <si>
    <t>OELV</t>
  </si>
  <si>
    <t>Input relevant OELV (8 hour)</t>
  </si>
  <si>
    <t>The Norwegian Labour Inspection Authority - theme pages regarding chemicals</t>
  </si>
  <si>
    <t>Measurements below LOD (m)</t>
  </si>
  <si>
    <t>Minimum 6 measurements
Estimated upper concentration (UTL) is calculated using statistics</t>
  </si>
  <si>
    <t>Too few measurements above LOD</t>
  </si>
  <si>
    <t>Exposure above OELV. Mitigation needed.</t>
  </si>
  <si>
    <t>1: LOD</t>
  </si>
  <si>
    <t>2: LOD/SQRT(2)</t>
  </si>
  <si>
    <t>3: LOD/2</t>
  </si>
  <si>
    <t>If relevant, manually set distribution. Set to "YH-help" if estimated distribution is to be used.</t>
  </si>
  <si>
    <t>Possible to adjust OELV with respect to offshore reduction factor</t>
  </si>
  <si>
    <t>LOD is used</t>
  </si>
  <si>
    <t>Detaljert undersøkelse</t>
  </si>
  <si>
    <t>Preliminary survey</t>
  </si>
  <si>
    <t>Detailed survey</t>
  </si>
  <si>
    <t>Benytt E_index</t>
  </si>
  <si>
    <t>Use E_index</t>
  </si>
  <si>
    <t>Forenklet undersøkelse</t>
  </si>
  <si>
    <t>"2. Preliminary survey" and "3. Detailed survey" cannot be used in the evaluation of exposure against ceiling values, due to the requirement to measurement period being shorter than 15 minutes</t>
  </si>
  <si>
    <t>"2. Forenklet undersøkelse" og "3. Detaljert undersøkelse" kan ikke benyttes ved vurdering av eksponering opp mot takverdi, ettersom påkrevd måleperiode er lavere enn 15 minutter.</t>
  </si>
  <si>
    <t>Modus</t>
  </si>
  <si>
    <t>Mode</t>
  </si>
  <si>
    <t>Sammenstilling av internasjonale grenseverdier</t>
  </si>
  <si>
    <t>Compilation of international limit values</t>
  </si>
  <si>
    <t>The spreadsheet is developed by volunteers from the Norwegian Occupational Hygiene Association. All use is on your own responsibility. For more information see below.</t>
  </si>
  <si>
    <t>Ansvarsfraskrivelse</t>
  </si>
  <si>
    <t>This excel spreadsheet is developed to aid in assessing exposure measurements and area measurements. The spreadsheet is based on NS-EN 689:2019.</t>
  </si>
  <si>
    <t>Upper tolerance level (UTL)  U_T(95%, 70%)</t>
  </si>
  <si>
    <t>Only  an estimate of the exposure and should not be considered an absolute exposure level</t>
  </si>
  <si>
    <t>Upper 70% confidence limit to 95%-ile shall be below the OELV</t>
  </si>
  <si>
    <t>Use if required to convert concentration 
a. Input value in H21 (molecular mass of the agent being evaluated)
b. If relevant, adjust molecular volume (L) in cell H20</t>
  </si>
  <si>
    <t>Adjust OELV based on work day (C25), work week (C26) or Norwegian offshore factor (D27) [ref. The activities regulations §36]</t>
  </si>
  <si>
    <t>a. Choose if short term OELV should be used in the analysis in cell D31
b. Choose if rule of thumb should be used in cell D32
c. If a is yes and b is no, manually input short term OELV in cell D33</t>
  </si>
  <si>
    <t>Statistisk</t>
  </si>
  <si>
    <t>Log-sannsynlighetsplott og minste kvadratsums linjetilpassing</t>
  </si>
  <si>
    <t>Sannsynlighetsplott og minste kvadratsums linjetilpassing</t>
  </si>
  <si>
    <t>Tommelfingerregel</t>
  </si>
  <si>
    <t>Informasjonsinnhenting
Estimering av eksponeringen</t>
  </si>
  <si>
    <t>Juster GV baser på arbeidsdag (C25), arbeidsuke (C26) eller norsk offshore regelverk (D27) [ref. Aktivitetsforskriften §36]</t>
  </si>
  <si>
    <t>a. Velg om korttidsverdi skal benyttes i analysen i celle D31
b. Velg om tommelfingerregelen skal benyttes i celle D32
c. Dersom a er "Ja" og b er "Nei", sett korttidsverdi manuelt i celle D33</t>
  </si>
  <si>
    <t>a. Registrer GV (ved å bruke agensnavn [C8] eller CAS-no. [C7]) eller registrer GV manuelt (MERK!!! Sett inn grenseverdi i henhold til antall timer per dag/uke som defineres i punkt 4. Korttidsverdi - se punkt 5)
b. Velg enhet for GV i celle H11
c. Velg enhet for måledata i celle H13
Dersom aktuelt, konvertering mellom volum-volum (ppm/ppb) &lt;--&gt; volum-masse (mgmˉ³/µgmˉ³) gjøres automatisk basert på input i område 3.</t>
  </si>
  <si>
    <r>
      <t>a. Choose OELV (using agent name [C8] or CAS-no.[C7]) or register OELV manually in C6. (NOTE!!! Fill in occupational exposure limit in accordance with number of hours per day/week as defined in section 4. Short-term value - see section 5.
b. Choose unit for the OELV in cell H11
c. Choose unit for the measurement data in cell H13
If relevant, conversion between volume-volume (ppm/ppb) &lt;--&gt; mass-volume (mgm</t>
    </r>
    <r>
      <rPr>
        <sz val="11"/>
        <color theme="1"/>
        <rFont val="Calibri"/>
        <family val="2"/>
      </rPr>
      <t>ˉ³/µgmˉ³</t>
    </r>
    <r>
      <rPr>
        <sz val="11"/>
        <color theme="1"/>
        <rFont val="Calibri"/>
        <family val="2"/>
        <scheme val="minor"/>
      </rPr>
      <t>) are done automatically based on input in area 3.</t>
    </r>
  </si>
  <si>
    <t>https://yrkeshygiene.no/kb/yh-hjelp/</t>
  </si>
  <si>
    <t>post@yrkeshygiene.no</t>
  </si>
  <si>
    <t>See NLIA webpage</t>
  </si>
  <si>
    <t>Survey</t>
  </si>
  <si>
    <t>Survey + Analysis</t>
  </si>
  <si>
    <t>1. Basic characterisation</t>
  </si>
  <si>
    <t>2. Preliminary survey</t>
  </si>
  <si>
    <t>Informasjon om YH-HJELP</t>
  </si>
  <si>
    <t>Information regarding YH-HJELP</t>
  </si>
  <si>
    <t>URL</t>
  </si>
  <si>
    <t>Verdier</t>
  </si>
  <si>
    <t>Values</t>
  </si>
  <si>
    <t>Sett inn måleverdier</t>
  </si>
  <si>
    <t>Input measured values</t>
  </si>
  <si>
    <t>Om YH-HJELP</t>
  </si>
  <si>
    <t>About YH-HELP</t>
  </si>
  <si>
    <t>Fyll inn aktuell grenseverdi  (8 timer)</t>
  </si>
  <si>
    <t>Angi eller velg grenseverdi (GV)</t>
  </si>
  <si>
    <t>Type or select OELV</t>
  </si>
  <si>
    <t>Velg navn:</t>
  </si>
  <si>
    <t>Select Name:</t>
  </si>
  <si>
    <t>!!! IMPORTANT !!!</t>
  </si>
  <si>
    <t>!!! VIKTIG !!!</t>
  </si>
  <si>
    <t>Velg CAS-nr., eller:</t>
  </si>
  <si>
    <t>Select CAS-no., or:</t>
  </si>
  <si>
    <t>la YH-HJELP velge</t>
  </si>
  <si>
    <t>let YH-HJELP select</t>
  </si>
  <si>
    <t xml:space="preserve">Velg fordeling:  </t>
  </si>
  <si>
    <t xml:space="preserve">Select distribution:  </t>
  </si>
  <si>
    <t>Målinger over DL (k)</t>
  </si>
  <si>
    <t>6 eller flere målinger</t>
  </si>
  <si>
    <t>!! Ingen verdier over DL !!</t>
  </si>
  <si>
    <t>!! No measured values above LOD !!</t>
  </si>
  <si>
    <t>Beskrivende statistikk (utvalg)</t>
  </si>
  <si>
    <t>Descriptive statistics (sample)</t>
  </si>
  <si>
    <t>Statistisk analyse (av eksponeringen for SEG)</t>
  </si>
  <si>
    <t>Statistical analysis exposure (for your SEG)</t>
  </si>
  <si>
    <t>Fordeling - statistikk (n &gt; 2, k &gt; 1)</t>
  </si>
  <si>
    <t>Distribution statistics (n &gt; 2, k &gt; 1)</t>
  </si>
  <si>
    <t>Nye målinger</t>
  </si>
  <si>
    <t>Foreslått vurdering av "J"</t>
  </si>
  <si>
    <t>Proposed interpretation of "J"</t>
  </si>
  <si>
    <t>Minste verdi (minimum)</t>
  </si>
  <si>
    <t>Highest value (max)</t>
  </si>
  <si>
    <t>Lowest value (min)</t>
  </si>
  <si>
    <t>Høyeste verdi (maksimum)</t>
  </si>
  <si>
    <r>
      <rPr>
        <b/>
        <sz val="11"/>
        <color theme="1"/>
        <rFont val="Calibri"/>
        <family val="2"/>
        <scheme val="minor"/>
      </rPr>
      <t>Type or select OLEV</t>
    </r>
    <r>
      <rPr>
        <sz val="11"/>
        <color theme="1"/>
        <rFont val="Calibri"/>
        <family val="2"/>
        <scheme val="minor"/>
      </rPr>
      <t xml:space="preserve">
</t>
    </r>
  </si>
  <si>
    <t>Håndtering av verdier under deteksjonsgrensen (DG)</t>
  </si>
  <si>
    <t>Velg metodikk for håndtering av verdier under deteksjonsgrensen</t>
  </si>
  <si>
    <t>Type, or:</t>
  </si>
  <si>
    <t>Angi, eller:</t>
  </si>
  <si>
    <t>Oppgi MV</t>
  </si>
  <si>
    <t>Give MW</t>
  </si>
  <si>
    <t>(Relevante celler viser når de er relevante)</t>
  </si>
  <si>
    <t>(Relevant cells show if relevant)</t>
  </si>
  <si>
    <t xml:space="preserve">Regnearket er utarbeidet av frivillige i NYF. NYF eller andre som har bidratt til utvikling av regnearket kan ikke gjøres ansvarlig for eventuelle feil i regnearket eller feil vurderinger som følge av bruk av dette regnearket. For dokumentasjon og spørsmål angående regnearket se kontaktinformasjon nedenfor. </t>
  </si>
  <si>
    <t>95%-il (estimat -z)</t>
  </si>
  <si>
    <t>U_T (EØK 95%, 70%)</t>
  </si>
  <si>
    <t>U_T (UTL 95%, 70%)</t>
  </si>
  <si>
    <t>DG just.</t>
  </si>
  <si>
    <t>adj. cens.</t>
  </si>
  <si>
    <t>Log-Normal</t>
  </si>
  <si>
    <t>Forenklet undersøkelse (3 - 5 målinger)</t>
  </si>
  <si>
    <t>Aritmetisk middelverdi (AM)</t>
  </si>
  <si>
    <t>Arithmetic mean (AM)</t>
  </si>
  <si>
    <t>middelverdi</t>
  </si>
  <si>
    <t>mean</t>
  </si>
  <si>
    <t>Korttidsmålinger som vurderes opp mot korttidsverdi (referansetid 15 minutter) bør kun vurderes som indikative målinger når n ≤ 5 og som bakgrunnsinformasjon til "Innledende vurdering". For n ≥ 6 bør "Detaljert undersøkelse" benyttes.</t>
  </si>
  <si>
    <t>Short term exposure measurements, which is evaluated against the short term OELV (reference time of 15 minutes), should only be seen as indicative measurements when n ≤ 5 and as an input to a "Basic characterisation", while for n ≥ 6 use "Detailed survey" should be used.</t>
  </si>
  <si>
    <t>Se Arbeidstilsynets veiledning</t>
  </si>
  <si>
    <t>Geometrisk standardsavvik</t>
  </si>
  <si>
    <t>Geometric standard deviation</t>
  </si>
  <si>
    <r>
      <rPr>
        <sz val="11"/>
        <color theme="1"/>
        <rFont val="Calibri"/>
        <family val="2"/>
      </rPr>
      <t>≥</t>
    </r>
    <r>
      <rPr>
        <sz val="11"/>
        <color theme="1"/>
        <rFont val="Calibri"/>
        <family val="2"/>
        <scheme val="minor"/>
      </rPr>
      <t xml:space="preserve"> DG</t>
    </r>
  </si>
  <si>
    <t>Español</t>
  </si>
  <si>
    <t>Start</t>
  </si>
  <si>
    <t>Method for handling values below limit of detection (&lt; LOD)</t>
  </si>
  <si>
    <t>Choose method for handling values below limit of detection (LOD).</t>
  </si>
  <si>
    <t>Method for handling values below limit of detection  (&lt;LOD)</t>
  </si>
  <si>
    <t>0: Recommended (see Applied rules for handling values below LOD</t>
  </si>
  <si>
    <t>Handling of values &lt; LOD</t>
  </si>
  <si>
    <r>
      <t>Esta hoja de cálculo de Excel está desarrollada para ayudar y</t>
    </r>
    <r>
      <rPr>
        <strike/>
        <sz val="11"/>
        <color theme="1"/>
        <rFont val="Calibri"/>
        <family val="2"/>
        <scheme val="minor"/>
      </rPr>
      <t xml:space="preserve"> </t>
    </r>
    <r>
      <rPr>
        <sz val="11"/>
        <color theme="1"/>
        <rFont val="Calibri"/>
        <family val="2"/>
        <scheme val="minor"/>
      </rPr>
      <t>evaluar las mediciones de exposición y las mediciones de área. La hoja de cálculo se basa en NS-EN 689: 2019.</t>
    </r>
  </si>
  <si>
    <t>VLA</t>
  </si>
  <si>
    <t>Ingrese el VLA relevante (8 horas)</t>
  </si>
  <si>
    <t>Factor de reducción</t>
  </si>
  <si>
    <t>Horas laborales</t>
  </si>
  <si>
    <t>Diario</t>
  </si>
  <si>
    <t>Semanal</t>
  </si>
  <si>
    <t>Mediciones</t>
  </si>
  <si>
    <t>Medidas preliminares (3-5 medidas)</t>
  </si>
  <si>
    <t>6 o más medidas</t>
  </si>
  <si>
    <t>Criterios de evaluación</t>
  </si>
  <si>
    <t>Medidas (n)</t>
  </si>
  <si>
    <t>Medidas por debajo del LOD (m)</t>
  </si>
  <si>
    <t>Valor más bajo (min)</t>
  </si>
  <si>
    <t>Mediana</t>
  </si>
  <si>
    <t>Número</t>
  </si>
  <si>
    <t>Conclusión sugerida</t>
  </si>
  <si>
    <t>Sugerido - mediciones periódicas</t>
  </si>
  <si>
    <t>Estimado</t>
  </si>
  <si>
    <t>Media aritmética (AM)</t>
  </si>
  <si>
    <t>Nivel de tolerancia superior (UTL) U_T (95%, 70%)</t>
  </si>
  <si>
    <t>horas</t>
  </si>
  <si>
    <t>Valores</t>
  </si>
  <si>
    <t>Corregido</t>
  </si>
  <si>
    <t>Seleccionar unidad</t>
  </si>
  <si>
    <t>Volumen
(L)</t>
  </si>
  <si>
    <t>Escriba o seleccione VLA</t>
  </si>
  <si>
    <t>Estadística descriptiva (muestra)</t>
  </si>
  <si>
    <t>Ancho de variación (extensión)</t>
  </si>
  <si>
    <t>Logaritmo normal</t>
  </si>
  <si>
    <t>media</t>
  </si>
  <si>
    <t>Desviación Estándar</t>
  </si>
  <si>
    <t>ln-transformados datos</t>
  </si>
  <si>
    <t>Si n ≤ 10, distribucion log-normal se asume como estandard</t>
  </si>
  <si>
    <t>Distribución - prueba (n&gt; 2, k&gt; 1)</t>
  </si>
  <si>
    <t>Estadísticas</t>
  </si>
  <si>
    <t>n = 3 - máx.10% de VLA
n = 4 - máx.15% de VLA
n = 5 - máx.20% de VLA</t>
  </si>
  <si>
    <t>El límite de confianza superior del 70% al 95% -ile deberá estar por debajo del VLA</t>
  </si>
  <si>
    <t>Criterios (3 ≤ n ≤ 5)</t>
  </si>
  <si>
    <t>Se utiliza LOD</t>
  </si>
  <si>
    <t>Se utiliza el método beta</t>
  </si>
  <si>
    <t>Distribución supuesta</t>
  </si>
  <si>
    <t>Exposición al análisis estadístico (para su SEG)</t>
  </si>
  <si>
    <t>Distribución no normal o log-normal</t>
  </si>
  <si>
    <t>Es necesaria una evaluación profesional. Evaluar información en Análisis.</t>
  </si>
  <si>
    <t>Gráfico de datos secuenciales
(datos de medición utilizados sin corrección de datos censurados)</t>
  </si>
  <si>
    <t>Concentración</t>
  </si>
  <si>
    <t xml:space="preserve">Gráfica de distribución log-normal </t>
  </si>
  <si>
    <t>Gráfico de distribución normal</t>
  </si>
  <si>
    <t>95% -ile</t>
  </si>
  <si>
    <t>Distribución</t>
  </si>
  <si>
    <t>Gráfica de probabilidad logarítmica y línea de mejor ajuste por mínimos cuadrados</t>
  </si>
  <si>
    <t>Gráfica de probabilidad y línea de mejor ajuste por mínimos cuadrados</t>
  </si>
  <si>
    <t>Fracción de distribución normal por debajo de cero</t>
  </si>
  <si>
    <t>Porcentaje de la distribución normal por debajo de cero</t>
  </si>
  <si>
    <t>Nuevo encuesta recomendado</t>
  </si>
  <si>
    <t>Estadísticas de distribución (n&gt; 2, k&gt; 1)</t>
  </si>
  <si>
    <t>Porcentaje por encima</t>
  </si>
  <si>
    <t>Criterios (n ≥ 6)</t>
  </si>
  <si>
    <t>Llenar</t>
  </si>
  <si>
    <t>Dar MW</t>
  </si>
  <si>
    <t>Exposición a corto plazo</t>
  </si>
  <si>
    <t>Corto plazo (15 min)</t>
  </si>
  <si>
    <t>Escriba, o:</t>
  </si>
  <si>
    <t>Regla de oro</t>
  </si>
  <si>
    <t>Evaluación general</t>
  </si>
  <si>
    <t>Nivel</t>
  </si>
  <si>
    <t>Índice de exposición</t>
  </si>
  <si>
    <t>Seleccionar nombre:</t>
  </si>
  <si>
    <t>Efectos en la salud</t>
  </si>
  <si>
    <t>Fracción VLA</t>
  </si>
  <si>
    <t>Agente químico</t>
  </si>
  <si>
    <t>Grupo de efectos</t>
  </si>
  <si>
    <t>VLA - 8h</t>
  </si>
  <si>
    <t>Nivel 1
(índice de exposición)</t>
  </si>
  <si>
    <t>Nivel 2
(efecto aditivo)</t>
  </si>
  <si>
    <t>Suma de toda la exposición dividida por su respectivo VLA</t>
  </si>
  <si>
    <t>Suma de todas las exposiciones con efecto similar o que actúan sobre el mismo órgano dividida por su VLA respectivo</t>
  </si>
  <si>
    <t>Análisis</t>
  </si>
  <si>
    <t>Ingresar valores medidos</t>
  </si>
  <si>
    <t>Varias exposiciones</t>
  </si>
  <si>
    <t>Regla de diez</t>
  </si>
  <si>
    <t>La presión de vapor de la sustancia.</t>
  </si>
  <si>
    <t>Presión atmosférica</t>
  </si>
  <si>
    <t>Concentración de saturación</t>
  </si>
  <si>
    <t>Dilución esperada</t>
  </si>
  <si>
    <t>Exposición estimada</t>
  </si>
  <si>
    <t>Solo una estimación de la exposición y no debe considerarse un nivel de exposición absoluto.</t>
  </si>
  <si>
    <t>Tanque / habitación pequeña sin ventilación</t>
  </si>
  <si>
    <t>Ventilación deficiente</t>
  </si>
  <si>
    <t>Buena ventilación general (&gt; 6 cambios de aire por hora)</t>
  </si>
  <si>
    <t>Ventilación de extracción local</t>
  </si>
  <si>
    <t>Planta de procesamiento cerrada</t>
  </si>
  <si>
    <t>CS = concentración de saturación | EE = exposición estimada</t>
  </si>
  <si>
    <t>CS (ppm) = (presión de vapor de la sustancia / presión atmosférica) * 1000000</t>
  </si>
  <si>
    <t>La presión de vapor se puede encontrar aquí: https://chem.nlm.nih.gov/chemidplus/</t>
  </si>
  <si>
    <t>EE = CS * dilución esperada</t>
  </si>
  <si>
    <t>Ventilación</t>
  </si>
  <si>
    <t>Dilución esperada de la concentración de saturación</t>
  </si>
  <si>
    <t>Estimar la exposición</t>
  </si>
  <si>
    <t>Criterios al usar</t>
  </si>
  <si>
    <t>Encuesta preliminar</t>
  </si>
  <si>
    <t>Encuesta detallada</t>
  </si>
  <si>
    <t>Exposición a múltiples agentes químicos</t>
  </si>
  <si>
    <t>Información sobre YH-HJELP</t>
  </si>
  <si>
    <t>Hoja de uso</t>
  </si>
  <si>
    <t>Tipo de evaluación / encuesta</t>
  </si>
  <si>
    <t>Fuentes de informacion</t>
  </si>
  <si>
    <t>1. Caracterización básica</t>
  </si>
  <si>
    <t>2. Encusta preliminaria</t>
  </si>
  <si>
    <t>3. Encuesta detallada</t>
  </si>
  <si>
    <t>La Autoridad de Inspección del Trabajo de Noruega: páginas temáticas sobre productos químicos</t>
  </si>
  <si>
    <t>Compilación de valores límites internacionales</t>
  </si>
  <si>
    <t>¿Puede ser exposición?</t>
  </si>
  <si>
    <t>¿Es la exposición inaceptable?</t>
  </si>
  <si>
    <t>Implementar medidas
o
pasar a 1, 2 o 3</t>
  </si>
  <si>
    <t>Recopilación de información
Estimación de la exposición</t>
  </si>
  <si>
    <t>3-5 mediciones La
evaluación se basa en el valor máximo</t>
  </si>
  <si>
    <t>Mínimo 6 mediciones
La tolerancia superior estimada (UTL) se calcula utilizando estadísticas</t>
  </si>
  <si>
    <t>Termina con un informe</t>
  </si>
  <si>
    <t>Nueva evaluación después de 1 año o después de cambios que puedan afectar la exposición.</t>
  </si>
  <si>
    <t>Diagrama de flujo</t>
  </si>
  <si>
    <t>Mapeo y evaluación de la exposición</t>
  </si>
  <si>
    <t>Entrada requerida (celda)</t>
  </si>
  <si>
    <t>Resultado (área)</t>
  </si>
  <si>
    <t>Entrada (área)</t>
  </si>
  <si>
    <t>Códigos de colores utilizados en las hojas de cálculo.</t>
  </si>
  <si>
    <t>Las mediciones de exposición a corto plazo, que se evalúan frente al VLA 
a corto plazo (tiempo de referencia de 15 minutos), solo deben verse como mediciones indicativas cuando n ≤ 5 y como una entrada para una "Caracterización básica", mientras que para n ≥ 6 uso " Se debe utilizar una encuesta detallada ".</t>
  </si>
  <si>
    <t>Exposición a corto plazo (tiempo de referencia 15 minutos)</t>
  </si>
  <si>
    <t>Valor techo</t>
  </si>
  <si>
    <t>Seleccione CAS-no., O:</t>
  </si>
  <si>
    <t>Necesita un mínimo de 3 mediciones para ejecutar cálculos.</t>
  </si>
  <si>
    <t>Asegúrese de que todos los datos de entrada estén registrados correctamente (complete todos los campos naranjas en esta hoja).</t>
  </si>
  <si>
    <t>!!! Importante !!!</t>
  </si>
  <si>
    <t>Convertir concentración (volumen-volumen &lt;--&gt; volumen-masa)</t>
  </si>
  <si>
    <t>Volumen molecular (L)</t>
  </si>
  <si>
    <t>Peso molecular (g/mol)</t>
  </si>
  <si>
    <t>adj. cens.</t>
  </si>
  <si>
    <t>a. Elija VLA (utilizando el nombre de agente [C8] o el número CAS [C7]) o registre  VLA manualmente en C6. 
(¡NOTA! Complete el límite de exposición ocupacional de acuerdo con el número de horas por día / semana como se define en la sección 4. Valor a corto plazo - vea la sección 5.
b. Elija la unidad para el VLA en la celda H11
c. Elija la unidad para los datos de medición en la celda H13
Si es relevante, la conversión entre volumen-volumen (ppm / ppb) &lt;--&gt; masa-volumen (mg/m³ or µg/m³) se realiza automáticamente basándose en la entrada en el área 3.</t>
  </si>
  <si>
    <t>Método para manejar datos censurados por la izquierda (&lt;LOD)</t>
  </si>
  <si>
    <t>Elija el método para manejar los datos censurados por la izquierda.</t>
  </si>
  <si>
    <t>(El área solo se mostrará si es relevante)</t>
  </si>
  <si>
    <t>Úselo si es necesario para convertir la concentración
a. Valor de entrada en H21 (masa molecular del agente que se está evaluando)
b. Si es relevante, ajuste el volumen molecular (L) en la celda H20.</t>
  </si>
  <si>
    <t>Ajuste el VLA según el día laborable (C25), la semana laboral (C26) o el factor offshore noruego (D27) 
[ref. El reglamento de actividades §36]</t>
  </si>
  <si>
    <t>una. Elija si debe usarse VLA a corto plazo en el análisis en la celda D31
b. Elija si se debe utilizar la regla empírica en la celda D32
c. Si a es sí y b es no, ingrese manualmente el VLA a corto plazo en la celda D33</t>
  </si>
  <si>
    <t>(La columna para el volumen solo se mostrará si es relevante)</t>
  </si>
  <si>
    <t>a. Ingrese los valores de medición en las celdas M6: M55
b. Si es relevante, convertir masa en volumen de entrada masa-volumen en las celdas N6: N55
c. Columna O: valores utilizados para los cálculos, en los que los valores por debajo del límite de detección se han calculado según el método elegido en la sección 2.</t>
  </si>
  <si>
    <t>Resultados</t>
  </si>
  <si>
    <t>El resultado del análisis se presentará en esta área.</t>
  </si>
  <si>
    <t>Ingrese la evaluación general según sea necesario</t>
  </si>
  <si>
    <t>Manual de usuario</t>
  </si>
  <si>
    <t>Conclusión sugerida (n &lt;6):</t>
  </si>
  <si>
    <t>Exposición por encima de VLA. Se necesita mitigación.</t>
  </si>
  <si>
    <t>No se puede descartar la sobreexposición. Se necesita mitigación / evaluación detallada.</t>
  </si>
  <si>
    <t>Se supone que la exposición es aceptable</t>
  </si>
  <si>
    <t>N / A</t>
  </si>
  <si>
    <t>Distribución supuesta:</t>
  </si>
  <si>
    <t>Muy pocas medidas por encima del LOD</t>
  </si>
  <si>
    <t>Distribución ni normal ni logarítmica normal</t>
  </si>
  <si>
    <t>Conclusión (n&gt; 5)</t>
  </si>
  <si>
    <t>No se puede realizar una evaluación estadística. Se necesita juicio profesional.</t>
  </si>
  <si>
    <r>
      <t xml:space="preserve">Se necesita </t>
    </r>
    <r>
      <rPr>
        <sz val="11"/>
        <color theme="1"/>
        <rFont val="Geneva"/>
        <family val="2"/>
      </rPr>
      <t>evaluacion</t>
    </r>
    <r>
      <rPr>
        <sz val="11"/>
        <color theme="1"/>
        <rFont val="Geneva"/>
        <family val="2"/>
      </rPr>
      <t xml:space="preserve"> profesional</t>
    </r>
  </si>
  <si>
    <t>0: recomendado (consulte las reglas aplicadas para los datos censurados a la izquierda)</t>
  </si>
  <si>
    <t>deje que YH-HJELP seleccione</t>
  </si>
  <si>
    <t>Si es relevante, configure manualmente la distribución. Configure en "YH-help" si se va a utilizar la distribución estimada.</t>
  </si>
  <si>
    <t>Entrada opcional (celda)</t>
  </si>
  <si>
    <t>Entrada llena (celda)</t>
  </si>
  <si>
    <t>Valores usados</t>
  </si>
  <si>
    <t>Aritmética</t>
  </si>
  <si>
    <t>Geométrico</t>
  </si>
  <si>
    <t>Referencias</t>
  </si>
  <si>
    <t>Acerca de YH-HELP</t>
  </si>
  <si>
    <t>Fecha</t>
  </si>
  <si>
    <t>Versión</t>
  </si>
  <si>
    <t>Detalles de contacto</t>
  </si>
  <si>
    <t>Nombre</t>
  </si>
  <si>
    <t>La hoja de cálculo es desarrollada por voluntarios de la Asociación Noruega de Higiene Ocupacional. Todo 
el uso es bajo su propia responsabilidad. Para más información, mire abajo.</t>
  </si>
  <si>
    <t>Referencias de texto</t>
  </si>
  <si>
    <t>Estándar</t>
  </si>
  <si>
    <t>Avanzado</t>
  </si>
  <si>
    <t>Posible ajustar VLA con respecto al factor de reducción costa afuera</t>
  </si>
  <si>
    <t>Todas las funciones disponibles</t>
  </si>
  <si>
    <t>Configurado manualmente para usar</t>
  </si>
  <si>
    <t>Manejo de datos censurados por la izquierda (&lt;LOD)</t>
  </si>
  <si>
    <t>Ver la página web de NLIA</t>
  </si>
  <si>
    <t>Encuesta</t>
  </si>
  <si>
    <t>Encuesta + Análisis</t>
  </si>
  <si>
    <t>Utilice E_index</t>
  </si>
  <si>
    <t>Modo</t>
  </si>
  <si>
    <t>Descargo de responsabilidad</t>
  </si>
  <si>
    <t>!!! IMPORTANTE !!!</t>
  </si>
  <si>
    <t>Seleccionar distribución:</t>
  </si>
  <si>
    <t>!! ¡No hay valores medidos por encima del LOD!</t>
  </si>
  <si>
    <t>Nuevas medidas</t>
  </si>
  <si>
    <t>Interpretación propuesta de "J"</t>
  </si>
  <si>
    <t>(Las celdas relevantes se muestran si es relevante)</t>
  </si>
  <si>
    <t>95% -il (estimación -z)</t>
  </si>
  <si>
    <t>Si</t>
  </si>
  <si>
    <t>Desviación estándar geométrica</t>
  </si>
  <si>
    <t>Comienzo</t>
  </si>
  <si>
    <t>Costa afuera</t>
  </si>
  <si>
    <t>Medidas por encima de LOD (k)</t>
  </si>
  <si>
    <t>Measurements above LOD (k)</t>
  </si>
  <si>
    <t>≥ LOD</t>
  </si>
  <si>
    <t>Preliminary measurements (3-5 measurements)</t>
  </si>
  <si>
    <t>vurder om nødvendig</t>
  </si>
  <si>
    <t>assess the need</t>
  </si>
  <si>
    <t>evaluar la necesidad</t>
  </si>
  <si>
    <t>dentro de los 36 meses</t>
  </si>
  <si>
    <t>después de la implementación de medidas de mitigación</t>
  </si>
  <si>
    <t>dentro de los 12 meses</t>
  </si>
  <si>
    <t>dentro de los 24 meses</t>
  </si>
  <si>
    <t>% of STEL</t>
  </si>
  <si>
    <t>% de STEL</t>
  </si>
  <si>
    <t>% de VLA</t>
  </si>
  <si>
    <t>atm</t>
  </si>
  <si>
    <t>psi</t>
  </si>
  <si>
    <t>µg/m³</t>
  </si>
  <si>
    <t>Språk  / language / idioma</t>
  </si>
  <si>
    <t>Valor más alto (máx)</t>
  </si>
  <si>
    <t>"2. Estudio preliminar" y "3. Estudio detallado" no se pueden utilizar en la evaluación de la exposición con respecto a los valores máximos, debido a que el período de medición debe ser inferior a 15 minutos.</t>
  </si>
  <si>
    <t>Må endres (celle)</t>
  </si>
  <si>
    <t>Must be changed (cell)</t>
  </si>
  <si>
    <t>Debe ser cambiado (celda)</t>
  </si>
  <si>
    <t>Diesel (målt som elementært karbon)</t>
  </si>
  <si>
    <t>Kadmium og uorg. kadmiumforb. (unntatt kadmiumoksid) (beregnet som Cd) Inhalerbart</t>
  </si>
  <si>
    <t>Kadmiumoksid (beregnet som Cd) Inhalerbart</t>
  </si>
  <si>
    <t>1.0.6c</t>
  </si>
  <si>
    <t>styren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</si>
</sst>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0"/>
    <numFmt numFmtId="166" formatCode="0.000"/>
    <numFmt numFmtId="167" formatCode="0.000000000"/>
    <numFmt numFmtId="168" formatCode="0.0000000000"/>
    <numFmt numFmtId="169" formatCode="dd/mm/yy;@"/>
  </numFmts>
  <fonts count="43" x14ac:knownFonts="1">
    <font>
      <sz val="11"/>
      <color theme="1"/>
      <name val="Calibri"/>
      <family val="2"/>
      <scheme val="minor"/>
    </font>
    <font>
      <sz val="12"/>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0"/>
      <color theme="1"/>
      <name val="Calibri"/>
      <family val="2"/>
      <scheme val="minor"/>
    </font>
    <font>
      <b/>
      <sz val="16"/>
      <color theme="1"/>
      <name val="Calibri"/>
      <family val="2"/>
      <scheme val="minor"/>
    </font>
    <font>
      <b/>
      <sz val="12"/>
      <color theme="0"/>
      <name val="Calibri"/>
      <family val="2"/>
      <scheme val="minor"/>
    </font>
    <font>
      <sz val="11"/>
      <name val="Calibri"/>
      <family val="2"/>
      <scheme val="minor"/>
    </font>
    <font>
      <b/>
      <sz val="11"/>
      <name val="Calibri"/>
      <family val="2"/>
      <scheme val="minor"/>
    </font>
    <font>
      <sz val="11"/>
      <color theme="1"/>
      <name val="Calibri"/>
      <family val="2"/>
    </font>
    <font>
      <vertAlign val="subscript"/>
      <sz val="11"/>
      <color theme="1"/>
      <name val="Calibri"/>
      <family val="2"/>
      <scheme val="minor"/>
    </font>
    <font>
      <sz val="10"/>
      <color theme="1"/>
      <name val="Geneva"/>
      <family val="2"/>
    </font>
    <font>
      <sz val="10"/>
      <name val="Geneva"/>
      <family val="2"/>
    </font>
    <font>
      <sz val="10"/>
      <color rgb="FFFFFDE2"/>
      <name val="Geneva"/>
      <family val="2"/>
    </font>
    <font>
      <b/>
      <sz val="10"/>
      <color theme="0"/>
      <name val="Geneva"/>
      <family val="2"/>
    </font>
    <font>
      <sz val="8"/>
      <name val="Calibri"/>
      <family val="2"/>
      <scheme val="minor"/>
    </font>
    <font>
      <b/>
      <sz val="11"/>
      <color theme="1"/>
      <name val="Calibri"/>
      <family val="2"/>
    </font>
    <font>
      <b/>
      <sz val="10"/>
      <color theme="1"/>
      <name val="Geneva"/>
      <family val="2"/>
    </font>
    <font>
      <b/>
      <sz val="10"/>
      <color theme="1"/>
      <name val="Geneva"/>
      <family val="2"/>
    </font>
    <font>
      <b/>
      <sz val="16"/>
      <color theme="0"/>
      <name val="Calibri"/>
      <family val="2"/>
      <scheme val="minor"/>
    </font>
    <font>
      <i/>
      <sz val="11"/>
      <color theme="1"/>
      <name val="Calibri"/>
      <family val="2"/>
      <scheme val="minor"/>
    </font>
    <font>
      <b/>
      <sz val="14"/>
      <color theme="0"/>
      <name val="Calibri"/>
      <family val="2"/>
      <scheme val="minor"/>
    </font>
    <font>
      <u/>
      <sz val="11"/>
      <color theme="10"/>
      <name val="Calibri"/>
      <family val="2"/>
      <scheme val="minor"/>
    </font>
    <font>
      <sz val="10"/>
      <color theme="1"/>
      <name val="Calibri"/>
      <family val="2"/>
      <scheme val="minor"/>
    </font>
    <font>
      <b/>
      <sz val="10"/>
      <name val="Calibri"/>
      <family val="2"/>
      <scheme val="minor"/>
    </font>
    <font>
      <b/>
      <u/>
      <sz val="10"/>
      <color theme="1"/>
      <name val="Calibri"/>
      <family val="2"/>
      <scheme val="minor"/>
    </font>
    <font>
      <b/>
      <sz val="10"/>
      <color theme="0"/>
      <name val="Calibri"/>
      <family val="2"/>
      <scheme val="minor"/>
    </font>
    <font>
      <sz val="9.5"/>
      <color theme="1"/>
      <name val="Cambria"/>
      <family val="1"/>
    </font>
    <font>
      <b/>
      <sz val="11"/>
      <color rgb="FF7030A0"/>
      <name val="Calibri"/>
      <family val="2"/>
      <scheme val="minor"/>
    </font>
    <font>
      <b/>
      <sz val="11"/>
      <color rgb="FFC00000"/>
      <name val="Calibri"/>
      <family val="2"/>
      <scheme val="minor"/>
    </font>
    <font>
      <b/>
      <sz val="12"/>
      <color rgb="FF7030A0"/>
      <name val="Calibri"/>
      <family val="2"/>
      <scheme val="minor"/>
    </font>
    <font>
      <b/>
      <sz val="14"/>
      <color theme="1"/>
      <name val="Calibri"/>
      <family val="2"/>
      <scheme val="minor"/>
    </font>
    <font>
      <sz val="10"/>
      <color theme="1"/>
      <name val="Calibri"/>
      <family val="2"/>
    </font>
    <font>
      <sz val="10"/>
      <name val="Calibri"/>
      <family val="2"/>
      <scheme val="minor"/>
    </font>
    <font>
      <b/>
      <u/>
      <sz val="11"/>
      <color theme="1"/>
      <name val="Calibri"/>
      <family val="2"/>
      <scheme val="minor"/>
    </font>
    <font>
      <b/>
      <u/>
      <sz val="11"/>
      <color rgb="FFFF0000"/>
      <name val="Calibri"/>
      <family val="2"/>
      <scheme val="minor"/>
    </font>
    <font>
      <b/>
      <sz val="12"/>
      <color theme="1"/>
      <name val="Calibri"/>
      <family val="2"/>
      <scheme val="minor"/>
    </font>
    <font>
      <u/>
      <sz val="12"/>
      <color theme="10"/>
      <name val="Calibri"/>
      <family val="2"/>
      <scheme val="minor"/>
    </font>
    <font>
      <strike/>
      <sz val="11"/>
      <color theme="1"/>
      <name val="Calibri"/>
      <family val="2"/>
      <scheme val="minor"/>
    </font>
    <font>
      <sz val="11"/>
      <color theme="1"/>
      <name val="Geneva"/>
      <family val="2"/>
    </font>
    <font>
      <b/>
      <sz val="7"/>
      <color theme="1"/>
      <name val="Calibri"/>
      <family val="2"/>
      <scheme val="minor"/>
    </font>
  </fonts>
  <fills count="23">
    <fill>
      <patternFill patternType="none"/>
    </fill>
    <fill>
      <patternFill patternType="gray125"/>
    </fill>
    <fill>
      <patternFill patternType="solid">
        <fgColor theme="9" tint="0.59999389629810485"/>
        <bgColor indexed="64"/>
      </patternFill>
    </fill>
    <fill>
      <patternFill patternType="solid">
        <fgColor theme="4"/>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1"/>
        <bgColor indexed="64"/>
      </patternFill>
    </fill>
    <fill>
      <patternFill patternType="solid">
        <fgColor theme="9" tint="0.59996337778862885"/>
        <bgColor indexed="64"/>
      </patternFill>
    </fill>
    <fill>
      <patternFill patternType="solid">
        <fgColor rgb="FF00B050"/>
        <bgColor indexed="64"/>
      </patternFill>
    </fill>
    <fill>
      <patternFill patternType="solid">
        <fgColor theme="5" tint="0.59996337778862885"/>
        <bgColor indexed="64"/>
      </patternFill>
    </fill>
    <fill>
      <patternFill patternType="solid">
        <fgColor rgb="FFC00000"/>
        <bgColor indexed="64"/>
      </patternFill>
    </fill>
    <fill>
      <patternFill patternType="solid">
        <fgColor theme="7" tint="0.59996337778862885"/>
        <bgColor indexed="64"/>
      </patternFill>
    </fill>
    <fill>
      <patternFill patternType="solid">
        <fgColor rgb="FFFFC000"/>
        <bgColor indexed="64"/>
      </patternFill>
    </fill>
    <fill>
      <patternFill patternType="solid">
        <fgColor theme="0"/>
        <bgColor indexed="64"/>
      </patternFill>
    </fill>
    <fill>
      <patternFill patternType="solid">
        <fgColor rgb="FF68DAD7"/>
        <bgColor indexed="64"/>
      </patternFill>
    </fill>
    <fill>
      <patternFill patternType="solid">
        <fgColor theme="8"/>
        <bgColor indexed="64"/>
      </patternFill>
    </fill>
    <fill>
      <patternFill patternType="solid">
        <fgColor rgb="FFFF0000"/>
        <bgColor indexed="64"/>
      </patternFill>
    </fill>
    <fill>
      <patternFill patternType="solid">
        <fgColor theme="6" tint="0.59999389629810485"/>
        <bgColor indexed="64"/>
      </patternFill>
    </fill>
    <fill>
      <patternFill patternType="solid">
        <fgColor rgb="FFFFE48F"/>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tint="-4.9989318521683403E-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indexed="64"/>
      </right>
      <top/>
      <bottom/>
      <diagonal/>
    </border>
    <border>
      <left style="medium">
        <color auto="1"/>
      </left>
      <right style="thin">
        <color indexed="64"/>
      </right>
      <top/>
      <bottom style="medium">
        <color auto="1"/>
      </bottom>
      <diagonal/>
    </border>
    <border>
      <left style="thin">
        <color indexed="64"/>
      </left>
      <right style="thin">
        <color indexed="64"/>
      </right>
      <top style="thin">
        <color indexed="64"/>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thin">
        <color indexed="64"/>
      </top>
      <bottom/>
      <diagonal/>
    </border>
    <border>
      <left/>
      <right/>
      <top style="thin">
        <color indexed="64"/>
      </top>
      <bottom/>
      <diagonal/>
    </border>
    <border>
      <left/>
      <right style="medium">
        <color auto="1"/>
      </right>
      <top style="thin">
        <color indexed="64"/>
      </top>
      <bottom/>
      <diagonal/>
    </border>
    <border>
      <left/>
      <right style="medium">
        <color auto="1"/>
      </right>
      <top/>
      <bottom style="thin">
        <color indexed="64"/>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style="medium">
        <color rgb="FFC00000"/>
      </left>
      <right/>
      <top/>
      <bottom/>
      <diagonal/>
    </border>
    <border>
      <left style="medium">
        <color auto="1"/>
      </left>
      <right style="medium">
        <color auto="1"/>
      </right>
      <top/>
      <bottom/>
      <diagonal/>
    </border>
    <border>
      <left/>
      <right style="medium">
        <color rgb="FFC00000"/>
      </right>
      <top/>
      <bottom/>
      <diagonal/>
    </border>
    <border>
      <left style="medium">
        <color rgb="FFC00000"/>
      </left>
      <right/>
      <top style="medium">
        <color rgb="FFC00000"/>
      </top>
      <bottom style="thin">
        <color auto="1"/>
      </bottom>
      <diagonal/>
    </border>
    <border>
      <left/>
      <right style="medium">
        <color rgb="FFC00000"/>
      </right>
      <top style="medium">
        <color rgb="FFC00000"/>
      </top>
      <bottom style="thin">
        <color auto="1"/>
      </bottom>
      <diagonal/>
    </border>
    <border>
      <left style="medium">
        <color rgb="FFC00000"/>
      </left>
      <right/>
      <top style="thin">
        <color indexed="64"/>
      </top>
      <bottom/>
      <diagonal/>
    </border>
    <border>
      <left/>
      <right style="medium">
        <color rgb="FFC00000"/>
      </right>
      <top style="thin">
        <color indexed="64"/>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rgb="FFC00000"/>
      </top>
      <bottom style="thin">
        <color auto="1"/>
      </bottom>
      <diagonal/>
    </border>
    <border>
      <left/>
      <right/>
      <top/>
      <bottom style="thin">
        <color theme="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theme="0"/>
      </top>
      <bottom/>
      <diagonal/>
    </border>
    <border>
      <left/>
      <right/>
      <top style="thin">
        <color theme="0"/>
      </top>
      <bottom style="thin">
        <color theme="0"/>
      </bottom>
      <diagonal/>
    </border>
    <border>
      <left style="dashDotDot">
        <color auto="1"/>
      </left>
      <right/>
      <top style="medium">
        <color auto="1"/>
      </top>
      <bottom/>
      <diagonal/>
    </border>
    <border>
      <left style="dashDotDot">
        <color auto="1"/>
      </left>
      <right/>
      <top/>
      <bottom/>
      <diagonal/>
    </border>
    <border>
      <left style="dashDotDot">
        <color auto="1"/>
      </left>
      <right/>
      <top/>
      <bottom style="medium">
        <color auto="1"/>
      </bottom>
      <diagonal/>
    </border>
    <border>
      <left style="thin">
        <color auto="1"/>
      </left>
      <right/>
      <top style="thin">
        <color auto="1"/>
      </top>
      <bottom style="thin">
        <color auto="1"/>
      </bottom>
      <diagonal/>
    </border>
    <border>
      <left style="thin">
        <color indexed="64"/>
      </left>
      <right/>
      <top style="thin">
        <color indexed="64"/>
      </top>
      <bottom style="medium">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bottom style="thin">
        <color indexed="64"/>
      </bottom>
      <diagonal/>
    </border>
    <border>
      <left style="dotted">
        <color auto="1"/>
      </left>
      <right style="thin">
        <color indexed="64"/>
      </right>
      <top/>
      <bottom style="thin">
        <color indexed="64"/>
      </bottom>
      <diagonal/>
    </border>
    <border>
      <left style="dotted">
        <color auto="1"/>
      </left>
      <right style="thin">
        <color indexed="64"/>
      </right>
      <top style="thin">
        <color indexed="64"/>
      </top>
      <bottom style="thin">
        <color indexed="64"/>
      </bottom>
      <diagonal/>
    </border>
    <border>
      <left style="dotted">
        <color auto="1"/>
      </left>
      <right style="thin">
        <color indexed="64"/>
      </right>
      <top style="thin">
        <color indexed="64"/>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dotted">
        <color auto="1"/>
      </left>
      <right style="dotted">
        <color auto="1"/>
      </right>
      <top style="thin">
        <color auto="1"/>
      </top>
      <bottom style="medium">
        <color auto="1"/>
      </bottom>
      <diagonal/>
    </border>
    <border>
      <left style="dotted">
        <color auto="1"/>
      </left>
      <right style="dotted">
        <color auto="1"/>
      </right>
      <top style="thin">
        <color auto="1"/>
      </top>
      <bottom style="thin">
        <color indexed="64"/>
      </bottom>
      <diagonal/>
    </border>
    <border>
      <left/>
      <right style="dashDotDot">
        <color auto="1"/>
      </right>
      <top/>
      <bottom/>
      <diagonal/>
    </border>
    <border>
      <left style="thin">
        <color indexed="64"/>
      </left>
      <right/>
      <top style="thin">
        <color indexed="64"/>
      </top>
      <bottom/>
      <diagonal/>
    </border>
    <border>
      <left style="thin">
        <color indexed="64"/>
      </left>
      <right/>
      <top/>
      <bottom/>
      <diagonal/>
    </border>
    <border>
      <left style="medium">
        <color auto="1"/>
      </left>
      <right style="medium">
        <color auto="1"/>
      </right>
      <top style="medium">
        <color auto="1"/>
      </top>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auto="1"/>
      </left>
      <right style="medium">
        <color auto="1"/>
      </right>
      <top/>
      <bottom style="medium">
        <color auto="1"/>
      </bottom>
      <diagonal/>
    </border>
    <border>
      <left/>
      <right/>
      <top style="medium">
        <color rgb="FFFF0000"/>
      </top>
      <bottom style="medium">
        <color rgb="FFFF0000"/>
      </bottom>
      <diagonal/>
    </border>
    <border>
      <left/>
      <right style="thin">
        <color auto="1"/>
      </right>
      <top style="thin">
        <color auto="1"/>
      </top>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diagonal/>
    </border>
    <border>
      <left style="thin">
        <color indexed="64"/>
      </left>
      <right style="medium">
        <color auto="1"/>
      </right>
      <top/>
      <bottom style="thin">
        <color auto="1"/>
      </bottom>
      <diagonal/>
    </border>
    <border>
      <left style="medium">
        <color auto="1"/>
      </left>
      <right/>
      <top/>
      <bottom style="double">
        <color auto="1"/>
      </bottom>
      <diagonal/>
    </border>
    <border>
      <left/>
      <right/>
      <top/>
      <bottom style="double">
        <color auto="1"/>
      </bottom>
      <diagonal/>
    </border>
    <border>
      <left/>
      <right style="medium">
        <color auto="1"/>
      </right>
      <top/>
      <bottom style="double">
        <color auto="1"/>
      </bottom>
      <diagonal/>
    </border>
    <border>
      <left style="medium">
        <color auto="1"/>
      </left>
      <right/>
      <top/>
      <bottom style="dashed">
        <color auto="1"/>
      </bottom>
      <diagonal/>
    </border>
    <border>
      <left/>
      <right/>
      <top/>
      <bottom style="dashed">
        <color auto="1"/>
      </bottom>
      <diagonal/>
    </border>
    <border>
      <left/>
      <right style="medium">
        <color auto="1"/>
      </right>
      <top/>
      <bottom style="dashed">
        <color auto="1"/>
      </bottom>
      <diagonal/>
    </border>
    <border>
      <left style="medium">
        <color auto="1"/>
      </left>
      <right style="thin">
        <color auto="1"/>
      </right>
      <top style="thin">
        <color auto="1"/>
      </top>
      <bottom/>
      <diagonal/>
    </border>
    <border>
      <left style="dashDotDot">
        <color auto="1"/>
      </left>
      <right style="medium">
        <color auto="1"/>
      </right>
      <top/>
      <bottom/>
      <diagonal/>
    </border>
    <border>
      <left style="dashDotDot">
        <color auto="1"/>
      </left>
      <right style="medium">
        <color auto="1"/>
      </right>
      <top/>
      <bottom style="medium">
        <color auto="1"/>
      </bottom>
      <diagonal/>
    </border>
    <border>
      <left style="thin">
        <color auto="1"/>
      </left>
      <right style="medium">
        <color auto="1"/>
      </right>
      <top/>
      <bottom style="medium">
        <color auto="1"/>
      </bottom>
      <diagonal/>
    </border>
    <border>
      <left style="thin">
        <color auto="1"/>
      </left>
      <right style="medium">
        <color auto="1"/>
      </right>
      <top style="medium">
        <color auto="1"/>
      </top>
      <bottom/>
      <diagonal/>
    </border>
    <border>
      <left/>
      <right style="thin">
        <color indexed="64"/>
      </right>
      <top/>
      <bottom style="medium">
        <color auto="1"/>
      </bottom>
      <diagonal/>
    </border>
    <border>
      <left style="dashDotDot">
        <color auto="1"/>
      </left>
      <right style="medium">
        <color auto="1"/>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auto="1"/>
      </left>
      <right/>
      <top style="medium">
        <color auto="1"/>
      </top>
      <bottom style="medium">
        <color auto="1"/>
      </bottom>
      <diagonal/>
    </border>
    <border>
      <left/>
      <right style="dashDotDot">
        <color auto="1"/>
      </right>
      <top/>
      <bottom style="medium">
        <color auto="1"/>
      </bottom>
      <diagonal/>
    </border>
  </borders>
  <cellStyleXfs count="3">
    <xf numFmtId="0" fontId="0" fillId="0" borderId="0"/>
    <xf numFmtId="9" fontId="2" fillId="0" borderId="0" applyFont="0" applyFill="0" applyBorder="0" applyAlignment="0" applyProtection="0"/>
    <xf numFmtId="0" fontId="24" fillId="0" borderId="0" applyNumberFormat="0" applyFill="0" applyBorder="0" applyAlignment="0" applyProtection="0"/>
  </cellStyleXfs>
  <cellXfs count="674">
    <xf numFmtId="0" fontId="0" fillId="0" borderId="0" xfId="0"/>
    <xf numFmtId="0" fontId="4" fillId="0" borderId="0" xfId="0" applyFont="1"/>
    <xf numFmtId="0" fontId="0" fillId="0" borderId="0" xfId="0" applyAlignment="1">
      <alignment horizontal="center" vertical="center"/>
    </xf>
    <xf numFmtId="2" fontId="0" fillId="0" borderId="0" xfId="0" applyNumberFormat="1"/>
    <xf numFmtId="0" fontId="0" fillId="0" borderId="5" xfId="0" applyBorder="1"/>
    <xf numFmtId="0" fontId="0" fillId="0" borderId="6" xfId="0" applyBorder="1"/>
    <xf numFmtId="0" fontId="11" fillId="0" borderId="0" xfId="0" applyFont="1"/>
    <xf numFmtId="0" fontId="0" fillId="0" borderId="0" xfId="0" applyAlignment="1">
      <alignment wrapText="1"/>
    </xf>
    <xf numFmtId="0" fontId="4" fillId="0" borderId="0" xfId="0" applyFont="1" applyAlignment="1">
      <alignment horizontal="right"/>
    </xf>
    <xf numFmtId="0" fontId="3" fillId="3" borderId="0" xfId="0" applyFont="1" applyFill="1" applyAlignment="1">
      <alignment horizontal="center" vertical="center"/>
    </xf>
    <xf numFmtId="0" fontId="13" fillId="0" borderId="0" xfId="0" applyFont="1"/>
    <xf numFmtId="0" fontId="14" fillId="0" borderId="0" xfId="0" applyFont="1"/>
    <xf numFmtId="165" fontId="13" fillId="0" borderId="0" xfId="0" applyNumberFormat="1" applyFont="1"/>
    <xf numFmtId="0" fontId="13" fillId="0" borderId="0" xfId="0" applyFont="1" applyAlignment="1">
      <alignment horizontal="center"/>
    </xf>
    <xf numFmtId="0" fontId="13" fillId="0" borderId="0" xfId="0" applyFont="1" applyAlignment="1">
      <alignment horizontal="right"/>
    </xf>
    <xf numFmtId="0" fontId="15" fillId="0" borderId="0" xfId="0" applyFont="1"/>
    <xf numFmtId="0" fontId="0" fillId="5" borderId="0" xfId="0" applyFill="1"/>
    <xf numFmtId="0" fontId="0" fillId="7" borderId="0" xfId="0" applyFill="1"/>
    <xf numFmtId="0" fontId="4" fillId="0" borderId="0" xfId="0" applyFont="1" applyAlignment="1">
      <alignment horizontal="right" vertical="center"/>
    </xf>
    <xf numFmtId="0" fontId="0" fillId="0" borderId="19" xfId="0" applyBorder="1"/>
    <xf numFmtId="0" fontId="0" fillId="0" borderId="20" xfId="0" applyBorder="1"/>
    <xf numFmtId="0" fontId="0" fillId="0" borderId="22" xfId="0" applyBorder="1"/>
    <xf numFmtId="0" fontId="3" fillId="0" borderId="0" xfId="0" applyFont="1" applyAlignment="1">
      <alignment horizontal="center"/>
    </xf>
    <xf numFmtId="165" fontId="0" fillId="0" borderId="0" xfId="0" applyNumberFormat="1"/>
    <xf numFmtId="166" fontId="0" fillId="0" borderId="0" xfId="0" applyNumberFormat="1"/>
    <xf numFmtId="0" fontId="3" fillId="3" borderId="0" xfId="0" applyFont="1" applyFill="1"/>
    <xf numFmtId="2" fontId="13" fillId="0" borderId="0" xfId="0" applyNumberFormat="1" applyFont="1"/>
    <xf numFmtId="0" fontId="14" fillId="0" borderId="0" xfId="0" applyFont="1" applyAlignment="1">
      <alignment horizontal="left"/>
    </xf>
    <xf numFmtId="0" fontId="14" fillId="0" borderId="0" xfId="0" applyFont="1" applyAlignment="1">
      <alignment horizontal="left" wrapText="1"/>
    </xf>
    <xf numFmtId="0" fontId="14" fillId="0" borderId="0" xfId="0" applyFont="1" applyAlignment="1">
      <alignment wrapText="1"/>
    </xf>
    <xf numFmtId="0" fontId="14" fillId="0" borderId="0" xfId="0" applyFont="1" applyAlignment="1">
      <alignment vertical="center" wrapText="1"/>
    </xf>
    <xf numFmtId="0" fontId="16" fillId="3" borderId="0" xfId="0" applyFont="1" applyFill="1" applyAlignment="1">
      <alignment horizontal="left"/>
    </xf>
    <xf numFmtId="0" fontId="16" fillId="3" borderId="0" xfId="0" applyFont="1" applyFill="1" applyAlignment="1">
      <alignment horizontal="center"/>
    </xf>
    <xf numFmtId="0" fontId="4" fillId="0" borderId="0" xfId="0" applyFont="1" applyAlignment="1">
      <alignment horizontal="center" vertical="center"/>
    </xf>
    <xf numFmtId="165" fontId="16" fillId="3" borderId="0" xfId="0" applyNumberFormat="1" applyFont="1" applyFill="1" applyAlignment="1">
      <alignment horizontal="center"/>
    </xf>
    <xf numFmtId="0" fontId="19" fillId="0" borderId="0" xfId="0" applyFont="1" applyAlignment="1">
      <alignment horizontal="center"/>
    </xf>
    <xf numFmtId="165" fontId="19" fillId="0" borderId="0" xfId="0" applyNumberFormat="1" applyFont="1" applyAlignment="1">
      <alignment horizontal="right"/>
    </xf>
    <xf numFmtId="1" fontId="19" fillId="0" borderId="0" xfId="0" applyNumberFormat="1" applyFont="1" applyAlignment="1">
      <alignment horizontal="center" vertical="center"/>
    </xf>
    <xf numFmtId="165" fontId="20" fillId="0" borderId="0" xfId="0" applyNumberFormat="1" applyFont="1" applyAlignment="1">
      <alignment horizontal="center"/>
    </xf>
    <xf numFmtId="165" fontId="13" fillId="0" borderId="0" xfId="0" applyNumberFormat="1" applyFont="1" applyAlignment="1">
      <alignment horizontal="center"/>
    </xf>
    <xf numFmtId="1" fontId="13" fillId="0" borderId="0" xfId="0" applyNumberFormat="1" applyFont="1" applyAlignment="1">
      <alignment horizontal="center" vertical="center"/>
    </xf>
    <xf numFmtId="2" fontId="0" fillId="0" borderId="0" xfId="0" applyNumberFormat="1" applyAlignment="1">
      <alignment horizontal="center"/>
    </xf>
    <xf numFmtId="166" fontId="13" fillId="0" borderId="0" xfId="0" applyNumberFormat="1" applyFont="1"/>
    <xf numFmtId="0" fontId="0" fillId="7" borderId="0" xfId="0" applyFill="1" applyAlignment="1">
      <alignment horizontal="center"/>
    </xf>
    <xf numFmtId="9" fontId="0" fillId="0" borderId="0" xfId="1" applyFont="1"/>
    <xf numFmtId="0" fontId="0" fillId="0" borderId="0" xfId="0" applyProtection="1">
      <protection locked="0"/>
    </xf>
    <xf numFmtId="0" fontId="0" fillId="2" borderId="1" xfId="0" applyFill="1" applyBorder="1" applyAlignment="1" applyProtection="1">
      <alignment horizontal="right" vertical="center"/>
      <protection locked="0"/>
    </xf>
    <xf numFmtId="0" fontId="0" fillId="0" borderId="7" xfId="0" applyBorder="1"/>
    <xf numFmtId="0" fontId="0" fillId="0" borderId="9" xfId="0" applyBorder="1"/>
    <xf numFmtId="0" fontId="0" fillId="5" borderId="7" xfId="0" applyFill="1" applyBorder="1"/>
    <xf numFmtId="0" fontId="0" fillId="5" borderId="8" xfId="0" applyFill="1" applyBorder="1"/>
    <xf numFmtId="0" fontId="0" fillId="5" borderId="9" xfId="0" applyFill="1" applyBorder="1"/>
    <xf numFmtId="0" fontId="0" fillId="5" borderId="2" xfId="0" applyFill="1" applyBorder="1"/>
    <xf numFmtId="0" fontId="0" fillId="5" borderId="5" xfId="0" applyFill="1" applyBorder="1"/>
    <xf numFmtId="0" fontId="0" fillId="5" borderId="4" xfId="0" applyFill="1" applyBorder="1"/>
    <xf numFmtId="0" fontId="0" fillId="5" borderId="6" xfId="0" applyFill="1" applyBorder="1"/>
    <xf numFmtId="0" fontId="0" fillId="5" borderId="3" xfId="0" applyFill="1" applyBorder="1"/>
    <xf numFmtId="9" fontId="0" fillId="0" borderId="0" xfId="0" applyNumberFormat="1"/>
    <xf numFmtId="0" fontId="0" fillId="0" borderId="0" xfId="0" applyAlignment="1">
      <alignment horizontal="center" vertical="top"/>
    </xf>
    <xf numFmtId="0" fontId="0" fillId="0" borderId="0" xfId="0" applyAlignment="1">
      <alignment vertical="top"/>
    </xf>
    <xf numFmtId="0" fontId="0" fillId="0" borderId="6" xfId="0" applyBorder="1" applyAlignment="1">
      <alignment vertical="top"/>
    </xf>
    <xf numFmtId="0" fontId="0" fillId="0" borderId="8" xfId="0"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5" fillId="3" borderId="14" xfId="0" applyFont="1" applyFill="1" applyBorder="1"/>
    <xf numFmtId="0" fontId="5" fillId="3" borderId="15" xfId="0" applyFont="1" applyFill="1" applyBorder="1"/>
    <xf numFmtId="0" fontId="0" fillId="2" borderId="6" xfId="0" applyFill="1" applyBorder="1"/>
    <xf numFmtId="0" fontId="0" fillId="10" borderId="2" xfId="0" applyFill="1" applyBorder="1"/>
    <xf numFmtId="0" fontId="0" fillId="10" borderId="3" xfId="0" applyFill="1" applyBorder="1"/>
    <xf numFmtId="0" fontId="0" fillId="10" borderId="4" xfId="0" applyFill="1" applyBorder="1"/>
    <xf numFmtId="0" fontId="3" fillId="3" borderId="52" xfId="0" applyFont="1" applyFill="1" applyBorder="1" applyAlignment="1">
      <alignment vertical="center"/>
    </xf>
    <xf numFmtId="0" fontId="5" fillId="3" borderId="56" xfId="0" applyFont="1" applyFill="1" applyBorder="1" applyAlignment="1">
      <alignment horizontal="center" vertical="center"/>
    </xf>
    <xf numFmtId="0" fontId="3" fillId="3" borderId="56" xfId="0" applyFont="1" applyFill="1" applyBorder="1" applyAlignment="1">
      <alignment horizontal="center" vertical="center"/>
    </xf>
    <xf numFmtId="0" fontId="3" fillId="3" borderId="21" xfId="0" applyFont="1" applyFill="1" applyBorder="1" applyAlignment="1">
      <alignment horizontal="center" vertical="center" wrapText="1"/>
    </xf>
    <xf numFmtId="0" fontId="3" fillId="3" borderId="26" xfId="0" applyFont="1" applyFill="1" applyBorder="1" applyAlignment="1">
      <alignment horizontal="center" vertical="center"/>
    </xf>
    <xf numFmtId="0" fontId="0" fillId="10" borderId="5" xfId="0" applyFill="1" applyBorder="1"/>
    <xf numFmtId="0" fontId="0" fillId="10" borderId="6" xfId="0" applyFill="1" applyBorder="1"/>
    <xf numFmtId="0" fontId="0" fillId="0" borderId="57" xfId="0" applyBorder="1" applyAlignment="1">
      <alignment horizontal="center" vertical="center"/>
    </xf>
    <xf numFmtId="2" fontId="0" fillId="0" borderId="54" xfId="0" applyNumberFormat="1" applyBorder="1"/>
    <xf numFmtId="0" fontId="0" fillId="4" borderId="5" xfId="0" applyFill="1" applyBorder="1"/>
    <xf numFmtId="0" fontId="0" fillId="4" borderId="0" xfId="0" applyFill="1"/>
    <xf numFmtId="0" fontId="0" fillId="4" borderId="6" xfId="0" applyFill="1" applyBorder="1"/>
    <xf numFmtId="0" fontId="0" fillId="0" borderId="0" xfId="0" applyAlignment="1">
      <alignment horizontal="left" wrapText="1"/>
    </xf>
    <xf numFmtId="0" fontId="0" fillId="0" borderId="37" xfId="0" applyBorder="1" applyAlignment="1">
      <alignment horizontal="center" vertical="center"/>
    </xf>
    <xf numFmtId="2" fontId="0" fillId="0" borderId="39" xfId="0" applyNumberFormat="1" applyBorder="1" applyAlignment="1">
      <alignment horizontal="right"/>
    </xf>
    <xf numFmtId="0" fontId="0" fillId="4" borderId="3" xfId="0" applyFill="1" applyBorder="1"/>
    <xf numFmtId="0" fontId="0" fillId="0" borderId="5" xfId="0" applyBorder="1" applyAlignment="1">
      <alignment horizontal="center"/>
    </xf>
    <xf numFmtId="2" fontId="0" fillId="0" borderId="6" xfId="0" applyNumberFormat="1" applyBorder="1"/>
    <xf numFmtId="0" fontId="0" fillId="0" borderId="7" xfId="0" applyBorder="1" applyAlignment="1">
      <alignment horizontal="center"/>
    </xf>
    <xf numFmtId="2" fontId="0" fillId="0" borderId="9" xfId="0" applyNumberFormat="1" applyBorder="1"/>
    <xf numFmtId="0" fontId="0" fillId="4" borderId="7" xfId="0" applyFill="1" applyBorder="1"/>
    <xf numFmtId="0" fontId="0" fillId="4" borderId="8" xfId="0" applyFill="1" applyBorder="1"/>
    <xf numFmtId="0" fontId="0" fillId="4" borderId="9" xfId="0" applyFill="1" applyBorder="1"/>
    <xf numFmtId="0" fontId="0" fillId="0" borderId="0" xfId="0" applyAlignment="1">
      <alignment horizontal="left"/>
    </xf>
    <xf numFmtId="0" fontId="0" fillId="0" borderId="58" xfId="0" applyBorder="1" applyAlignment="1">
      <alignment horizontal="center" vertical="center"/>
    </xf>
    <xf numFmtId="2" fontId="0" fillId="0" borderId="39" xfId="0" applyNumberFormat="1" applyBorder="1"/>
    <xf numFmtId="0" fontId="0" fillId="2" borderId="7" xfId="0" applyFill="1" applyBorder="1"/>
    <xf numFmtId="0" fontId="0" fillId="2" borderId="8" xfId="0" applyFill="1" applyBorder="1"/>
    <xf numFmtId="0" fontId="0" fillId="2" borderId="9" xfId="0" applyFill="1" applyBorder="1"/>
    <xf numFmtId="0" fontId="0" fillId="0" borderId="53" xfId="0" applyBorder="1" applyProtection="1">
      <protection locked="0"/>
    </xf>
    <xf numFmtId="0" fontId="0" fillId="0" borderId="57" xfId="0" applyBorder="1" applyAlignment="1" applyProtection="1">
      <alignment horizontal="center" vertical="center"/>
      <protection locked="0"/>
    </xf>
    <xf numFmtId="0" fontId="0" fillId="0" borderId="50" xfId="0" applyBorder="1" applyProtection="1">
      <protection locked="0"/>
    </xf>
    <xf numFmtId="0" fontId="0" fillId="0" borderId="18" xfId="0" applyBorder="1" applyProtection="1">
      <protection locked="0"/>
    </xf>
    <xf numFmtId="2" fontId="0" fillId="0" borderId="62" xfId="0" applyNumberFormat="1" applyBorder="1" applyProtection="1">
      <protection locked="0"/>
    </xf>
    <xf numFmtId="0" fontId="0" fillId="0" borderId="37" xfId="0" applyBorder="1" applyProtection="1">
      <protection locked="0"/>
    </xf>
    <xf numFmtId="0" fontId="0" fillId="0" borderId="51" xfId="0" applyBorder="1" applyProtection="1">
      <protection locked="0"/>
    </xf>
    <xf numFmtId="0" fontId="0" fillId="0" borderId="58" xfId="0" applyBorder="1" applyProtection="1">
      <protection locked="0"/>
    </xf>
    <xf numFmtId="0" fontId="0" fillId="0" borderId="38" xfId="0" applyBorder="1" applyProtection="1">
      <protection locked="0"/>
    </xf>
    <xf numFmtId="0" fontId="0" fillId="0" borderId="61" xfId="0" applyBorder="1" applyProtection="1">
      <protection locked="0"/>
    </xf>
    <xf numFmtId="0" fontId="0" fillId="4" borderId="2" xfId="0" applyFill="1" applyBorder="1"/>
    <xf numFmtId="0" fontId="9" fillId="4" borderId="5" xfId="0" applyFont="1" applyFill="1" applyBorder="1"/>
    <xf numFmtId="0" fontId="0" fillId="4" borderId="47" xfId="0" applyFill="1" applyBorder="1"/>
    <xf numFmtId="0" fontId="0" fillId="4" borderId="63" xfId="0" applyFill="1" applyBorder="1"/>
    <xf numFmtId="0" fontId="0" fillId="4" borderId="48" xfId="0" applyFill="1" applyBorder="1"/>
    <xf numFmtId="0" fontId="4" fillId="0" borderId="5" xfId="0" applyFont="1" applyBorder="1"/>
    <xf numFmtId="0" fontId="10" fillId="0" borderId="23" xfId="0" applyFont="1" applyBorder="1"/>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4" fillId="0" borderId="5" xfId="0" applyFont="1" applyBorder="1" applyAlignment="1">
      <alignment horizontal="right"/>
    </xf>
    <xf numFmtId="166" fontId="0" fillId="0" borderId="0" xfId="0" applyNumberFormat="1" applyAlignment="1">
      <alignment horizontal="center" vertical="center"/>
    </xf>
    <xf numFmtId="166" fontId="0" fillId="0" borderId="6" xfId="0" applyNumberFormat="1" applyBorder="1" applyAlignment="1">
      <alignment horizontal="center" vertical="center"/>
    </xf>
    <xf numFmtId="0" fontId="0" fillId="0" borderId="6" xfId="0" applyBorder="1" applyAlignment="1">
      <alignment horizontal="left"/>
    </xf>
    <xf numFmtId="0" fontId="4" fillId="0" borderId="7" xfId="0" applyFont="1" applyBorder="1" applyAlignment="1">
      <alignment horizontal="right"/>
    </xf>
    <xf numFmtId="0" fontId="0" fillId="0" borderId="8" xfId="0" applyBorder="1" applyAlignment="1">
      <alignment horizontal="center" vertical="center"/>
    </xf>
    <xf numFmtId="0" fontId="0" fillId="0" borderId="9" xfId="0" applyBorder="1" applyAlignment="1">
      <alignment horizontal="center" vertical="center"/>
    </xf>
    <xf numFmtId="0" fontId="0" fillId="4" borderId="8" xfId="0" applyFill="1" applyBorder="1" applyAlignment="1">
      <alignment vertical="center" wrapText="1"/>
    </xf>
    <xf numFmtId="0" fontId="0" fillId="0" borderId="23" xfId="0" applyBorder="1"/>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0" fillId="4" borderId="0" xfId="0" applyFill="1" applyAlignment="1">
      <alignment vertical="center" wrapText="1"/>
    </xf>
    <xf numFmtId="0" fontId="4" fillId="4" borderId="0" xfId="0" applyFont="1" applyFill="1"/>
    <xf numFmtId="0" fontId="0" fillId="0" borderId="3" xfId="0" applyBorder="1"/>
    <xf numFmtId="164" fontId="0" fillId="0" borderId="39" xfId="0" applyNumberFormat="1" applyBorder="1"/>
    <xf numFmtId="0" fontId="0" fillId="4" borderId="49" xfId="0" applyFill="1" applyBorder="1"/>
    <xf numFmtId="0" fontId="10" fillId="0" borderId="0" xfId="0" applyFont="1"/>
    <xf numFmtId="0" fontId="0" fillId="4" borderId="3" xfId="0" applyFill="1" applyBorder="1" applyAlignment="1">
      <alignment horizontal="left" wrapText="1"/>
    </xf>
    <xf numFmtId="0" fontId="0" fillId="4" borderId="4" xfId="0" applyFill="1" applyBorder="1" applyAlignment="1">
      <alignment horizontal="left" wrapText="1"/>
    </xf>
    <xf numFmtId="0" fontId="5" fillId="3" borderId="16" xfId="0" applyFont="1" applyFill="1" applyBorder="1" applyAlignment="1">
      <alignment horizontal="right"/>
    </xf>
    <xf numFmtId="0" fontId="3" fillId="3" borderId="1" xfId="0" applyFont="1" applyFill="1" applyBorder="1" applyAlignment="1">
      <alignment horizontal="center" wrapText="1"/>
    </xf>
    <xf numFmtId="0" fontId="3" fillId="3" borderId="17" xfId="0" applyFont="1" applyFill="1" applyBorder="1" applyAlignment="1">
      <alignment horizontal="center" vertical="center" wrapText="1"/>
    </xf>
    <xf numFmtId="0" fontId="0" fillId="4" borderId="6" xfId="0" applyFill="1" applyBorder="1" applyAlignment="1">
      <alignment horizontal="left" wrapText="1"/>
    </xf>
    <xf numFmtId="0" fontId="0" fillId="2" borderId="10" xfId="0" applyFill="1" applyBorder="1"/>
    <xf numFmtId="0" fontId="0" fillId="2" borderId="6" xfId="0" applyFill="1" applyBorder="1" applyAlignment="1">
      <alignment wrapText="1"/>
    </xf>
    <xf numFmtId="0" fontId="0" fillId="2" borderId="6" xfId="0" applyFill="1" applyBorder="1" applyAlignment="1">
      <alignment horizontal="center" vertical="center"/>
    </xf>
    <xf numFmtId="0" fontId="0" fillId="0" borderId="0" xfId="0" applyAlignment="1">
      <alignment vertical="center"/>
    </xf>
    <xf numFmtId="2" fontId="0" fillId="0" borderId="0" xfId="0" applyNumberFormat="1" applyAlignment="1">
      <alignment vertical="center"/>
    </xf>
    <xf numFmtId="0" fontId="0" fillId="2" borderId="31" xfId="0" applyFill="1" applyBorder="1"/>
    <xf numFmtId="0" fontId="0" fillId="2" borderId="5" xfId="0" applyFill="1" applyBorder="1" applyAlignment="1">
      <alignment horizontal="center" vertical="center"/>
    </xf>
    <xf numFmtId="0" fontId="0" fillId="2" borderId="6" xfId="0" applyFill="1" applyBorder="1" applyAlignment="1">
      <alignment horizontal="left" wrapText="1"/>
    </xf>
    <xf numFmtId="0" fontId="0" fillId="8" borderId="5" xfId="0" applyFill="1" applyBorder="1"/>
    <xf numFmtId="0" fontId="0" fillId="8" borderId="6" xfId="0" applyFill="1" applyBorder="1"/>
    <xf numFmtId="0" fontId="4" fillId="2" borderId="3" xfId="0" applyFont="1" applyFill="1" applyBorder="1"/>
    <xf numFmtId="0" fontId="0" fillId="2" borderId="6" xfId="0" applyFill="1" applyBorder="1" applyAlignment="1">
      <alignment vertical="center"/>
    </xf>
    <xf numFmtId="0" fontId="0" fillId="2" borderId="0" xfId="0" applyFill="1"/>
    <xf numFmtId="0" fontId="10" fillId="0" borderId="6" xfId="0" applyFont="1" applyBorder="1" applyAlignment="1">
      <alignment horizontal="center"/>
    </xf>
    <xf numFmtId="0" fontId="3" fillId="11" borderId="41" xfId="0" applyFont="1" applyFill="1" applyBorder="1" applyAlignment="1">
      <alignment horizontal="center" vertical="center"/>
    </xf>
    <xf numFmtId="0" fontId="3" fillId="0" borderId="0" xfId="0" applyFont="1"/>
    <xf numFmtId="0" fontId="0" fillId="10" borderId="6" xfId="0" applyFill="1" applyBorder="1" applyAlignment="1">
      <alignment horizontal="left" wrapText="1"/>
    </xf>
    <xf numFmtId="0" fontId="10" fillId="0" borderId="5" xfId="0" applyFont="1" applyBorder="1"/>
    <xf numFmtId="0" fontId="9" fillId="4" borderId="6" xfId="0" applyFont="1" applyFill="1" applyBorder="1"/>
    <xf numFmtId="0" fontId="0" fillId="4" borderId="43" xfId="0" applyFill="1" applyBorder="1"/>
    <xf numFmtId="0" fontId="0" fillId="0" borderId="0" xfId="0" applyAlignment="1">
      <alignment horizontal="center"/>
    </xf>
    <xf numFmtId="164" fontId="0" fillId="0" borderId="6" xfId="0" applyNumberFormat="1" applyBorder="1" applyAlignment="1">
      <alignment horizontal="center"/>
    </xf>
    <xf numFmtId="0" fontId="0" fillId="7" borderId="6" xfId="0" applyFill="1" applyBorder="1"/>
    <xf numFmtId="0" fontId="6" fillId="2" borderId="5" xfId="0" applyFont="1" applyFill="1" applyBorder="1" applyAlignment="1">
      <alignment textRotation="90" wrapText="1"/>
    </xf>
    <xf numFmtId="0" fontId="0" fillId="8" borderId="31" xfId="0" applyFill="1" applyBorder="1"/>
    <xf numFmtId="9" fontId="0" fillId="0" borderId="0" xfId="1" applyFont="1" applyBorder="1" applyProtection="1"/>
    <xf numFmtId="0" fontId="4" fillId="0" borderId="7" xfId="0" applyFont="1" applyBorder="1"/>
    <xf numFmtId="0" fontId="0" fillId="7" borderId="9" xfId="0" applyFill="1" applyBorder="1"/>
    <xf numFmtId="0" fontId="0" fillId="2" borderId="5" xfId="0" applyFill="1" applyBorder="1" applyAlignment="1">
      <alignment horizontal="left" wrapText="1"/>
    </xf>
    <xf numFmtId="0" fontId="9" fillId="5" borderId="3" xfId="0" applyFont="1" applyFill="1" applyBorder="1"/>
    <xf numFmtId="0" fontId="0" fillId="2" borderId="11" xfId="0" applyFill="1" applyBorder="1"/>
    <xf numFmtId="0" fontId="0" fillId="0" borderId="0" xfId="0" applyAlignment="1" applyProtection="1">
      <alignment horizontal="center" vertical="center"/>
      <protection locked="0"/>
    </xf>
    <xf numFmtId="0" fontId="0" fillId="0" borderId="8" xfId="0" applyBorder="1" applyProtection="1">
      <protection locked="0"/>
    </xf>
    <xf numFmtId="0" fontId="3" fillId="3" borderId="55" xfId="0" applyFont="1" applyFill="1" applyBorder="1" applyAlignment="1">
      <alignment horizontal="center" vertical="center"/>
    </xf>
    <xf numFmtId="0" fontId="3" fillId="3" borderId="62" xfId="0" applyFont="1" applyFill="1" applyBorder="1" applyAlignment="1">
      <alignment horizontal="center" vertical="center" wrapText="1"/>
    </xf>
    <xf numFmtId="0" fontId="0" fillId="12" borderId="5" xfId="0" applyFill="1" applyBorder="1"/>
    <xf numFmtId="0" fontId="0" fillId="12" borderId="6" xfId="0" applyFill="1" applyBorder="1"/>
    <xf numFmtId="0" fontId="0" fillId="12" borderId="31" xfId="0" applyFill="1" applyBorder="1"/>
    <xf numFmtId="0" fontId="0" fillId="0" borderId="9" xfId="0" applyBorder="1" applyProtection="1">
      <protection locked="0"/>
    </xf>
    <xf numFmtId="0" fontId="0" fillId="0" borderId="6" xfId="0" applyBorder="1" applyProtection="1">
      <protection locked="0"/>
    </xf>
    <xf numFmtId="0" fontId="0" fillId="0" borderId="0" xfId="0" applyAlignment="1">
      <alignment horizontal="left" vertical="top"/>
    </xf>
    <xf numFmtId="0" fontId="0" fillId="0" borderId="6" xfId="0" applyBorder="1" applyAlignment="1">
      <alignment horizontal="left" vertical="top"/>
    </xf>
    <xf numFmtId="0" fontId="0" fillId="0" borderId="6" xfId="0" applyBorder="1" applyAlignment="1">
      <alignment vertical="center" wrapText="1"/>
    </xf>
    <xf numFmtId="0" fontId="0" fillId="0" borderId="9" xfId="0" applyBorder="1" applyAlignment="1">
      <alignment vertical="center" wrapText="1"/>
    </xf>
    <xf numFmtId="0" fontId="0" fillId="5" borderId="5" xfId="0" applyFill="1" applyBorder="1" applyAlignment="1">
      <alignment vertical="top" wrapText="1"/>
    </xf>
    <xf numFmtId="0" fontId="0" fillId="5" borderId="7" xfId="0" applyFill="1" applyBorder="1" applyAlignment="1">
      <alignment vertical="top" wrapText="1"/>
    </xf>
    <xf numFmtId="0" fontId="0" fillId="0" borderId="5" xfId="0" applyBorder="1" applyAlignment="1">
      <alignment horizontal="center" vertical="top"/>
    </xf>
    <xf numFmtId="0" fontId="0" fillId="0" borderId="7" xfId="0" applyBorder="1" applyAlignment="1">
      <alignment horizontal="center" vertical="top" wrapText="1"/>
    </xf>
    <xf numFmtId="0" fontId="0" fillId="5" borderId="31" xfId="0" applyFill="1" applyBorder="1"/>
    <xf numFmtId="0" fontId="0" fillId="0" borderId="5" xfId="0" applyBorder="1" applyAlignment="1">
      <alignment horizontal="center" vertical="top" wrapText="1"/>
    </xf>
    <xf numFmtId="0" fontId="0" fillId="0" borderId="6" xfId="0" applyBorder="1" applyAlignment="1">
      <alignment vertical="top" wrapText="1"/>
    </xf>
    <xf numFmtId="0" fontId="3" fillId="3" borderId="15" xfId="0" applyFont="1" applyFill="1" applyBorder="1"/>
    <xf numFmtId="0" fontId="8" fillId="0" borderId="0" xfId="0" applyFont="1" applyAlignment="1">
      <alignment vertical="center"/>
    </xf>
    <xf numFmtId="0" fontId="7" fillId="0" borderId="5" xfId="0" applyFont="1" applyBorder="1" applyAlignment="1" applyProtection="1">
      <alignment vertical="center"/>
      <protection locked="0"/>
    </xf>
    <xf numFmtId="0" fontId="7" fillId="0" borderId="0" xfId="0" applyFont="1" applyAlignment="1" applyProtection="1">
      <alignment vertical="center"/>
      <protection locked="0"/>
    </xf>
    <xf numFmtId="0" fontId="8" fillId="2" borderId="31" xfId="0" applyFont="1" applyFill="1" applyBorder="1" applyAlignment="1">
      <alignment vertical="center"/>
    </xf>
    <xf numFmtId="0" fontId="7" fillId="2" borderId="31" xfId="0" applyFont="1" applyFill="1" applyBorder="1" applyAlignment="1" applyProtection="1">
      <alignment vertical="center"/>
      <protection locked="0"/>
    </xf>
    <xf numFmtId="0" fontId="6" fillId="0" borderId="0" xfId="0" applyFont="1" applyAlignment="1" applyProtection="1">
      <alignment vertical="center"/>
      <protection locked="0"/>
    </xf>
    <xf numFmtId="0" fontId="6" fillId="0" borderId="1" xfId="0" applyFont="1" applyBorder="1" applyAlignment="1">
      <alignment horizontal="center"/>
    </xf>
    <xf numFmtId="0" fontId="7" fillId="0" borderId="0" xfId="0" applyFont="1" applyAlignment="1">
      <alignment wrapText="1"/>
    </xf>
    <xf numFmtId="0" fontId="0" fillId="2" borderId="16" xfId="0" applyFill="1" applyBorder="1"/>
    <xf numFmtId="0" fontId="0" fillId="4" borderId="16" xfId="0" applyFill="1" applyBorder="1"/>
    <xf numFmtId="0" fontId="0" fillId="5" borderId="16" xfId="0" applyFill="1" applyBorder="1"/>
    <xf numFmtId="0" fontId="27" fillId="0" borderId="66" xfId="0" applyFont="1" applyBorder="1" applyAlignment="1">
      <alignment horizontal="center" wrapText="1"/>
    </xf>
    <xf numFmtId="0" fontId="27" fillId="0" borderId="66" xfId="0" applyFont="1" applyBorder="1" applyAlignment="1">
      <alignment horizontal="center" vertical="center" wrapText="1"/>
    </xf>
    <xf numFmtId="0" fontId="7" fillId="0" borderId="0" xfId="0" applyFont="1" applyAlignment="1">
      <alignment vertical="top" wrapText="1"/>
    </xf>
    <xf numFmtId="0" fontId="25" fillId="0" borderId="0" xfId="0" applyFont="1"/>
    <xf numFmtId="0" fontId="25" fillId="0" borderId="0" xfId="0" applyFont="1" applyAlignment="1">
      <alignment horizontal="center"/>
    </xf>
    <xf numFmtId="0" fontId="7" fillId="3" borderId="2" xfId="0" applyFont="1" applyFill="1" applyBorder="1" applyAlignment="1">
      <alignment vertical="top" wrapText="1"/>
    </xf>
    <xf numFmtId="0" fontId="0" fillId="3" borderId="4" xfId="0" applyFill="1" applyBorder="1"/>
    <xf numFmtId="0" fontId="8" fillId="3" borderId="52" xfId="0" applyFont="1" applyFill="1" applyBorder="1" applyAlignment="1">
      <alignment vertical="center"/>
    </xf>
    <xf numFmtId="0" fontId="0" fillId="3" borderId="26" xfId="0" applyFill="1" applyBorder="1"/>
    <xf numFmtId="0" fontId="0" fillId="8" borderId="3" xfId="0" applyFill="1" applyBorder="1"/>
    <xf numFmtId="0" fontId="0" fillId="0" borderId="24" xfId="0" applyBorder="1"/>
    <xf numFmtId="49" fontId="28" fillId="16" borderId="16" xfId="0" applyNumberFormat="1" applyFont="1" applyFill="1" applyBorder="1" applyAlignment="1">
      <alignment vertical="center" wrapText="1"/>
    </xf>
    <xf numFmtId="0" fontId="28" fillId="16" borderId="1" xfId="0" applyFont="1" applyFill="1" applyBorder="1" applyAlignment="1">
      <alignment vertical="center" wrapText="1"/>
    </xf>
    <xf numFmtId="49" fontId="28" fillId="16" borderId="72" xfId="0" applyNumberFormat="1" applyFont="1" applyFill="1" applyBorder="1" applyAlignment="1">
      <alignment vertical="center" wrapText="1"/>
    </xf>
    <xf numFmtId="0" fontId="28" fillId="16" borderId="12" xfId="0" applyFont="1" applyFill="1" applyBorder="1" applyAlignment="1">
      <alignment vertical="center" wrapText="1"/>
    </xf>
    <xf numFmtId="49" fontId="29" fillId="0" borderId="73" xfId="0" applyNumberFormat="1" applyFont="1" applyBorder="1" applyProtection="1">
      <protection hidden="1"/>
    </xf>
    <xf numFmtId="0" fontId="29" fillId="0" borderId="74" xfId="0" applyFont="1" applyBorder="1" applyProtection="1">
      <protection hidden="1"/>
    </xf>
    <xf numFmtId="0" fontId="29" fillId="0" borderId="74" xfId="0" applyFont="1" applyBorder="1" applyProtection="1">
      <protection locked="0"/>
    </xf>
    <xf numFmtId="0" fontId="29" fillId="0" borderId="75" xfId="0" applyFont="1" applyBorder="1" applyProtection="1">
      <protection hidden="1"/>
    </xf>
    <xf numFmtId="49" fontId="29" fillId="0" borderId="16" xfId="0" applyNumberFormat="1" applyFont="1" applyBorder="1" applyProtection="1">
      <protection hidden="1"/>
    </xf>
    <xf numFmtId="0" fontId="29" fillId="0" borderId="1" xfId="0" applyFont="1" applyBorder="1" applyProtection="1">
      <protection hidden="1"/>
    </xf>
    <xf numFmtId="0" fontId="29" fillId="0" borderId="1" xfId="0" applyFont="1" applyBorder="1" applyProtection="1">
      <protection locked="0"/>
    </xf>
    <xf numFmtId="0" fontId="29" fillId="0" borderId="17" xfId="0" applyFont="1" applyBorder="1" applyProtection="1">
      <protection hidden="1"/>
    </xf>
    <xf numFmtId="0" fontId="0" fillId="0" borderId="1" xfId="0" applyBorder="1"/>
    <xf numFmtId="49" fontId="29" fillId="0" borderId="1" xfId="0" applyNumberFormat="1" applyFont="1" applyBorder="1" applyProtection="1">
      <protection hidden="1"/>
    </xf>
    <xf numFmtId="49" fontId="29" fillId="0" borderId="1" xfId="0" applyNumberFormat="1" applyFont="1" applyBorder="1" applyAlignment="1" applyProtection="1">
      <alignment wrapText="1"/>
      <protection hidden="1"/>
    </xf>
    <xf numFmtId="49" fontId="29" fillId="0" borderId="72" xfId="0" applyNumberFormat="1" applyFont="1" applyBorder="1" applyProtection="1">
      <protection hidden="1"/>
    </xf>
    <xf numFmtId="49" fontId="29" fillId="0" borderId="12" xfId="0" applyNumberFormat="1" applyFont="1" applyBorder="1" applyProtection="1">
      <protection hidden="1"/>
    </xf>
    <xf numFmtId="0" fontId="29" fillId="0" borderId="12" xfId="0" applyFont="1" applyBorder="1" applyProtection="1">
      <protection hidden="1"/>
    </xf>
    <xf numFmtId="0" fontId="29" fillId="0" borderId="12" xfId="0" applyFont="1" applyBorder="1" applyProtection="1">
      <protection locked="0"/>
    </xf>
    <xf numFmtId="0" fontId="29" fillId="0" borderId="76" xfId="0" applyFont="1" applyBorder="1" applyProtection="1">
      <protection hidden="1"/>
    </xf>
    <xf numFmtId="0" fontId="0" fillId="17" borderId="0" xfId="0" applyFill="1"/>
    <xf numFmtId="0" fontId="0" fillId="9" borderId="0" xfId="0" applyFill="1"/>
    <xf numFmtId="167" fontId="0" fillId="0" borderId="0" xfId="0" applyNumberFormat="1"/>
    <xf numFmtId="168" fontId="0" fillId="0" borderId="0" xfId="0" applyNumberFormat="1"/>
    <xf numFmtId="0" fontId="30" fillId="0" borderId="0" xfId="0" applyFont="1"/>
    <xf numFmtId="0" fontId="0" fillId="0" borderId="0" xfId="0" applyAlignment="1">
      <alignment vertical="top" wrapText="1"/>
    </xf>
    <xf numFmtId="0" fontId="4" fillId="0" borderId="0" xfId="0" applyFont="1" applyAlignment="1">
      <alignment wrapText="1"/>
    </xf>
    <xf numFmtId="0" fontId="4" fillId="0" borderId="0" xfId="0" applyFont="1" applyAlignment="1">
      <alignment vertical="top" wrapText="1"/>
    </xf>
    <xf numFmtId="0" fontId="30" fillId="0" borderId="2" xfId="0" applyFont="1" applyBorder="1"/>
    <xf numFmtId="0" fontId="30" fillId="0" borderId="3" xfId="0" applyFont="1" applyBorder="1"/>
    <xf numFmtId="0" fontId="4" fillId="0" borderId="3" xfId="0" applyFont="1" applyBorder="1"/>
    <xf numFmtId="0" fontId="0" fillId="0" borderId="3" xfId="0" applyBorder="1" applyAlignment="1">
      <alignment vertical="top" wrapText="1"/>
    </xf>
    <xf numFmtId="0" fontId="0" fillId="0" borderId="4" xfId="0" applyBorder="1" applyAlignment="1">
      <alignment vertical="top" wrapText="1"/>
    </xf>
    <xf numFmtId="0" fontId="30" fillId="0" borderId="5" xfId="0" applyFont="1" applyBorder="1"/>
    <xf numFmtId="0" fontId="32" fillId="4" borderId="5" xfId="0" applyFont="1" applyFill="1" applyBorder="1" applyAlignment="1">
      <alignment horizontal="right" vertical="center"/>
    </xf>
    <xf numFmtId="0" fontId="32" fillId="2" borderId="5" xfId="0" applyFont="1" applyFill="1" applyBorder="1" applyAlignment="1">
      <alignment horizontal="right" vertical="center"/>
    </xf>
    <xf numFmtId="0" fontId="32" fillId="8" borderId="5" xfId="0" applyFont="1" applyFill="1" applyBorder="1" applyAlignment="1">
      <alignment horizontal="right"/>
    </xf>
    <xf numFmtId="0" fontId="32" fillId="2" borderId="5" xfId="0" applyFont="1" applyFill="1" applyBorder="1" applyAlignment="1">
      <alignment horizontal="right"/>
    </xf>
    <xf numFmtId="0" fontId="0" fillId="5" borderId="43" xfId="0" applyFill="1" applyBorder="1"/>
    <xf numFmtId="0" fontId="0" fillId="2" borderId="51" xfId="0" applyFill="1" applyBorder="1" applyAlignment="1" applyProtection="1">
      <alignment horizontal="right" vertical="center"/>
      <protection locked="0"/>
    </xf>
    <xf numFmtId="0" fontId="4" fillId="0" borderId="22" xfId="0" applyFont="1" applyBorder="1" applyAlignment="1">
      <alignment horizontal="center"/>
    </xf>
    <xf numFmtId="0" fontId="4" fillId="0" borderId="78" xfId="0" applyFont="1" applyBorder="1" applyAlignment="1">
      <alignment horizontal="center"/>
    </xf>
    <xf numFmtId="0" fontId="4" fillId="0" borderId="2" xfId="0" applyFont="1" applyBorder="1"/>
    <xf numFmtId="0" fontId="0" fillId="0" borderId="4" xfId="0" applyBorder="1"/>
    <xf numFmtId="0" fontId="33" fillId="0" borderId="7" xfId="0" applyFont="1" applyBorder="1"/>
    <xf numFmtId="0" fontId="0" fillId="0" borderId="79" xfId="0" applyBorder="1"/>
    <xf numFmtId="0" fontId="0" fillId="0" borderId="2" xfId="0" applyBorder="1"/>
    <xf numFmtId="0" fontId="0" fillId="0" borderId="9" xfId="0" applyBorder="1" applyAlignment="1">
      <alignment horizontal="left" vertical="center"/>
    </xf>
    <xf numFmtId="0" fontId="0" fillId="0" borderId="8" xfId="0" applyBorder="1" applyAlignment="1">
      <alignment horizontal="right" vertical="center"/>
    </xf>
    <xf numFmtId="0" fontId="4" fillId="0" borderId="82" xfId="0" applyFont="1" applyBorder="1"/>
    <xf numFmtId="0" fontId="0" fillId="0" borderId="83" xfId="0" applyBorder="1" applyAlignment="1">
      <alignment horizontal="right"/>
    </xf>
    <xf numFmtId="0" fontId="0" fillId="0" borderId="84" xfId="0" applyBorder="1"/>
    <xf numFmtId="0" fontId="5" fillId="3" borderId="42" xfId="0" applyFont="1" applyFill="1" applyBorder="1"/>
    <xf numFmtId="0" fontId="3" fillId="3" borderId="43" xfId="0" applyFont="1" applyFill="1" applyBorder="1" applyAlignment="1">
      <alignment horizontal="right"/>
    </xf>
    <xf numFmtId="0" fontId="3" fillId="3" borderId="0" xfId="0" applyFont="1" applyFill="1" applyAlignment="1">
      <alignment horizontal="center" wrapText="1"/>
    </xf>
    <xf numFmtId="0" fontId="3" fillId="3" borderId="0" xfId="0" applyFont="1" applyFill="1" applyAlignment="1">
      <alignment horizontal="center"/>
    </xf>
    <xf numFmtId="0" fontId="9" fillId="4" borderId="3" xfId="0" applyFont="1" applyFill="1" applyBorder="1"/>
    <xf numFmtId="0" fontId="9" fillId="4" borderId="0" xfId="0" applyFont="1" applyFill="1"/>
    <xf numFmtId="2" fontId="9" fillId="4" borderId="0" xfId="0" applyNumberFormat="1" applyFont="1" applyFill="1"/>
    <xf numFmtId="2" fontId="9" fillId="4" borderId="0" xfId="0" quotePrefix="1" applyNumberFormat="1" applyFont="1" applyFill="1"/>
    <xf numFmtId="0" fontId="0" fillId="0" borderId="0" xfId="0" quotePrefix="1"/>
    <xf numFmtId="0" fontId="10" fillId="4" borderId="0" xfId="0" applyFont="1" applyFill="1" applyAlignment="1">
      <alignment vertical="center" wrapText="1"/>
    </xf>
    <xf numFmtId="0" fontId="3" fillId="3" borderId="0" xfId="0" applyFont="1" applyFill="1" applyAlignment="1">
      <alignment wrapText="1"/>
    </xf>
    <xf numFmtId="0" fontId="10" fillId="0" borderId="0" xfId="0" applyFont="1" applyAlignment="1">
      <alignment horizontal="center"/>
    </xf>
    <xf numFmtId="0" fontId="4" fillId="0" borderId="5" xfId="0" applyFont="1" applyBorder="1" applyAlignment="1">
      <alignment horizontal="left" vertical="center"/>
    </xf>
    <xf numFmtId="0" fontId="4" fillId="0" borderId="5" xfId="0" applyFont="1" applyBorder="1" applyAlignment="1">
      <alignment horizontal="right" vertical="center"/>
    </xf>
    <xf numFmtId="0" fontId="4" fillId="0" borderId="25" xfId="0" applyFont="1" applyBorder="1" applyAlignment="1">
      <alignment horizontal="center"/>
    </xf>
    <xf numFmtId="0" fontId="0" fillId="0" borderId="3" xfId="0" applyBorder="1" applyAlignment="1" applyProtection="1">
      <alignment horizontal="right"/>
      <protection locked="0"/>
    </xf>
    <xf numFmtId="0" fontId="0" fillId="0" borderId="4" xfId="0" applyBorder="1" applyProtection="1">
      <protection locked="0"/>
    </xf>
    <xf numFmtId="0" fontId="0" fillId="0" borderId="0" xfId="0" applyAlignment="1" applyProtection="1">
      <alignment horizontal="right"/>
      <protection locked="0"/>
    </xf>
    <xf numFmtId="0" fontId="9" fillId="13" borderId="85" xfId="0" applyFont="1" applyFill="1" applyBorder="1"/>
    <xf numFmtId="0" fontId="0" fillId="6" borderId="85" xfId="0" applyFill="1" applyBorder="1"/>
    <xf numFmtId="0" fontId="0" fillId="19" borderId="31" xfId="0" applyFill="1" applyBorder="1"/>
    <xf numFmtId="0" fontId="0" fillId="0" borderId="0" xfId="0" applyAlignment="1">
      <alignment horizontal="right"/>
    </xf>
    <xf numFmtId="0" fontId="3" fillId="3" borderId="1" xfId="0" applyFont="1" applyFill="1" applyBorder="1" applyAlignment="1">
      <alignment horizontal="center" vertical="center" wrapText="1"/>
    </xf>
    <xf numFmtId="0" fontId="5" fillId="4" borderId="0" xfId="0" applyFont="1" applyFill="1"/>
    <xf numFmtId="2" fontId="0" fillId="4" borderId="0" xfId="0" applyNumberFormat="1" applyFill="1"/>
    <xf numFmtId="0" fontId="4" fillId="4" borderId="0" xfId="0" applyFont="1" applyFill="1" applyAlignment="1">
      <alignment horizontal="right"/>
    </xf>
    <xf numFmtId="0" fontId="25" fillId="5" borderId="5" xfId="0" applyFont="1" applyFill="1" applyBorder="1" applyAlignment="1">
      <alignment horizontal="center" vertical="center"/>
    </xf>
    <xf numFmtId="0" fontId="0" fillId="0" borderId="9" xfId="0" applyBorder="1" applyAlignment="1">
      <alignment horizontal="left"/>
    </xf>
    <xf numFmtId="0" fontId="0" fillId="0" borderId="1" xfId="0" applyBorder="1" applyAlignment="1" applyProtection="1">
      <alignment horizontal="right" vertical="center"/>
      <protection locked="0"/>
    </xf>
    <xf numFmtId="0" fontId="0" fillId="0" borderId="12" xfId="0" applyBorder="1" applyAlignment="1" applyProtection="1">
      <alignment horizontal="right" vertical="center"/>
      <protection locked="0"/>
    </xf>
    <xf numFmtId="0" fontId="0" fillId="0" borderId="86" xfId="0" applyBorder="1" applyAlignment="1" applyProtection="1">
      <alignment horizontal="center" vertical="center"/>
      <protection locked="0"/>
    </xf>
    <xf numFmtId="0" fontId="0" fillId="12" borderId="43" xfId="0" applyFill="1" applyBorder="1" applyAlignment="1">
      <alignment vertical="center" wrapText="1"/>
    </xf>
    <xf numFmtId="0" fontId="0" fillId="8" borderId="7" xfId="0" applyFill="1" applyBorder="1"/>
    <xf numFmtId="0" fontId="0" fillId="8" borderId="8" xfId="0" applyFill="1" applyBorder="1"/>
    <xf numFmtId="0" fontId="0" fillId="8" borderId="9" xfId="0" applyFill="1" applyBorder="1"/>
    <xf numFmtId="0" fontId="0" fillId="0" borderId="5" xfId="0" applyBorder="1" applyAlignment="1">
      <alignment vertical="top"/>
    </xf>
    <xf numFmtId="0" fontId="4" fillId="0" borderId="5" xfId="0" applyFont="1" applyBorder="1" applyAlignment="1">
      <alignment vertical="top"/>
    </xf>
    <xf numFmtId="0" fontId="0" fillId="10" borderId="0" xfId="0" applyFill="1"/>
    <xf numFmtId="0" fontId="0" fillId="10" borderId="48" xfId="0" applyFill="1" applyBorder="1"/>
    <xf numFmtId="0" fontId="4" fillId="0" borderId="0" xfId="0" applyFont="1" applyAlignment="1">
      <alignment vertical="center"/>
    </xf>
    <xf numFmtId="0" fontId="0" fillId="0" borderId="25" xfId="0" applyBorder="1" applyAlignment="1">
      <alignment horizontal="left" vertical="center" wrapText="1"/>
    </xf>
    <xf numFmtId="0" fontId="0" fillId="0" borderId="26" xfId="0" applyBorder="1" applyAlignment="1">
      <alignment horizontal="left" vertical="center" wrapText="1"/>
    </xf>
    <xf numFmtId="0" fontId="3" fillId="3" borderId="11" xfId="0" applyFont="1" applyFill="1" applyBorder="1" applyAlignment="1">
      <alignment horizontal="center"/>
    </xf>
    <xf numFmtId="0" fontId="3" fillId="3" borderId="88" xfId="0" applyFont="1" applyFill="1" applyBorder="1" applyAlignment="1">
      <alignment horizontal="center"/>
    </xf>
    <xf numFmtId="166" fontId="0" fillId="0" borderId="73" xfId="0" applyNumberFormat="1" applyBorder="1" applyAlignment="1">
      <alignment horizontal="right"/>
    </xf>
    <xf numFmtId="166" fontId="0" fillId="0" borderId="89" xfId="0" applyNumberFormat="1" applyBorder="1"/>
    <xf numFmtId="166" fontId="0" fillId="0" borderId="16" xfId="0" applyNumberFormat="1" applyBorder="1" applyAlignment="1">
      <alignment horizontal="right"/>
    </xf>
    <xf numFmtId="166" fontId="0" fillId="0" borderId="17" xfId="0" applyNumberFormat="1" applyBorder="1"/>
    <xf numFmtId="166" fontId="0" fillId="0" borderId="72" xfId="0" applyNumberFormat="1" applyBorder="1" applyAlignment="1">
      <alignment horizontal="right"/>
    </xf>
    <xf numFmtId="166" fontId="0" fillId="0" borderId="76" xfId="0" applyNumberFormat="1" applyBorder="1"/>
    <xf numFmtId="0" fontId="0" fillId="0" borderId="0" xfId="0" applyAlignment="1">
      <alignment horizontal="left" vertical="top" wrapText="1"/>
    </xf>
    <xf numFmtId="0" fontId="35" fillId="0" borderId="0" xfId="0" applyFont="1" applyAlignment="1">
      <alignment vertical="center" wrapText="1"/>
    </xf>
    <xf numFmtId="0" fontId="0" fillId="0" borderId="8" xfId="0" applyBorder="1" applyAlignment="1">
      <alignment horizontal="center"/>
    </xf>
    <xf numFmtId="0" fontId="7" fillId="0" borderId="0" xfId="0" applyFont="1" applyAlignment="1">
      <alignment horizontal="center" wrapText="1"/>
    </xf>
    <xf numFmtId="0" fontId="6" fillId="0" borderId="0" xfId="0" applyFont="1" applyAlignment="1" applyProtection="1">
      <alignment horizontal="center"/>
      <protection locked="0"/>
    </xf>
    <xf numFmtId="0" fontId="3" fillId="0" borderId="8" xfId="0" applyFont="1" applyBorder="1" applyAlignment="1">
      <alignment horizontal="center" vertical="center"/>
    </xf>
    <xf numFmtId="0" fontId="4" fillId="0" borderId="52" xfId="0" applyFont="1" applyBorder="1" applyAlignment="1">
      <alignment horizontal="right"/>
    </xf>
    <xf numFmtId="0" fontId="0" fillId="0" borderId="90" xfId="0" applyBorder="1"/>
    <xf numFmtId="0" fontId="37" fillId="0" borderId="0" xfId="0" applyFont="1" applyAlignment="1">
      <alignment horizontal="right"/>
    </xf>
    <xf numFmtId="0" fontId="34" fillId="5" borderId="5" xfId="0" applyFont="1" applyFill="1" applyBorder="1" applyAlignment="1">
      <alignment horizontal="center" vertical="center"/>
    </xf>
    <xf numFmtId="0" fontId="0" fillId="20" borderId="0" xfId="0" applyFill="1"/>
    <xf numFmtId="0" fontId="4" fillId="0" borderId="6" xfId="0" applyFont="1" applyBorder="1" applyAlignment="1">
      <alignment horizontal="center"/>
    </xf>
    <xf numFmtId="0" fontId="6" fillId="0" borderId="5" xfId="0" applyFont="1" applyBorder="1"/>
    <xf numFmtId="0" fontId="25" fillId="0" borderId="5" xfId="0" applyFont="1" applyBorder="1"/>
    <xf numFmtId="0" fontId="6" fillId="0" borderId="5" xfId="0" applyFont="1" applyBorder="1" applyAlignment="1">
      <alignment vertical="center"/>
    </xf>
    <xf numFmtId="0" fontId="6" fillId="0" borderId="7" xfId="0" applyFont="1" applyBorder="1" applyAlignment="1">
      <alignment vertical="center" wrapText="1"/>
    </xf>
    <xf numFmtId="166" fontId="0" fillId="20" borderId="0" xfId="0" applyNumberFormat="1" applyFill="1"/>
    <xf numFmtId="0" fontId="0" fillId="21" borderId="0" xfId="0" applyFill="1"/>
    <xf numFmtId="166" fontId="0" fillId="21" borderId="0" xfId="0" applyNumberFormat="1" applyFill="1"/>
    <xf numFmtId="2" fontId="0" fillId="21" borderId="0" xfId="0" applyNumberFormat="1" applyFill="1"/>
    <xf numFmtId="2" fontId="9" fillId="4" borderId="3" xfId="0" applyNumberFormat="1" applyFont="1" applyFill="1" applyBorder="1"/>
    <xf numFmtId="0" fontId="6" fillId="0" borderId="0" xfId="0" applyFont="1"/>
    <xf numFmtId="166" fontId="0" fillId="2" borderId="17" xfId="0" applyNumberFormat="1" applyFill="1" applyBorder="1"/>
    <xf numFmtId="166" fontId="0" fillId="2" borderId="76" xfId="0" applyNumberFormat="1" applyFill="1" applyBorder="1"/>
    <xf numFmtId="0" fontId="5" fillId="0" borderId="5" xfId="0" applyFont="1" applyBorder="1"/>
    <xf numFmtId="0" fontId="5" fillId="0" borderId="0" xfId="0" applyFont="1"/>
    <xf numFmtId="2" fontId="9" fillId="0" borderId="19" xfId="0" applyNumberFormat="1" applyFont="1" applyBorder="1" applyAlignment="1">
      <alignment horizontal="center"/>
    </xf>
    <xf numFmtId="166" fontId="0" fillId="0" borderId="0" xfId="0" applyNumberFormat="1" applyAlignment="1">
      <alignment horizontal="right"/>
    </xf>
    <xf numFmtId="0" fontId="4" fillId="0" borderId="5" xfId="0" applyFont="1" applyBorder="1" applyAlignment="1">
      <alignment vertical="center"/>
    </xf>
    <xf numFmtId="0" fontId="9" fillId="0" borderId="0" xfId="0" applyFont="1" applyAlignment="1">
      <alignment horizontal="left"/>
    </xf>
    <xf numFmtId="0" fontId="9" fillId="0" borderId="0" xfId="0" applyFont="1"/>
    <xf numFmtId="49" fontId="0" fillId="0" borderId="6" xfId="0" applyNumberFormat="1" applyBorder="1" applyAlignment="1">
      <alignment horizontal="left"/>
    </xf>
    <xf numFmtId="169" fontId="0" fillId="0" borderId="6" xfId="0" applyNumberFormat="1" applyBorder="1" applyAlignment="1">
      <alignment horizontal="left"/>
    </xf>
    <xf numFmtId="0" fontId="38" fillId="0" borderId="5" xfId="0" applyFont="1" applyBorder="1"/>
    <xf numFmtId="0" fontId="39" fillId="0" borderId="6" xfId="2" applyFont="1" applyBorder="1" applyAlignment="1">
      <alignment horizontal="left"/>
    </xf>
    <xf numFmtId="0" fontId="1" fillId="0" borderId="6" xfId="0" applyFont="1" applyBorder="1" applyAlignment="1">
      <alignment horizontal="left"/>
    </xf>
    <xf numFmtId="0" fontId="0" fillId="0" borderId="92" xfId="0" applyBorder="1" applyAlignment="1" applyProtection="1">
      <alignment horizontal="right"/>
      <protection locked="0"/>
    </xf>
    <xf numFmtId="0" fontId="0" fillId="0" borderId="1" xfId="0" applyBorder="1" applyAlignment="1" applyProtection="1">
      <alignment horizontal="right"/>
      <protection locked="0"/>
    </xf>
    <xf numFmtId="0" fontId="0" fillId="0" borderId="93" xfId="0" applyBorder="1" applyAlignment="1" applyProtection="1">
      <alignment horizontal="right"/>
      <protection locked="0"/>
    </xf>
    <xf numFmtId="0" fontId="0" fillId="22" borderId="0" xfId="0" applyFill="1"/>
    <xf numFmtId="0" fontId="5" fillId="3" borderId="0" xfId="0" applyFont="1" applyFill="1"/>
    <xf numFmtId="165" fontId="0" fillId="0" borderId="71" xfId="0" applyNumberFormat="1" applyBorder="1" applyAlignment="1">
      <alignment horizontal="right"/>
    </xf>
    <xf numFmtId="165" fontId="0" fillId="0" borderId="19" xfId="0" applyNumberFormat="1" applyBorder="1"/>
    <xf numFmtId="165" fontId="5" fillId="0" borderId="19" xfId="1" applyNumberFormat="1" applyFont="1" applyFill="1" applyBorder="1" applyProtection="1"/>
    <xf numFmtId="165" fontId="0" fillId="0" borderId="25" xfId="0" applyNumberFormat="1" applyBorder="1"/>
    <xf numFmtId="165" fontId="0" fillId="0" borderId="6" xfId="0" applyNumberFormat="1" applyBorder="1"/>
    <xf numFmtId="165" fontId="5" fillId="0" borderId="77" xfId="1" applyNumberFormat="1" applyFont="1" applyFill="1" applyBorder="1" applyProtection="1"/>
    <xf numFmtId="165" fontId="0" fillId="0" borderId="77" xfId="0" applyNumberFormat="1" applyBorder="1"/>
    <xf numFmtId="0" fontId="4"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5" fillId="3" borderId="0" xfId="0" applyFont="1" applyFill="1" applyAlignment="1">
      <alignment horizontal="left"/>
    </xf>
    <xf numFmtId="0" fontId="2" fillId="0" borderId="0" xfId="0" applyFont="1" applyAlignment="1">
      <alignment horizontal="left" wrapText="1"/>
    </xf>
    <xf numFmtId="0" fontId="2" fillId="0" borderId="0" xfId="0" applyFont="1" applyAlignment="1">
      <alignment horizontal="left"/>
    </xf>
    <xf numFmtId="0" fontId="4" fillId="0" borderId="0" xfId="0" applyFont="1" applyAlignment="1">
      <alignment horizontal="left"/>
    </xf>
    <xf numFmtId="0" fontId="41" fillId="0" borderId="0" xfId="0" applyFont="1" applyAlignment="1">
      <alignment horizontal="left"/>
    </xf>
    <xf numFmtId="0" fontId="30" fillId="0" borderId="0" xfId="0" applyFont="1" applyAlignment="1">
      <alignment vertical="top"/>
    </xf>
    <xf numFmtId="0" fontId="0" fillId="0" borderId="0" xfId="0" applyAlignment="1">
      <alignment horizontal="left" vertical="center" wrapText="1"/>
    </xf>
    <xf numFmtId="0" fontId="0" fillId="6" borderId="0" xfId="0" applyFill="1"/>
    <xf numFmtId="0" fontId="0" fillId="5" borderId="18" xfId="0" applyFill="1" applyBorder="1"/>
    <xf numFmtId="0" fontId="0" fillId="6" borderId="18" xfId="0" applyFill="1" applyBorder="1"/>
    <xf numFmtId="0" fontId="5" fillId="3" borderId="0" xfId="0" applyFont="1" applyFill="1" applyAlignment="1">
      <alignment horizontal="center"/>
    </xf>
    <xf numFmtId="166" fontId="0" fillId="0" borderId="8" xfId="0" applyNumberFormat="1" applyBorder="1" applyAlignment="1">
      <alignment horizontal="center" vertical="center"/>
    </xf>
    <xf numFmtId="166" fontId="0" fillId="0" borderId="9" xfId="0" applyNumberFormat="1" applyBorder="1" applyAlignment="1">
      <alignment horizontal="center" vertical="center"/>
    </xf>
    <xf numFmtId="0" fontId="0" fillId="18" borderId="85" xfId="0" applyFill="1" applyBorder="1"/>
    <xf numFmtId="0" fontId="0" fillId="0" borderId="65" xfId="0" applyBorder="1"/>
    <xf numFmtId="0" fontId="0" fillId="0" borderId="95" xfId="0" applyBorder="1" applyAlignment="1">
      <alignment horizontal="center" vertical="center"/>
    </xf>
    <xf numFmtId="0" fontId="0" fillId="17" borderId="72" xfId="0" applyFill="1" applyBorder="1"/>
    <xf numFmtId="0" fontId="0" fillId="0" borderId="87" xfId="0" applyBorder="1" applyAlignment="1" applyProtection="1">
      <alignment horizontal="center"/>
      <protection locked="0"/>
    </xf>
    <xf numFmtId="0" fontId="25" fillId="0" borderId="67" xfId="0" applyFont="1" applyBorder="1" applyAlignment="1">
      <alignment horizontal="center"/>
    </xf>
    <xf numFmtId="0" fontId="25" fillId="0" borderId="70" xfId="0" applyFont="1" applyBorder="1" applyAlignment="1">
      <alignment horizontal="center"/>
    </xf>
    <xf numFmtId="0" fontId="25" fillId="0" borderId="68" xfId="0" applyFont="1" applyBorder="1" applyAlignment="1">
      <alignment horizontal="center"/>
    </xf>
    <xf numFmtId="0" fontId="24" fillId="0" borderId="5" xfId="2" applyBorder="1" applyAlignment="1">
      <alignment horizontal="center"/>
    </xf>
    <xf numFmtId="0" fontId="24" fillId="0" borderId="0" xfId="2" applyBorder="1" applyAlignment="1">
      <alignment horizontal="center"/>
    </xf>
    <xf numFmtId="0" fontId="24" fillId="0" borderId="6" xfId="2" applyBorder="1" applyAlignment="1">
      <alignment horizontal="center"/>
    </xf>
    <xf numFmtId="0" fontId="22" fillId="0" borderId="5" xfId="0" applyFont="1" applyBorder="1" applyAlignment="1">
      <alignment horizontal="center"/>
    </xf>
    <xf numFmtId="0" fontId="22" fillId="0" borderId="0" xfId="0" applyFont="1" applyAlignment="1">
      <alignment horizontal="center"/>
    </xf>
    <xf numFmtId="0" fontId="22" fillId="0" borderId="6" xfId="0" applyFont="1"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6" xfId="0" applyBorder="1" applyAlignment="1">
      <alignment horizontal="center"/>
    </xf>
    <xf numFmtId="0" fontId="0" fillId="14" borderId="5" xfId="0" applyFill="1" applyBorder="1" applyAlignment="1">
      <alignment horizontal="left"/>
    </xf>
    <xf numFmtId="0" fontId="0" fillId="14" borderId="0" xfId="0" applyFill="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24" fillId="0" borderId="7" xfId="2" applyBorder="1" applyAlignment="1">
      <alignment horizontal="center"/>
    </xf>
    <xf numFmtId="0" fontId="24" fillId="0" borderId="8" xfId="2" applyBorder="1" applyAlignment="1">
      <alignment horizontal="center"/>
    </xf>
    <xf numFmtId="0" fontId="24" fillId="0" borderId="9" xfId="2" applyBorder="1" applyAlignment="1">
      <alignment horizontal="center"/>
    </xf>
    <xf numFmtId="0" fontId="3" fillId="3" borderId="13" xfId="0" applyFont="1" applyFill="1" applyBorder="1" applyAlignment="1">
      <alignment horizontal="center"/>
    </xf>
    <xf numFmtId="0" fontId="3" fillId="3" borderId="14" xfId="0" applyFont="1" applyFill="1" applyBorder="1" applyAlignment="1">
      <alignment horizontal="center"/>
    </xf>
    <xf numFmtId="0" fontId="3" fillId="3" borderId="15" xfId="0" applyFont="1" applyFill="1" applyBorder="1" applyAlignment="1">
      <alignment horizontal="center"/>
    </xf>
    <xf numFmtId="0" fontId="3" fillId="3" borderId="53" xfId="0" applyFont="1" applyFill="1" applyBorder="1" applyAlignment="1">
      <alignment horizontal="center"/>
    </xf>
    <xf numFmtId="0" fontId="3" fillId="3" borderId="54" xfId="0" applyFont="1" applyFill="1" applyBorder="1" applyAlignment="1">
      <alignment horizontal="center"/>
    </xf>
    <xf numFmtId="0" fontId="21" fillId="3" borderId="2" xfId="0" applyFont="1" applyFill="1" applyBorder="1" applyAlignment="1">
      <alignment horizontal="center"/>
    </xf>
    <xf numFmtId="0" fontId="21" fillId="3" borderId="4" xfId="0" applyFont="1" applyFill="1" applyBorder="1" applyAlignment="1">
      <alignment horizontal="center"/>
    </xf>
    <xf numFmtId="0" fontId="21" fillId="3" borderId="52" xfId="0" applyFont="1" applyFill="1" applyBorder="1" applyAlignment="1">
      <alignment horizontal="center"/>
    </xf>
    <xf numFmtId="0" fontId="21" fillId="3" borderId="26" xfId="0" applyFont="1" applyFill="1" applyBorder="1" applyAlignment="1">
      <alignment horizontal="center"/>
    </xf>
    <xf numFmtId="0" fontId="1" fillId="0" borderId="23" xfId="0" applyFont="1" applyBorder="1" applyAlignment="1">
      <alignment horizontal="left" vertical="top" wrapText="1"/>
    </xf>
    <xf numFmtId="0" fontId="1" fillId="0" borderId="25"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25" fillId="0" borderId="31" xfId="0" applyFont="1" applyBorder="1" applyAlignment="1">
      <alignment horizontal="center" vertical="center" wrapText="1"/>
    </xf>
    <xf numFmtId="0" fontId="25" fillId="0" borderId="69" xfId="0" applyFont="1" applyBorder="1" applyAlignment="1">
      <alignment horizontal="center" vertical="center" wrapText="1"/>
    </xf>
    <xf numFmtId="0" fontId="6" fillId="15" borderId="64" xfId="0" applyFont="1" applyFill="1" applyBorder="1" applyAlignment="1">
      <alignment horizontal="center" wrapText="1"/>
    </xf>
    <xf numFmtId="0" fontId="25" fillId="15" borderId="24" xfId="0" applyFont="1" applyFill="1" applyBorder="1" applyAlignment="1">
      <alignment horizontal="center" wrapText="1"/>
    </xf>
    <xf numFmtId="0" fontId="25" fillId="15" borderId="71" xfId="0" applyFont="1" applyFill="1" applyBorder="1" applyAlignment="1">
      <alignment horizontal="center" wrapText="1"/>
    </xf>
    <xf numFmtId="0" fontId="26" fillId="15" borderId="64" xfId="0" applyFont="1" applyFill="1" applyBorder="1" applyAlignment="1">
      <alignment horizontal="center" wrapText="1"/>
    </xf>
    <xf numFmtId="0" fontId="25" fillId="15" borderId="65" xfId="0" applyFont="1" applyFill="1" applyBorder="1" applyAlignment="1">
      <alignment horizontal="center" vertical="top" wrapText="1"/>
    </xf>
    <xf numFmtId="0" fontId="25" fillId="15" borderId="0" xfId="0" applyFont="1" applyFill="1" applyAlignment="1">
      <alignment horizontal="center" vertical="top"/>
    </xf>
    <xf numFmtId="0" fontId="25" fillId="15" borderId="19" xfId="0" applyFont="1" applyFill="1" applyBorder="1" applyAlignment="1">
      <alignment horizontal="center" vertical="top"/>
    </xf>
    <xf numFmtId="0" fontId="25" fillId="15" borderId="55" xfId="0" applyFont="1" applyFill="1" applyBorder="1" applyAlignment="1">
      <alignment horizontal="center" vertical="top"/>
    </xf>
    <xf numFmtId="0" fontId="25" fillId="15" borderId="21" xfId="0" applyFont="1" applyFill="1" applyBorder="1" applyAlignment="1">
      <alignment horizontal="center" vertical="top"/>
    </xf>
    <xf numFmtId="0" fontId="25" fillId="15" borderId="22" xfId="0" applyFont="1" applyFill="1" applyBorder="1" applyAlignment="1">
      <alignment horizontal="center" vertical="top"/>
    </xf>
    <xf numFmtId="0" fontId="3" fillId="3" borderId="13" xfId="0" applyFont="1" applyFill="1" applyBorder="1" applyAlignment="1">
      <alignment horizontal="left"/>
    </xf>
    <xf numFmtId="0" fontId="3" fillId="3" borderId="14" xfId="0" applyFont="1" applyFill="1" applyBorder="1" applyAlignment="1">
      <alignment horizontal="left"/>
    </xf>
    <xf numFmtId="0" fontId="4" fillId="0" borderId="5" xfId="0" applyFont="1" applyBorder="1" applyAlignment="1">
      <alignment horizontal="left"/>
    </xf>
    <xf numFmtId="0" fontId="4" fillId="0" borderId="0" xfId="0" applyFont="1" applyAlignment="1">
      <alignment horizontal="left"/>
    </xf>
    <xf numFmtId="0" fontId="25" fillId="0" borderId="64" xfId="0" applyFont="1" applyBorder="1" applyAlignment="1">
      <alignment horizontal="center" wrapText="1"/>
    </xf>
    <xf numFmtId="0" fontId="25" fillId="0" borderId="24" xfId="0" applyFont="1" applyBorder="1" applyAlignment="1">
      <alignment horizontal="center" wrapText="1"/>
    </xf>
    <xf numFmtId="0" fontId="25" fillId="0" borderId="71" xfId="0" applyFont="1" applyBorder="1" applyAlignment="1">
      <alignment horizontal="center" wrapText="1"/>
    </xf>
    <xf numFmtId="0" fontId="25" fillId="0" borderId="65" xfId="0" applyFont="1" applyBorder="1" applyAlignment="1">
      <alignment horizontal="center" wrapText="1"/>
    </xf>
    <xf numFmtId="0" fontId="25" fillId="0" borderId="0" xfId="0" applyFont="1" applyAlignment="1">
      <alignment horizontal="center" wrapText="1"/>
    </xf>
    <xf numFmtId="0" fontId="25" fillId="0" borderId="19" xfId="0" applyFont="1" applyBorder="1" applyAlignment="1">
      <alignment horizontal="center" wrapText="1"/>
    </xf>
    <xf numFmtId="0" fontId="25" fillId="0" borderId="55" xfId="0" applyFont="1" applyBorder="1" applyAlignment="1">
      <alignment horizontal="center" wrapText="1"/>
    </xf>
    <xf numFmtId="0" fontId="25" fillId="0" borderId="21" xfId="0" applyFont="1" applyBorder="1" applyAlignment="1">
      <alignment horizontal="center" wrapText="1"/>
    </xf>
    <xf numFmtId="0" fontId="25" fillId="0" borderId="22" xfId="0" applyFont="1" applyBorder="1" applyAlignment="1">
      <alignment horizontal="center" wrapText="1"/>
    </xf>
    <xf numFmtId="0" fontId="21" fillId="3" borderId="5" xfId="0" applyFont="1" applyFill="1" applyBorder="1" applyAlignment="1">
      <alignment horizontal="center" vertical="center"/>
    </xf>
    <xf numFmtId="0" fontId="21" fillId="3" borderId="0" xfId="0" applyFont="1" applyFill="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15" xfId="0" applyFont="1" applyFill="1" applyBorder="1" applyAlignment="1">
      <alignment horizontal="center" vertical="center"/>
    </xf>
    <xf numFmtId="0" fontId="4" fillId="0" borderId="37" xfId="0" applyFont="1" applyBorder="1" applyAlignment="1" applyProtection="1">
      <alignment horizontal="center" vertical="center"/>
      <protection locked="0"/>
    </xf>
    <xf numFmtId="0" fontId="4" fillId="0" borderId="38" xfId="0" applyFont="1" applyBorder="1" applyAlignment="1" applyProtection="1">
      <alignment horizontal="center" vertical="center"/>
      <protection locked="0"/>
    </xf>
    <xf numFmtId="0" fontId="4" fillId="0" borderId="39" xfId="0" applyFont="1" applyBorder="1" applyAlignment="1" applyProtection="1">
      <alignment horizontal="center" vertical="center"/>
      <protection locked="0"/>
    </xf>
    <xf numFmtId="0" fontId="4" fillId="0" borderId="52" xfId="0" applyFont="1" applyBorder="1" applyAlignment="1">
      <alignment horizontal="left" vertical="center"/>
    </xf>
    <xf numFmtId="0" fontId="4" fillId="0" borderId="21" xfId="0" applyFont="1" applyBorder="1" applyAlignment="1">
      <alignment horizontal="left" vertical="center"/>
    </xf>
    <xf numFmtId="0" fontId="5" fillId="3" borderId="3" xfId="0" applyFont="1" applyFill="1" applyBorder="1" applyAlignment="1">
      <alignment horizontal="center" wrapText="1"/>
    </xf>
    <xf numFmtId="0" fontId="21" fillId="3" borderId="21" xfId="0" applyFont="1" applyFill="1" applyBorder="1" applyAlignment="1">
      <alignment horizontal="center" vertical="top" wrapText="1"/>
    </xf>
    <xf numFmtId="0" fontId="7" fillId="0" borderId="37" xfId="0" applyFont="1" applyBorder="1" applyAlignment="1" applyProtection="1">
      <alignment horizontal="center" vertical="center"/>
      <protection locked="0"/>
    </xf>
    <xf numFmtId="0" fontId="7" fillId="0" borderId="38" xfId="0" applyFont="1" applyBorder="1" applyAlignment="1" applyProtection="1">
      <alignment horizontal="center" vertical="center"/>
      <protection locked="0"/>
    </xf>
    <xf numFmtId="0" fontId="7" fillId="0" borderId="39" xfId="0" applyFont="1" applyBorder="1" applyAlignment="1" applyProtection="1">
      <alignment horizontal="center" vertical="center"/>
      <protection locked="0"/>
    </xf>
    <xf numFmtId="0" fontId="26" fillId="0" borderId="50" xfId="0" applyFont="1" applyBorder="1" applyAlignment="1">
      <alignment horizontal="center" vertical="center"/>
    </xf>
    <xf numFmtId="0" fontId="26" fillId="0" borderId="18" xfId="0" applyFont="1" applyBorder="1" applyAlignment="1">
      <alignment horizontal="center" vertical="center"/>
    </xf>
    <xf numFmtId="0" fontId="26" fillId="0" borderId="20" xfId="0" applyFont="1" applyBorder="1" applyAlignment="1">
      <alignment horizontal="center" vertical="center"/>
    </xf>
    <xf numFmtId="0" fontId="4" fillId="0" borderId="23" xfId="0" applyFont="1" applyBorder="1" applyAlignment="1">
      <alignment horizontal="left"/>
    </xf>
    <xf numFmtId="0" fontId="4" fillId="0" borderId="24" xfId="0" applyFont="1" applyBorder="1" applyAlignment="1">
      <alignment horizontal="left"/>
    </xf>
    <xf numFmtId="0" fontId="25" fillId="0" borderId="31" xfId="0" applyFont="1" applyBorder="1" applyAlignment="1">
      <alignment horizontal="center" vertical="center"/>
    </xf>
    <xf numFmtId="0" fontId="25" fillId="0" borderId="69" xfId="0" applyFont="1" applyBorder="1" applyAlignment="1">
      <alignment horizontal="center" vertic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21" fillId="3" borderId="2" xfId="0" applyFont="1" applyFill="1" applyBorder="1" applyAlignment="1">
      <alignment horizontal="center" vertical="center"/>
    </xf>
    <xf numFmtId="0" fontId="21" fillId="3" borderId="3" xfId="0" applyFont="1" applyFill="1" applyBorder="1" applyAlignment="1">
      <alignment horizontal="center" vertical="center"/>
    </xf>
    <xf numFmtId="0" fontId="21" fillId="3" borderId="4" xfId="0" applyFont="1" applyFill="1" applyBorder="1" applyAlignment="1">
      <alignment horizontal="center" vertical="center"/>
    </xf>
    <xf numFmtId="0" fontId="21" fillId="3" borderId="7" xfId="0" applyFont="1" applyFill="1" applyBorder="1" applyAlignment="1">
      <alignment horizontal="center" vertical="center"/>
    </xf>
    <xf numFmtId="0" fontId="21" fillId="3" borderId="8" xfId="0" applyFont="1" applyFill="1" applyBorder="1" applyAlignment="1">
      <alignment horizontal="center" vertical="center"/>
    </xf>
    <xf numFmtId="0" fontId="21" fillId="3" borderId="9"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8" xfId="0" applyFont="1" applyFill="1" applyBorder="1" applyAlignment="1">
      <alignment horizontal="center" vertical="center"/>
    </xf>
    <xf numFmtId="0" fontId="24" fillId="5" borderId="3" xfId="2" applyFill="1" applyBorder="1" applyAlignment="1">
      <alignment horizontal="center" vertical="center"/>
    </xf>
    <xf numFmtId="0" fontId="0" fillId="5" borderId="3" xfId="0" applyFill="1" applyBorder="1" applyAlignment="1">
      <alignment horizontal="center" vertical="center"/>
    </xf>
    <xf numFmtId="0" fontId="0" fillId="5" borderId="8" xfId="0" applyFill="1" applyBorder="1" applyAlignment="1">
      <alignment horizontal="center" vertical="center"/>
    </xf>
    <xf numFmtId="0" fontId="3" fillId="3" borderId="4" xfId="0" applyFont="1" applyFill="1" applyBorder="1" applyAlignment="1">
      <alignment horizontal="center" wrapText="1"/>
    </xf>
    <xf numFmtId="0" fontId="3" fillId="3" borderId="9" xfId="0" applyFont="1" applyFill="1" applyBorder="1" applyAlignment="1">
      <alignment horizontal="center" wrapText="1"/>
    </xf>
    <xf numFmtId="0" fontId="3" fillId="3" borderId="42" xfId="0" applyFont="1" applyFill="1" applyBorder="1" applyAlignment="1">
      <alignment horizontal="center" vertical="center"/>
    </xf>
    <xf numFmtId="0" fontId="3" fillId="3" borderId="43" xfId="0" applyFont="1" applyFill="1" applyBorder="1" applyAlignment="1">
      <alignment horizontal="center" vertical="center"/>
    </xf>
    <xf numFmtId="0" fontId="0" fillId="0" borderId="0" xfId="0"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80" xfId="0" applyBorder="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4" fillId="5" borderId="2" xfId="0" applyFont="1" applyFill="1" applyBorder="1" applyAlignment="1">
      <alignment horizontal="center"/>
    </xf>
    <xf numFmtId="0" fontId="4" fillId="5" borderId="3" xfId="0" applyFont="1" applyFill="1" applyBorder="1" applyAlignment="1">
      <alignment horizontal="center"/>
    </xf>
    <xf numFmtId="0" fontId="4" fillId="5" borderId="4" xfId="0" applyFont="1" applyFill="1" applyBorder="1" applyAlignment="1">
      <alignment horizontal="center"/>
    </xf>
    <xf numFmtId="0" fontId="0" fillId="5" borderId="5" xfId="0" applyFill="1" applyBorder="1" applyAlignment="1">
      <alignment horizontal="center" wrapText="1"/>
    </xf>
    <xf numFmtId="0" fontId="0" fillId="5" borderId="0" xfId="0" applyFill="1" applyAlignment="1">
      <alignment horizontal="center" wrapText="1"/>
    </xf>
    <xf numFmtId="0" fontId="0" fillId="5" borderId="6" xfId="0" applyFill="1" applyBorder="1" applyAlignment="1">
      <alignment horizontal="center" wrapText="1"/>
    </xf>
    <xf numFmtId="0" fontId="0" fillId="5" borderId="7" xfId="0" applyFill="1" applyBorder="1" applyAlignment="1">
      <alignment horizontal="center" wrapText="1"/>
    </xf>
    <xf numFmtId="0" fontId="0" fillId="5" borderId="8" xfId="0" applyFill="1" applyBorder="1" applyAlignment="1">
      <alignment horizontal="center" wrapText="1"/>
    </xf>
    <xf numFmtId="0" fontId="0" fillId="5" borderId="9" xfId="0" applyFill="1" applyBorder="1" applyAlignment="1">
      <alignment horizontal="center" wrapText="1"/>
    </xf>
    <xf numFmtId="0" fontId="0" fillId="0" borderId="7" xfId="0" applyBorder="1" applyAlignment="1">
      <alignment horizontal="center"/>
    </xf>
    <xf numFmtId="0" fontId="0" fillId="0" borderId="9" xfId="0" applyBorder="1" applyAlignment="1">
      <alignment horizontal="center"/>
    </xf>
    <xf numFmtId="0" fontId="3" fillId="3" borderId="2" xfId="0" applyFont="1" applyFill="1" applyBorder="1" applyAlignment="1">
      <alignment horizontal="left"/>
    </xf>
    <xf numFmtId="0" fontId="3" fillId="3" borderId="7" xfId="0" applyFont="1" applyFill="1" applyBorder="1" applyAlignment="1">
      <alignment horizontal="left"/>
    </xf>
    <xf numFmtId="0" fontId="9" fillId="0" borderId="94" xfId="0" applyFont="1" applyBorder="1" applyAlignment="1" applyProtection="1">
      <alignment horizontal="left"/>
      <protection locked="0"/>
    </xf>
    <xf numFmtId="0" fontId="9" fillId="0" borderId="44" xfId="0" applyFont="1" applyBorder="1" applyAlignment="1" applyProtection="1">
      <alignment horizontal="left"/>
      <protection locked="0"/>
    </xf>
    <xf numFmtId="0" fontId="8" fillId="3" borderId="13" xfId="0" applyFont="1" applyFill="1" applyBorder="1" applyAlignment="1">
      <alignment horizontal="center"/>
    </xf>
    <xf numFmtId="0" fontId="8" fillId="3" borderId="14" xfId="0" applyFont="1" applyFill="1" applyBorder="1" applyAlignment="1">
      <alignment horizontal="center"/>
    </xf>
    <xf numFmtId="0" fontId="8" fillId="3" borderId="15" xfId="0" applyFont="1" applyFill="1" applyBorder="1" applyAlignment="1">
      <alignment horizontal="center"/>
    </xf>
    <xf numFmtId="0" fontId="0" fillId="0" borderId="0" xfId="0" applyAlignment="1">
      <alignment horizontal="left" vertical="top" wrapText="1"/>
    </xf>
    <xf numFmtId="0" fontId="0" fillId="0" borderId="23" xfId="0" applyBorder="1" applyAlignment="1" applyProtection="1">
      <alignment horizontal="left" vertical="top" wrapText="1"/>
      <protection locked="0"/>
    </xf>
    <xf numFmtId="0" fontId="0" fillId="0" borderId="24" xfId="0" applyBorder="1" applyAlignment="1" applyProtection="1">
      <alignment horizontal="left" vertical="top"/>
      <protection locked="0"/>
    </xf>
    <xf numFmtId="0" fontId="0" fillId="0" borderId="25" xfId="0" applyBorder="1" applyAlignment="1" applyProtection="1">
      <alignment horizontal="left" vertical="top"/>
      <protection locked="0"/>
    </xf>
    <xf numFmtId="0" fontId="0" fillId="0" borderId="5"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6" xfId="0" applyBorder="1" applyAlignment="1" applyProtection="1">
      <alignment horizontal="left" vertical="top"/>
      <protection locked="0"/>
    </xf>
    <xf numFmtId="0" fontId="0" fillId="0" borderId="7"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9" xfId="0" applyBorder="1" applyAlignment="1" applyProtection="1">
      <alignment horizontal="left" vertical="top"/>
      <protection locked="0"/>
    </xf>
    <xf numFmtId="0" fontId="3" fillId="3" borderId="42" xfId="0" applyFont="1" applyFill="1" applyBorder="1" applyAlignment="1">
      <alignment horizontal="center"/>
    </xf>
    <xf numFmtId="0" fontId="3" fillId="3" borderId="43" xfId="0" applyFont="1" applyFill="1" applyBorder="1" applyAlignment="1">
      <alignment horizontal="center"/>
    </xf>
    <xf numFmtId="0" fontId="3" fillId="3" borderId="44" xfId="0" applyFont="1" applyFill="1" applyBorder="1" applyAlignment="1">
      <alignment horizontal="center"/>
    </xf>
    <xf numFmtId="0" fontId="4" fillId="0" borderId="3" xfId="0" applyFont="1" applyBorder="1" applyAlignment="1">
      <alignment horizontal="left" vertical="top" wrapText="1"/>
    </xf>
    <xf numFmtId="0" fontId="4" fillId="0" borderId="5" xfId="0" applyFont="1" applyBorder="1" applyAlignment="1">
      <alignment horizontal="right" vertical="center"/>
    </xf>
    <xf numFmtId="0" fontId="21" fillId="3" borderId="13" xfId="0" applyFont="1" applyFill="1" applyBorder="1" applyAlignment="1">
      <alignment horizontal="center" vertical="center" wrapText="1"/>
    </xf>
    <xf numFmtId="0" fontId="21" fillId="3" borderId="14" xfId="0" applyFont="1" applyFill="1" applyBorder="1" applyAlignment="1">
      <alignment horizontal="center" vertical="center" wrapText="1"/>
    </xf>
    <xf numFmtId="0" fontId="21" fillId="3" borderId="15" xfId="0" applyFont="1" applyFill="1" applyBorder="1" applyAlignment="1">
      <alignment horizontal="center" vertical="center" wrapText="1"/>
    </xf>
    <xf numFmtId="0" fontId="36" fillId="0" borderId="0" xfId="0" applyFont="1" applyAlignment="1">
      <alignment horizontal="center" wrapText="1"/>
    </xf>
    <xf numFmtId="0" fontId="36" fillId="0" borderId="6" xfId="0" applyFont="1" applyBorder="1" applyAlignment="1">
      <alignment horizontal="center" wrapText="1"/>
    </xf>
    <xf numFmtId="0" fontId="4" fillId="5" borderId="21" xfId="0" applyFont="1" applyFill="1" applyBorder="1" applyAlignment="1">
      <alignment horizontal="center"/>
    </xf>
    <xf numFmtId="0" fontId="4" fillId="5" borderId="26" xfId="0" applyFont="1" applyFill="1" applyBorder="1" applyAlignment="1">
      <alignment horizontal="center"/>
    </xf>
    <xf numFmtId="0" fontId="31" fillId="0" borderId="0" xfId="0" applyFont="1" applyAlignment="1">
      <alignment horizontal="left" vertical="top" wrapText="1"/>
    </xf>
    <xf numFmtId="0" fontId="31" fillId="0" borderId="6" xfId="0" applyFont="1" applyBorder="1" applyAlignment="1">
      <alignment horizontal="left" vertical="top" wrapText="1"/>
    </xf>
    <xf numFmtId="0" fontId="4" fillId="0" borderId="0" xfId="0" applyFont="1" applyAlignment="1">
      <alignment horizontal="left" vertical="top" wrapText="1"/>
    </xf>
    <xf numFmtId="0" fontId="31" fillId="0" borderId="0" xfId="0" applyFont="1" applyAlignment="1">
      <alignment horizontal="left"/>
    </xf>
    <xf numFmtId="0" fontId="10" fillId="0" borderId="5" xfId="0" applyFont="1" applyBorder="1" applyAlignment="1">
      <alignment horizontal="left"/>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0" fillId="0" borderId="0" xfId="0" applyAlignment="1" applyProtection="1">
      <alignment horizontal="right"/>
      <protection locked="0"/>
    </xf>
    <xf numFmtId="2" fontId="0" fillId="0" borderId="0" xfId="0" applyNumberFormat="1" applyAlignment="1">
      <alignment horizontal="right"/>
    </xf>
    <xf numFmtId="0" fontId="0" fillId="0" borderId="21" xfId="0" applyBorder="1" applyAlignment="1" applyProtection="1">
      <alignment horizontal="right"/>
      <protection locked="0"/>
    </xf>
    <xf numFmtId="0" fontId="0" fillId="0" borderId="26" xfId="0" applyBorder="1" applyAlignment="1" applyProtection="1">
      <alignment horizontal="right"/>
      <protection locked="0"/>
    </xf>
    <xf numFmtId="0" fontId="10" fillId="0" borderId="5" xfId="0" applyFont="1" applyBorder="1" applyAlignment="1">
      <alignment horizontal="center"/>
    </xf>
    <xf numFmtId="0" fontId="10" fillId="0" borderId="0" xfId="0" applyFont="1" applyAlignment="1">
      <alignment horizontal="center"/>
    </xf>
    <xf numFmtId="9" fontId="0" fillId="5" borderId="0" xfId="1" applyFont="1" applyFill="1" applyBorder="1" applyAlignment="1" applyProtection="1">
      <alignment horizontal="center" vertical="center" wrapText="1"/>
    </xf>
    <xf numFmtId="9" fontId="0" fillId="5" borderId="6" xfId="1" applyFont="1" applyFill="1" applyBorder="1" applyAlignment="1" applyProtection="1">
      <alignment horizontal="center" vertical="center" wrapText="1"/>
    </xf>
    <xf numFmtId="0" fontId="0" fillId="5" borderId="0" xfId="0" applyFill="1" applyAlignment="1">
      <alignment horizontal="center" vertical="center" wrapText="1"/>
    </xf>
    <xf numFmtId="0" fontId="0" fillId="5" borderId="6" xfId="0" applyFill="1" applyBorder="1" applyAlignment="1">
      <alignment horizontal="center" vertical="center" wrapText="1"/>
    </xf>
    <xf numFmtId="0" fontId="3" fillId="11" borderId="41" xfId="0" applyFont="1" applyFill="1" applyBorder="1" applyAlignment="1">
      <alignment horizontal="center" vertical="top"/>
    </xf>
    <xf numFmtId="0" fontId="4" fillId="0" borderId="71" xfId="0" applyFont="1" applyBorder="1" applyAlignment="1">
      <alignment horizontal="center" wrapText="1"/>
    </xf>
    <xf numFmtId="0" fontId="4" fillId="0" borderId="19" xfId="0" applyFont="1" applyBorder="1" applyAlignment="1">
      <alignment horizontal="center" wrapText="1"/>
    </xf>
    <xf numFmtId="0" fontId="3" fillId="11" borderId="46" xfId="0" applyFont="1" applyFill="1" applyBorder="1" applyAlignment="1">
      <alignment horizontal="center" vertical="center" wrapText="1"/>
    </xf>
    <xf numFmtId="0" fontId="3" fillId="11" borderId="45" xfId="0" applyFont="1" applyFill="1" applyBorder="1" applyAlignment="1">
      <alignment horizontal="center" vertical="center" wrapText="1"/>
    </xf>
    <xf numFmtId="0" fontId="3" fillId="11" borderId="0" xfId="0" applyFont="1" applyFill="1" applyAlignment="1">
      <alignment horizontal="center" vertical="center" wrapText="1"/>
    </xf>
    <xf numFmtId="0" fontId="4" fillId="0" borderId="5" xfId="0" applyFont="1" applyBorder="1" applyAlignment="1">
      <alignment horizontal="left" vertical="center"/>
    </xf>
    <xf numFmtId="0" fontId="4" fillId="0" borderId="0" xfId="0" applyFont="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25" fillId="0" borderId="37" xfId="0" applyFont="1" applyBorder="1" applyAlignment="1" applyProtection="1">
      <alignment horizontal="center"/>
      <protection locked="0"/>
    </xf>
    <xf numFmtId="0" fontId="25" fillId="0" borderId="38" xfId="0" applyFont="1" applyBorder="1" applyAlignment="1" applyProtection="1">
      <alignment horizontal="center"/>
      <protection locked="0"/>
    </xf>
    <xf numFmtId="0" fontId="25" fillId="0" borderId="39" xfId="0" applyFont="1" applyBorder="1" applyAlignment="1" applyProtection="1">
      <alignment horizontal="center"/>
      <protection locked="0"/>
    </xf>
    <xf numFmtId="0" fontId="4" fillId="0" borderId="91" xfId="0" applyFont="1" applyBorder="1" applyAlignment="1">
      <alignment horizontal="center" wrapText="1"/>
    </xf>
    <xf numFmtId="0" fontId="4" fillId="0" borderId="86" xfId="0" applyFont="1" applyBorder="1" applyAlignment="1">
      <alignment horizontal="center" wrapText="1"/>
    </xf>
    <xf numFmtId="0" fontId="4" fillId="0" borderId="24" xfId="0" applyFont="1" applyBorder="1" applyAlignment="1">
      <alignment horizontal="center"/>
    </xf>
    <xf numFmtId="0" fontId="4" fillId="0" borderId="0" xfId="0" applyFont="1" applyAlignment="1">
      <alignment horizontal="center"/>
    </xf>
    <xf numFmtId="0" fontId="0" fillId="6" borderId="27" xfId="0" applyFill="1" applyBorder="1" applyAlignment="1">
      <alignment horizontal="center"/>
    </xf>
    <xf numFmtId="0" fontId="0" fillId="6" borderId="28" xfId="0" applyFill="1" applyBorder="1" applyAlignment="1">
      <alignment horizontal="center"/>
    </xf>
    <xf numFmtId="0" fontId="0" fillId="6" borderId="29" xfId="0" applyFill="1" applyBorder="1" applyAlignment="1">
      <alignment horizontal="center"/>
    </xf>
    <xf numFmtId="0" fontId="6" fillId="5" borderId="13"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4" fillId="6" borderId="33" xfId="0" applyFont="1" applyFill="1" applyBorder="1" applyAlignment="1">
      <alignment horizontal="center"/>
    </xf>
    <xf numFmtId="0" fontId="4" fillId="6" borderId="40" xfId="0" applyFont="1" applyFill="1" applyBorder="1" applyAlignment="1">
      <alignment horizontal="center"/>
    </xf>
    <xf numFmtId="0" fontId="4" fillId="6" borderId="34" xfId="0" applyFont="1" applyFill="1" applyBorder="1" applyAlignment="1">
      <alignment horizontal="center"/>
    </xf>
    <xf numFmtId="0" fontId="25" fillId="5" borderId="5" xfId="0" applyFont="1" applyFill="1" applyBorder="1" applyAlignment="1">
      <alignment horizontal="center" vertical="center" wrapText="1"/>
    </xf>
    <xf numFmtId="0" fontId="25" fillId="5" borderId="7" xfId="0" applyFont="1" applyFill="1" applyBorder="1" applyAlignment="1">
      <alignment horizontal="center" vertical="center" wrapText="1"/>
    </xf>
    <xf numFmtId="0" fontId="4" fillId="0" borderId="7" xfId="0" applyFont="1" applyBorder="1" applyAlignment="1">
      <alignment horizontal="right" vertical="center"/>
    </xf>
    <xf numFmtId="0" fontId="25" fillId="5" borderId="2" xfId="0" applyFont="1" applyFill="1" applyBorder="1" applyAlignment="1">
      <alignment horizontal="center" vertical="center" wrapText="1"/>
    </xf>
    <xf numFmtId="0" fontId="25" fillId="5" borderId="4" xfId="0" applyFont="1" applyFill="1" applyBorder="1" applyAlignment="1">
      <alignment horizontal="center" vertical="center" wrapText="1"/>
    </xf>
    <xf numFmtId="0" fontId="25" fillId="5" borderId="6" xfId="0" applyFont="1" applyFill="1" applyBorder="1" applyAlignment="1">
      <alignment horizontal="center" vertical="center" wrapText="1"/>
    </xf>
    <xf numFmtId="0" fontId="25" fillId="5" borderId="9" xfId="0" applyFont="1" applyFill="1" applyBorder="1" applyAlignment="1">
      <alignment horizontal="center" vertical="center" wrapText="1"/>
    </xf>
    <xf numFmtId="0" fontId="6" fillId="5" borderId="13" xfId="0" applyFont="1" applyFill="1" applyBorder="1" applyAlignment="1">
      <alignment horizontal="center"/>
    </xf>
    <xf numFmtId="0" fontId="6" fillId="5" borderId="15" xfId="0" applyFont="1" applyFill="1" applyBorder="1" applyAlignment="1">
      <alignment horizontal="center"/>
    </xf>
    <xf numFmtId="0" fontId="8" fillId="3" borderId="42" xfId="0" applyFont="1" applyFill="1" applyBorder="1" applyAlignment="1">
      <alignment horizontal="center"/>
    </xf>
    <xf numFmtId="0" fontId="8" fillId="3" borderId="43" xfId="0" applyFont="1" applyFill="1" applyBorder="1" applyAlignment="1">
      <alignment horizontal="center"/>
    </xf>
    <xf numFmtId="0" fontId="8" fillId="3" borderId="44" xfId="0" applyFont="1" applyFill="1" applyBorder="1" applyAlignment="1">
      <alignment horizontal="center"/>
    </xf>
    <xf numFmtId="0" fontId="0" fillId="0" borderId="24" xfId="0" applyBorder="1" applyAlignment="1">
      <alignment horizontal="right"/>
    </xf>
    <xf numFmtId="0" fontId="0" fillId="0" borderId="25" xfId="0" applyBorder="1" applyAlignment="1">
      <alignment horizontal="right"/>
    </xf>
    <xf numFmtId="0" fontId="4" fillId="0" borderId="23" xfId="0" applyFont="1" applyBorder="1" applyAlignment="1">
      <alignment horizontal="right" vertical="center"/>
    </xf>
    <xf numFmtId="0" fontId="0" fillId="0" borderId="8" xfId="0" applyBorder="1" applyAlignment="1">
      <alignment horizontal="right"/>
    </xf>
    <xf numFmtId="0" fontId="0" fillId="0" borderId="9" xfId="0" applyBorder="1" applyAlignment="1">
      <alignment horizontal="right"/>
    </xf>
    <xf numFmtId="0" fontId="0" fillId="0" borderId="0" xfId="0" applyAlignment="1">
      <alignment horizontal="right"/>
    </xf>
    <xf numFmtId="0" fontId="0" fillId="0" borderId="6" xfId="0" applyBorder="1" applyAlignment="1">
      <alignment horizontal="right"/>
    </xf>
    <xf numFmtId="0" fontId="0" fillId="0" borderId="37" xfId="0" applyBorder="1" applyAlignment="1">
      <alignment horizontal="left"/>
    </xf>
    <xf numFmtId="0" fontId="0" fillId="0" borderId="38" xfId="0" applyBorder="1" applyAlignment="1">
      <alignment horizontal="left"/>
    </xf>
    <xf numFmtId="0" fontId="9" fillId="6" borderId="30" xfId="0" applyFont="1" applyFill="1" applyBorder="1" applyAlignment="1">
      <alignment horizontal="center" vertical="center" wrapText="1"/>
    </xf>
    <xf numFmtId="0" fontId="9" fillId="6" borderId="0" xfId="0" applyFont="1" applyFill="1" applyAlignment="1">
      <alignment horizontal="center" vertical="center" wrapText="1"/>
    </xf>
    <xf numFmtId="0" fontId="9" fillId="6" borderId="32" xfId="0" applyFont="1" applyFill="1" applyBorder="1" applyAlignment="1">
      <alignment horizontal="center" vertical="center" wrapText="1"/>
    </xf>
    <xf numFmtId="0" fontId="9" fillId="6" borderId="27" xfId="0" applyFont="1" applyFill="1" applyBorder="1" applyAlignment="1">
      <alignment horizontal="center" vertical="center" wrapText="1"/>
    </xf>
    <xf numFmtId="0" fontId="9" fillId="6" borderId="28" xfId="0" applyFont="1" applyFill="1" applyBorder="1" applyAlignment="1">
      <alignment horizontal="center" vertical="center" wrapText="1"/>
    </xf>
    <xf numFmtId="0" fontId="9" fillId="6" borderId="29" xfId="0" applyFont="1" applyFill="1" applyBorder="1" applyAlignment="1">
      <alignment horizontal="center" vertical="center" wrapText="1"/>
    </xf>
    <xf numFmtId="0" fontId="25" fillId="5" borderId="0" xfId="0" applyFont="1" applyFill="1" applyAlignment="1">
      <alignment horizontal="left"/>
    </xf>
    <xf numFmtId="0" fontId="25" fillId="5" borderId="6" xfId="0" applyFont="1" applyFill="1" applyBorder="1" applyAlignment="1">
      <alignment horizontal="left"/>
    </xf>
    <xf numFmtId="0" fontId="0" fillId="6" borderId="35" xfId="0" applyFill="1" applyBorder="1" applyAlignment="1">
      <alignment horizontal="center" vertical="center" wrapText="1"/>
    </xf>
    <xf numFmtId="0" fontId="0" fillId="6" borderId="36" xfId="0" applyFill="1" applyBorder="1" applyAlignment="1">
      <alignment horizontal="center" vertical="center" wrapText="1"/>
    </xf>
    <xf numFmtId="0" fontId="0" fillId="6" borderId="30" xfId="0" applyFill="1" applyBorder="1" applyAlignment="1">
      <alignment horizontal="center" vertical="center" wrapText="1"/>
    </xf>
    <xf numFmtId="0" fontId="0" fillId="6" borderId="32" xfId="0" applyFill="1" applyBorder="1" applyAlignment="1">
      <alignment horizontal="center" vertical="center" wrapText="1"/>
    </xf>
    <xf numFmtId="0" fontId="0" fillId="6" borderId="27" xfId="0" applyFill="1" applyBorder="1" applyAlignment="1">
      <alignment horizontal="center" vertical="center" wrapText="1"/>
    </xf>
    <xf numFmtId="0" fontId="0" fillId="6" borderId="29" xfId="0" applyFill="1" applyBorder="1" applyAlignment="1">
      <alignment horizontal="center" vertical="center" wrapText="1"/>
    </xf>
    <xf numFmtId="0" fontId="10" fillId="6" borderId="33" xfId="0" applyFont="1" applyFill="1" applyBorder="1" applyAlignment="1">
      <alignment horizontal="center"/>
    </xf>
    <xf numFmtId="0" fontId="10" fillId="6" borderId="40" xfId="0" applyFont="1" applyFill="1" applyBorder="1" applyAlignment="1">
      <alignment horizontal="center"/>
    </xf>
    <xf numFmtId="0" fontId="10" fillId="6" borderId="34" xfId="0" applyFont="1" applyFill="1" applyBorder="1" applyAlignment="1">
      <alignment horizontal="center"/>
    </xf>
    <xf numFmtId="0" fontId="25" fillId="5" borderId="0" xfId="0" applyFont="1" applyFill="1" applyAlignment="1">
      <alignment horizontal="left" vertical="center" wrapText="1"/>
    </xf>
    <xf numFmtId="0" fontId="25" fillId="5" borderId="6" xfId="0" applyFont="1" applyFill="1" applyBorder="1" applyAlignment="1">
      <alignment horizontal="left" vertical="center" wrapText="1"/>
    </xf>
    <xf numFmtId="0" fontId="25" fillId="5" borderId="8" xfId="0" applyFont="1" applyFill="1" applyBorder="1" applyAlignment="1">
      <alignment horizontal="left" vertical="center" wrapText="1"/>
    </xf>
    <xf numFmtId="0" fontId="25" fillId="5" borderId="9" xfId="0" applyFont="1" applyFill="1" applyBorder="1" applyAlignment="1">
      <alignment horizontal="left" vertical="center" wrapText="1"/>
    </xf>
    <xf numFmtId="0" fontId="42" fillId="12" borderId="13" xfId="0" applyFont="1" applyFill="1" applyBorder="1" applyAlignment="1">
      <alignment horizontal="center"/>
    </xf>
    <xf numFmtId="0" fontId="42" fillId="12" borderId="15" xfId="0" applyFont="1" applyFill="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44" xfId="0" applyFont="1" applyFill="1" applyBorder="1" applyAlignment="1">
      <alignment horizontal="center" vertical="center"/>
    </xf>
    <xf numFmtId="0" fontId="23" fillId="3" borderId="2" xfId="0" applyFont="1" applyFill="1" applyBorder="1" applyAlignment="1">
      <alignment horizontal="center" vertical="center"/>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2" xfId="0" applyFont="1" applyFill="1" applyBorder="1" applyAlignment="1">
      <alignment horizontal="center" vertical="center"/>
    </xf>
    <xf numFmtId="0" fontId="23" fillId="3" borderId="21" xfId="0" applyFont="1" applyFill="1" applyBorder="1" applyAlignment="1">
      <alignment horizontal="center" vertical="center"/>
    </xf>
    <xf numFmtId="0" fontId="23" fillId="3" borderId="26"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7" xfId="0" applyBorder="1" applyAlignment="1">
      <alignment horizontal="left" vertical="top" wrapText="1"/>
    </xf>
    <xf numFmtId="0" fontId="0" fillId="0" borderId="0" xfId="0" applyAlignment="1">
      <alignment horizontal="left" vertical="top"/>
    </xf>
    <xf numFmtId="0" fontId="0" fillId="0" borderId="6" xfId="0" applyBorder="1" applyAlignment="1">
      <alignment horizontal="left" vertical="top"/>
    </xf>
    <xf numFmtId="0" fontId="3" fillId="3" borderId="59" xfId="0" applyFont="1" applyFill="1" applyBorder="1" applyAlignment="1">
      <alignment horizontal="center"/>
    </xf>
    <xf numFmtId="0" fontId="3" fillId="3" borderId="60" xfId="0" applyFont="1" applyFill="1" applyBorder="1" applyAlignment="1">
      <alignment horizontal="center"/>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2"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0" fillId="0" borderId="23" xfId="0" applyBorder="1" applyAlignment="1">
      <alignment horizontal="left" vertical="top" wrapText="1"/>
    </xf>
    <xf numFmtId="0" fontId="4" fillId="0" borderId="23" xfId="0" applyFont="1" applyBorder="1" applyAlignment="1">
      <alignment horizontal="center"/>
    </xf>
    <xf numFmtId="0" fontId="4" fillId="0" borderId="25" xfId="0" applyFont="1" applyBorder="1" applyAlignment="1">
      <alignment horizontal="center"/>
    </xf>
    <xf numFmtId="0" fontId="4" fillId="5" borderId="0" xfId="0" applyFont="1" applyFill="1" applyAlignment="1">
      <alignment horizontal="center" vertical="center" wrapText="1"/>
    </xf>
    <xf numFmtId="0" fontId="4" fillId="5" borderId="21" xfId="0" applyFont="1" applyFill="1" applyBorder="1" applyAlignment="1">
      <alignment horizontal="center" vertical="center" wrapText="1"/>
    </xf>
    <xf numFmtId="0" fontId="4" fillId="6" borderId="0" xfId="0" applyFont="1" applyFill="1" applyAlignment="1">
      <alignment horizontal="center" vertical="center" wrapText="1"/>
    </xf>
    <xf numFmtId="0" fontId="4" fillId="6" borderId="21" xfId="0" applyFont="1" applyFill="1" applyBorder="1" applyAlignment="1">
      <alignment horizontal="center" vertical="center"/>
    </xf>
    <xf numFmtId="0" fontId="3" fillId="3" borderId="0" xfId="0" applyFont="1" applyFill="1" applyAlignment="1">
      <alignment horizontal="center"/>
    </xf>
    <xf numFmtId="0" fontId="4" fillId="21" borderId="0" xfId="0" applyFont="1" applyFill="1" applyAlignment="1">
      <alignment horizontal="center" vertical="center"/>
    </xf>
    <xf numFmtId="0" fontId="4" fillId="0" borderId="0" xfId="0" applyFont="1" applyAlignment="1">
      <alignment horizontal="center" vertical="center"/>
    </xf>
    <xf numFmtId="0" fontId="4" fillId="20" borderId="0" xfId="0" applyFont="1" applyFill="1" applyAlignment="1">
      <alignment horizontal="center" vertical="center"/>
    </xf>
    <xf numFmtId="0" fontId="3" fillId="3" borderId="0" xfId="0" applyFont="1" applyFill="1" applyAlignment="1">
      <alignment horizontal="center" wrapText="1"/>
    </xf>
    <xf numFmtId="0" fontId="3" fillId="3" borderId="0" xfId="0" applyFont="1" applyFill="1" applyAlignment="1">
      <alignment horizontal="center" vertical="center" wrapText="1"/>
    </xf>
    <xf numFmtId="0" fontId="28" fillId="16" borderId="73" xfId="0" applyFont="1" applyFill="1" applyBorder="1" applyAlignment="1">
      <alignment horizontal="center" vertical="center" wrapText="1"/>
    </xf>
    <xf numFmtId="0" fontId="28" fillId="16" borderId="74" xfId="0" applyFont="1" applyFill="1" applyBorder="1" applyAlignment="1">
      <alignment horizontal="center" vertical="center" wrapText="1"/>
    </xf>
    <xf numFmtId="0" fontId="28" fillId="16" borderId="75"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17" xfId="0" applyFont="1" applyFill="1" applyBorder="1" applyAlignment="1">
      <alignment horizontal="center" vertical="center" wrapText="1"/>
    </xf>
    <xf numFmtId="0" fontId="28" fillId="16" borderId="76" xfId="0" applyFont="1" applyFill="1" applyBorder="1" applyAlignment="1">
      <alignment horizontal="center" vertical="center" wrapText="1"/>
    </xf>
    <xf numFmtId="0" fontId="16" fillId="3" borderId="0" xfId="0" applyFont="1" applyFill="1" applyAlignment="1">
      <alignment horizontal="left"/>
    </xf>
    <xf numFmtId="0" fontId="16" fillId="3" borderId="0" xfId="0" applyFont="1" applyFill="1" applyAlignment="1">
      <alignment horizontal="center"/>
    </xf>
  </cellXfs>
  <cellStyles count="3">
    <cellStyle name="Hyperlink" xfId="2" builtinId="8"/>
    <cellStyle name="Normal" xfId="0" builtinId="0"/>
    <cellStyle name="Per cent" xfId="1" builtinId="5"/>
  </cellStyles>
  <dxfs count="51">
    <dxf>
      <font>
        <color theme="1"/>
      </font>
      <fill>
        <patternFill>
          <bgColor theme="0" tint="-0.14996795556505021"/>
        </patternFill>
      </fill>
    </dxf>
    <dxf>
      <font>
        <color theme="0"/>
      </font>
    </dxf>
    <dxf>
      <fill>
        <patternFill>
          <bgColor theme="6" tint="0.59996337778862885"/>
        </patternFill>
      </fill>
    </dxf>
    <dxf>
      <font>
        <color theme="0"/>
      </font>
      <fill>
        <patternFill>
          <bgColor theme="0"/>
        </patternFill>
      </fill>
      <border>
        <left/>
        <right/>
        <top/>
        <bottom/>
        <vertical/>
        <horizontal/>
      </border>
    </dxf>
    <dxf>
      <font>
        <color theme="5" tint="0.59996337778862885"/>
      </font>
      <fill>
        <patternFill>
          <bgColor theme="5" tint="0.59996337778862885"/>
        </patternFill>
      </fill>
      <border>
        <left/>
        <right/>
        <top/>
        <bottom/>
        <vertical/>
        <horizontal/>
      </border>
    </dxf>
    <dxf>
      <font>
        <color theme="5" tint="0.59996337778862885"/>
      </font>
      <fill>
        <patternFill>
          <bgColor theme="5" tint="0.59996337778862885"/>
        </patternFill>
      </fill>
      <border>
        <left/>
        <right/>
        <top/>
        <bottom/>
        <vertical/>
        <horizontal/>
      </border>
    </dxf>
    <dxf>
      <font>
        <color theme="5" tint="0.59996337778862885"/>
      </font>
      <fill>
        <patternFill>
          <bgColor theme="5" tint="0.59996337778862885"/>
        </patternFill>
      </fill>
      <border>
        <left/>
        <right/>
        <top/>
        <bottom/>
        <vertical/>
        <horizontal/>
      </border>
    </dxf>
    <dxf>
      <font>
        <color theme="5" tint="0.59996337778862885"/>
      </font>
      <fill>
        <patternFill>
          <bgColor theme="5" tint="0.59996337778862885"/>
        </patternFill>
      </fill>
      <border>
        <left/>
        <right/>
        <top/>
        <bottom/>
        <vertical/>
        <horizontal/>
      </border>
    </dxf>
    <dxf>
      <fill>
        <patternFill>
          <bgColor theme="5" tint="0.59996337778862885"/>
        </patternFill>
      </fill>
      <border>
        <left/>
        <right/>
        <top/>
        <bottom/>
        <vertical/>
        <horizontal/>
      </border>
    </dxf>
    <dxf>
      <fill>
        <patternFill>
          <bgColor theme="5" tint="0.59996337778862885"/>
        </patternFill>
      </fill>
      <border>
        <left/>
        <right/>
        <top/>
        <bottom/>
        <vertical/>
        <horizontal/>
      </border>
    </dxf>
    <dxf>
      <font>
        <color theme="5" tint="0.59996337778862885"/>
      </font>
      <fill>
        <patternFill>
          <bgColor theme="5" tint="0.59996337778862885"/>
        </patternFill>
      </fill>
      <border>
        <left/>
        <right/>
        <top/>
        <bottom/>
        <vertical/>
        <horizontal/>
      </border>
    </dxf>
    <dxf>
      <font>
        <color theme="5" tint="0.59996337778862885"/>
      </font>
      <fill>
        <patternFill>
          <bgColor theme="5" tint="0.59996337778862885"/>
        </patternFill>
      </fill>
      <border>
        <left/>
        <right/>
        <top/>
        <bottom/>
        <vertical/>
        <horizontal/>
      </border>
    </dxf>
    <dxf>
      <font>
        <color theme="5" tint="0.59996337778862885"/>
      </font>
      <fill>
        <patternFill>
          <bgColor theme="5" tint="0.59996337778862885"/>
        </patternFill>
      </fill>
      <border>
        <left/>
        <right/>
        <bottom/>
        <vertical/>
        <horizontal/>
      </border>
    </dxf>
    <dxf>
      <border>
        <top/>
        <vertical/>
        <horizontal/>
      </border>
    </dxf>
    <dxf>
      <fill>
        <patternFill patternType="none">
          <bgColor auto="1"/>
        </patternFill>
      </fill>
      <border>
        <left/>
        <top/>
        <bottom/>
        <vertical/>
        <horizontal/>
      </border>
    </dxf>
    <dxf>
      <border>
        <bottom/>
        <vertical/>
        <horizontal/>
      </border>
    </dxf>
    <dxf>
      <font>
        <color theme="0"/>
      </font>
      <fill>
        <patternFill>
          <bgColor rgb="FFFF0000"/>
        </patternFill>
      </fill>
    </dxf>
    <dxf>
      <fill>
        <patternFill>
          <bgColor theme="6" tint="0.59996337778862885"/>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rgb="FFFF0000"/>
        </patternFill>
      </fill>
    </dxf>
    <dxf>
      <font>
        <color theme="5" tint="0.59996337778862885"/>
      </font>
      <fill>
        <patternFill>
          <bgColor theme="5" tint="0.59996337778862885"/>
        </patternFill>
      </fill>
      <border>
        <right/>
        <top/>
        <bottom/>
        <vertical/>
        <horizontal/>
      </border>
    </dxf>
    <dxf>
      <fill>
        <patternFill>
          <bgColor theme="7"/>
        </patternFill>
      </fill>
    </dxf>
    <dxf>
      <fill>
        <patternFill>
          <bgColor theme="7"/>
        </patternFill>
      </fill>
    </dxf>
    <dxf>
      <fill>
        <patternFill>
          <bgColor theme="7"/>
        </patternFill>
      </fill>
    </dxf>
    <dxf>
      <font>
        <color theme="9" tint="0.59996337778862885"/>
      </font>
      <fill>
        <patternFill>
          <bgColor theme="9" tint="0.59996337778862885"/>
        </patternFill>
      </fill>
      <border>
        <right style="thin">
          <color auto="1"/>
        </right>
        <bottom/>
        <vertical/>
        <horizontal/>
      </border>
    </dxf>
    <dxf>
      <fill>
        <patternFill>
          <bgColor theme="6"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FF0000"/>
        </patternFill>
      </fill>
    </dxf>
    <dxf>
      <font>
        <color theme="0"/>
      </font>
      <fill>
        <patternFill>
          <bgColor theme="0"/>
        </patternFill>
      </fill>
    </dxf>
    <dxf>
      <fill>
        <patternFill>
          <bgColor rgb="FFFFC000"/>
        </patternFill>
      </fill>
    </dxf>
    <dxf>
      <fill>
        <patternFill>
          <bgColor theme="6" tint="0.59996337778862885"/>
        </patternFill>
      </fill>
    </dxf>
    <dxf>
      <font>
        <color theme="0"/>
      </font>
      <fill>
        <patternFill>
          <bgColor rgb="FFFF0000"/>
        </patternFill>
      </fill>
    </dxf>
    <dxf>
      <font>
        <color theme="9" tint="0.59996337778862885"/>
      </font>
      <fill>
        <patternFill>
          <bgColor theme="9" tint="0.59996337778862885"/>
        </patternFill>
      </fill>
      <border>
        <left/>
        <right/>
        <bottom/>
        <vertical/>
        <horizontal/>
      </border>
    </dxf>
    <dxf>
      <border>
        <top style="dashDotDot">
          <color auto="1"/>
        </top>
        <vertical/>
        <horizontal/>
      </border>
    </dxf>
    <dxf>
      <font>
        <color theme="0"/>
      </font>
      <fill>
        <patternFill>
          <bgColor theme="0"/>
        </patternFill>
      </fill>
    </dxf>
    <dxf>
      <fill>
        <patternFill>
          <bgColor theme="6" tint="0.59996337778862885"/>
        </patternFill>
      </fill>
    </dxf>
    <dxf>
      <fill>
        <patternFill>
          <bgColor rgb="FFFFC000"/>
        </patternFill>
      </fill>
    </dxf>
    <dxf>
      <font>
        <color theme="9" tint="0.59996337778862885"/>
      </font>
      <fill>
        <patternFill>
          <bgColor theme="9" tint="0.59996337778862885"/>
        </patternFill>
      </fill>
      <border>
        <right/>
        <top/>
        <bottom/>
        <vertical/>
        <horizontal/>
      </border>
    </dxf>
    <dxf>
      <font>
        <color theme="9" tint="0.59996337778862885"/>
      </font>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ont>
        <color theme="0"/>
      </font>
      <fill>
        <patternFill>
          <bgColor rgb="FFFF0000"/>
        </patternFill>
      </fill>
    </dxf>
    <dxf>
      <fill>
        <patternFill>
          <bgColor theme="6" tint="0.59996337778862885"/>
        </patternFill>
      </fill>
    </dxf>
    <dxf>
      <fill>
        <patternFill>
          <bgColor theme="7"/>
        </patternFill>
      </fill>
    </dxf>
    <dxf>
      <fill>
        <patternFill>
          <bgColor theme="7"/>
        </patternFill>
      </fill>
    </dxf>
  </dxfs>
  <tableStyles count="0" defaultTableStyle="TableStyleMedium2" defaultPivotStyle="PivotStyleLight16"/>
  <colors>
    <mruColors>
      <color rgb="FFFFE48F"/>
      <color rgb="FFFDE42F"/>
      <color rgb="FF68DAD7"/>
      <color rgb="FF32CCC8"/>
      <color rgb="FF00FFCC"/>
      <color rgb="FF33CCCC"/>
      <color rgb="FFE2DC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 graphs'!$A$1</c:f>
          <c:strCache>
            <c:ptCount val="1"/>
            <c:pt idx="0">
              <c:v>Serieplott
(måledata benyttet uten korrigering av verdier under DG)</c:v>
            </c:pt>
          </c:strCache>
        </c:strRef>
      </c:tx>
      <c:layout>
        <c:manualLayout>
          <c:xMode val="edge"/>
          <c:yMode val="edge"/>
          <c:x val="0.20867235079171742"/>
          <c:y val="8.0467657766719446E-3"/>
        </c:manualLayout>
      </c:layout>
      <c:overlay val="0"/>
      <c:spPr>
        <a:noFill/>
        <a:ln w="25400">
          <a:noFill/>
        </a:ln>
      </c:spPr>
      <c:txPr>
        <a:bodyPr/>
        <a:lstStyle/>
        <a:p>
          <a:pPr>
            <a:defRPr sz="1000" b="1" i="0" u="none" strike="noStrike" baseline="0">
              <a:solidFill>
                <a:srgbClr val="000000"/>
              </a:solidFill>
              <a:latin typeface="Arial"/>
              <a:ea typeface="Arial"/>
              <a:cs typeface="Arial"/>
            </a:defRPr>
          </a:pPr>
          <a:endParaRPr lang="en-NO"/>
        </a:p>
      </c:txPr>
    </c:title>
    <c:autoTitleDeleted val="0"/>
    <c:plotArea>
      <c:layout>
        <c:manualLayout>
          <c:layoutTarget val="inner"/>
          <c:xMode val="edge"/>
          <c:yMode val="edge"/>
          <c:x val="7.9773858267716533E-2"/>
          <c:y val="8.1199435144117482E-2"/>
          <c:w val="0.8966458267716535"/>
          <c:h val="0.82054166040371346"/>
        </c:manualLayout>
      </c:layout>
      <c:scatterChart>
        <c:scatterStyle val="lineMarker"/>
        <c:varyColors val="0"/>
        <c:ser>
          <c:idx val="0"/>
          <c:order val="0"/>
          <c:marker>
            <c:symbol val="none"/>
          </c:marker>
          <c:xVal>
            <c:numRef>
              <c:f>'Data graphs'!$D$3:$D$53</c:f>
              <c:numCache>
                <c:formatCode>General</c:formatCode>
                <c:ptCount val="51"/>
                <c:pt idx="0">
                  <c:v>1</c:v>
                </c:pt>
                <c:pt idx="1">
                  <c:v>2</c:v>
                </c:pt>
                <c:pt idx="2">
                  <c:v>3</c:v>
                </c:pt>
                <c:pt idx="3">
                  <c:v>4</c:v>
                </c:pt>
                <c:pt idx="4">
                  <c:v>5</c:v>
                </c:pt>
                <c:pt idx="5">
                  <c:v>6</c:v>
                </c:pt>
                <c:pt idx="6">
                  <c:v>7</c:v>
                </c:pt>
                <c:pt idx="7">
                  <c:v>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'Data graphs'!$E$3:$E$53</c:f>
              <c:numCache>
                <c:formatCode>General</c:formatCode>
                <c:ptCount val="51"/>
                <c:pt idx="0">
                  <c:v>21</c:v>
                </c:pt>
                <c:pt idx="1">
                  <c:v>1.9</c:v>
                </c:pt>
                <c:pt idx="2">
                  <c:v>5.8</c:v>
                </c:pt>
                <c:pt idx="3">
                  <c:v>17</c:v>
                </c:pt>
                <c:pt idx="4">
                  <c:v>1.7</c:v>
                </c:pt>
                <c:pt idx="5">
                  <c:v>2.7</c:v>
                </c:pt>
                <c:pt idx="6">
                  <c:v>6.3</c:v>
                </c:pt>
                <c:pt idx="7">
                  <c:v>18.899999999999999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yVal>
          <c:smooth val="0"/>
          <c:extLst>
            <c:ext xmlns:c16="http://schemas.microsoft.com/office/drawing/2014/chart" uri="{C3380CC4-5D6E-409C-BE32-E72D297353CC}">
              <c16:uniqueId val="{00000000-5C60-4737-8F32-501203BE9C33}"/>
            </c:ext>
          </c:extLst>
        </c:ser>
        <c:dLbls>
          <c:showLegendKey val="0"/>
          <c:showVal val="0"/>
          <c:showCatName val="0"/>
          <c:showSerName val="0"/>
          <c:showPercent val="0"/>
          <c:showBubbleSize val="0"/>
        </c:dLbls>
        <c:axId val="57834240"/>
        <c:axId val="57834816"/>
      </c:scatterChart>
      <c:valAx>
        <c:axId val="57834240"/>
        <c:scaling>
          <c:orientation val="minMax"/>
        </c:scaling>
        <c:delete val="0"/>
        <c:axPos val="b"/>
        <c:title>
          <c:tx>
            <c:strRef>
              <c:f>'Data graphs'!$G$2</c:f>
              <c:strCache>
                <c:ptCount val="1"/>
                <c:pt idx="0">
                  <c:v>Nummer</c:v>
                </c:pt>
              </c:strCache>
            </c:strRef>
          </c:tx>
          <c:layout>
            <c:manualLayout>
              <c:xMode val="edge"/>
              <c:yMode val="edge"/>
              <c:x val="0.43663419516340612"/>
              <c:y val="0.94807475442577471"/>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n-NO"/>
            </a:p>
          </c:txPr>
        </c:title>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NO"/>
          </a:p>
        </c:txPr>
        <c:crossAx val="57834816"/>
        <c:crosses val="autoZero"/>
        <c:crossBetween val="midCat"/>
        <c:majorUnit val="1"/>
      </c:valAx>
      <c:valAx>
        <c:axId val="57834816"/>
        <c:scaling>
          <c:orientation val="minMax"/>
        </c:scaling>
        <c:delete val="0"/>
        <c:axPos val="l"/>
        <c:title>
          <c:tx>
            <c:strRef>
              <c:f>'Data graphs'!$G$3</c:f>
              <c:strCache>
                <c:ptCount val="1"/>
                <c:pt idx="0">
                  <c:v>Konsentrasjon (ppm)</c:v>
                </c:pt>
              </c:strCache>
            </c:strRef>
          </c:tx>
          <c:layout>
            <c:manualLayout>
              <c:xMode val="edge"/>
              <c:yMode val="edge"/>
              <c:x val="3.6405845758967617E-4"/>
              <c:y val="0.37180799375146206"/>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n-NO"/>
            </a:p>
          </c:txPr>
        </c:title>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NO"/>
          </a:p>
        </c:txPr>
        <c:crossAx val="57834240"/>
        <c:crosses val="autoZero"/>
        <c:crossBetween val="midCat"/>
      </c:valAx>
      <c:spPr>
        <a:solidFill>
          <a:srgbClr val="C0C0C0"/>
        </a:solidFill>
        <a:ln w="12700">
          <a:solidFill>
            <a:srgbClr val="808080"/>
          </a:solidFill>
          <a:prstDash val="solid"/>
        </a:ln>
      </c:spPr>
    </c:plotArea>
    <c:plotVisOnly val="0"/>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NO"/>
    </a:p>
  </c:txPr>
  <c:printSettings>
    <c:headerFooter alignWithMargins="0">
      <c:oddHeader>&amp;A</c:oddHeader>
      <c:oddFooter>Page &amp;P</c:oddFooter>
    </c:headerFooter>
    <c:pageMargins b="1" l="0.75" r="0.75" t="1" header="0.5" footer="0.5"/>
    <c:pageSetup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 graphs'!$B$57</c:f>
          <c:strCache>
            <c:ptCount val="1"/>
            <c:pt idx="0">
              <c:v>Log-normalfordelingsplott</c:v>
            </c:pt>
          </c:strCache>
        </c:strRef>
      </c:tx>
      <c:layout>
        <c:manualLayout>
          <c:xMode val="edge"/>
          <c:yMode val="edge"/>
          <c:x val="0.31733961780622988"/>
          <c:y val="1.1830433889895261E-2"/>
        </c:manualLayout>
      </c:layout>
      <c:overlay val="0"/>
      <c:spPr>
        <a:noFill/>
        <a:ln w="25400">
          <a:noFill/>
        </a:ln>
      </c:spPr>
      <c:txPr>
        <a:bodyPr/>
        <a:lstStyle/>
        <a:p>
          <a:pPr>
            <a:defRPr sz="1200" b="1" i="0" u="none" strike="noStrike" baseline="0">
              <a:solidFill>
                <a:srgbClr val="000000"/>
              </a:solidFill>
              <a:latin typeface="Geneva"/>
              <a:ea typeface="Geneva"/>
              <a:cs typeface="Geneva"/>
            </a:defRPr>
          </a:pPr>
          <a:endParaRPr lang="en-NO"/>
        </a:p>
      </c:txPr>
    </c:title>
    <c:autoTitleDeleted val="0"/>
    <c:plotArea>
      <c:layout>
        <c:manualLayout>
          <c:layoutTarget val="inner"/>
          <c:xMode val="edge"/>
          <c:yMode val="edge"/>
          <c:x val="8.7138691223990344E-2"/>
          <c:y val="0.10603204862616243"/>
          <c:w val="0.89153795700230776"/>
          <c:h val="0.79870528831065024"/>
        </c:manualLayout>
      </c:layout>
      <c:scatterChart>
        <c:scatterStyle val="lineMarker"/>
        <c:varyColors val="0"/>
        <c:ser>
          <c:idx val="5"/>
          <c:order val="0"/>
          <c:tx>
            <c:strRef>
              <c:f>'Data graphs'!$A$55</c:f>
              <c:strCache>
                <c:ptCount val="1"/>
                <c:pt idx="0">
                  <c:v>Fordeling</c:v>
                </c:pt>
              </c:strCache>
            </c:strRef>
          </c:tx>
          <c:spPr>
            <a:ln>
              <a:solidFill>
                <a:srgbClr val="C00000"/>
              </a:solidFill>
            </a:ln>
          </c:spPr>
          <c:marker>
            <c:symbol val="none"/>
          </c:marker>
          <c:xVal>
            <c:numRef>
              <c:f>'Data graphs'!$B$68:$B$167</c:f>
              <c:numCache>
                <c:formatCode>General</c:formatCode>
                <c:ptCount val="100"/>
                <c:pt idx="0">
                  <c:v>0.69226413445031543</c:v>
                </c:pt>
                <c:pt idx="1">
                  <c:v>1.3845282689006309</c:v>
                </c:pt>
                <c:pt idx="2">
                  <c:v>2.0767924033509462</c:v>
                </c:pt>
                <c:pt idx="3">
                  <c:v>2.7690565378012617</c:v>
                </c:pt>
                <c:pt idx="4">
                  <c:v>3.4613206722515772</c:v>
                </c:pt>
                <c:pt idx="5">
                  <c:v>4.1535848067018923</c:v>
                </c:pt>
                <c:pt idx="6">
                  <c:v>4.8458489411522079</c:v>
                </c:pt>
                <c:pt idx="7">
                  <c:v>5.5381130756025234</c:v>
                </c:pt>
                <c:pt idx="8">
                  <c:v>6.230377210052839</c:v>
                </c:pt>
                <c:pt idx="9">
                  <c:v>6.9226413445031545</c:v>
                </c:pt>
                <c:pt idx="10">
                  <c:v>7.61490547895347</c:v>
                </c:pt>
                <c:pt idx="11">
                  <c:v>8.3071696134037847</c:v>
                </c:pt>
                <c:pt idx="12">
                  <c:v>8.9994337478541002</c:v>
                </c:pt>
                <c:pt idx="13">
                  <c:v>9.6916978823044158</c:v>
                </c:pt>
                <c:pt idx="14">
                  <c:v>10.383962016754731</c:v>
                </c:pt>
                <c:pt idx="15">
                  <c:v>11.076226151205047</c:v>
                </c:pt>
                <c:pt idx="16">
                  <c:v>11.768490285655362</c:v>
                </c:pt>
                <c:pt idx="17">
                  <c:v>12.460754420105678</c:v>
                </c:pt>
                <c:pt idx="18">
                  <c:v>13.153018554555993</c:v>
                </c:pt>
                <c:pt idx="19">
                  <c:v>13.845282689006309</c:v>
                </c:pt>
                <c:pt idx="20">
                  <c:v>14.537546823456625</c:v>
                </c:pt>
                <c:pt idx="21">
                  <c:v>15.22981095790694</c:v>
                </c:pt>
                <c:pt idx="22">
                  <c:v>15.922075092357256</c:v>
                </c:pt>
                <c:pt idx="23">
                  <c:v>16.614339226807569</c:v>
                </c:pt>
                <c:pt idx="24">
                  <c:v>17.306603361257885</c:v>
                </c:pt>
                <c:pt idx="25">
                  <c:v>17.9988674957082</c:v>
                </c:pt>
                <c:pt idx="26">
                  <c:v>18.691131630158516</c:v>
                </c:pt>
                <c:pt idx="27">
                  <c:v>19.383395764608832</c:v>
                </c:pt>
                <c:pt idx="28">
                  <c:v>20.075659899059147</c:v>
                </c:pt>
                <c:pt idx="29">
                  <c:v>20.767924033509463</c:v>
                </c:pt>
                <c:pt idx="30">
                  <c:v>21.460188167959778</c:v>
                </c:pt>
                <c:pt idx="31">
                  <c:v>22.152452302410094</c:v>
                </c:pt>
                <c:pt idx="32">
                  <c:v>22.844716436860409</c:v>
                </c:pt>
                <c:pt idx="33">
                  <c:v>23.536980571310725</c:v>
                </c:pt>
                <c:pt idx="34">
                  <c:v>24.22924470576104</c:v>
                </c:pt>
                <c:pt idx="35">
                  <c:v>24.921508840211356</c:v>
                </c:pt>
                <c:pt idx="36">
                  <c:v>25.613772974661671</c:v>
                </c:pt>
                <c:pt idx="37">
                  <c:v>26.306037109111987</c:v>
                </c:pt>
                <c:pt idx="38">
                  <c:v>26.998301243562302</c:v>
                </c:pt>
                <c:pt idx="39">
                  <c:v>27.690565378012618</c:v>
                </c:pt>
                <c:pt idx="40">
                  <c:v>28.382829512462934</c:v>
                </c:pt>
                <c:pt idx="41">
                  <c:v>29.075093646913249</c:v>
                </c:pt>
                <c:pt idx="42">
                  <c:v>29.767357781363565</c:v>
                </c:pt>
                <c:pt idx="43">
                  <c:v>30.45962191581388</c:v>
                </c:pt>
                <c:pt idx="44">
                  <c:v>31.151886050264196</c:v>
                </c:pt>
                <c:pt idx="45">
                  <c:v>31.844150184714511</c:v>
                </c:pt>
                <c:pt idx="46">
                  <c:v>32.536414319164827</c:v>
                </c:pt>
                <c:pt idx="47">
                  <c:v>33.228678453615139</c:v>
                </c:pt>
                <c:pt idx="48">
                  <c:v>33.920942588065451</c:v>
                </c:pt>
                <c:pt idx="49">
                  <c:v>34.613206722515763</c:v>
                </c:pt>
                <c:pt idx="50">
                  <c:v>35.305470856966075</c:v>
                </c:pt>
                <c:pt idx="51">
                  <c:v>35.997734991416387</c:v>
                </c:pt>
                <c:pt idx="52">
                  <c:v>36.689999125866699</c:v>
                </c:pt>
                <c:pt idx="53">
                  <c:v>37.382263260317011</c:v>
                </c:pt>
                <c:pt idx="54">
                  <c:v>38.074527394767323</c:v>
                </c:pt>
                <c:pt idx="55">
                  <c:v>38.766791529217635</c:v>
                </c:pt>
                <c:pt idx="56">
                  <c:v>39.459055663667947</c:v>
                </c:pt>
                <c:pt idx="57">
                  <c:v>40.151319798118259</c:v>
                </c:pt>
                <c:pt idx="58">
                  <c:v>40.843583932568571</c:v>
                </c:pt>
                <c:pt idx="59">
                  <c:v>41.535848067018883</c:v>
                </c:pt>
                <c:pt idx="60">
                  <c:v>42.228112201469195</c:v>
                </c:pt>
                <c:pt idx="61">
                  <c:v>42.920376335919507</c:v>
                </c:pt>
                <c:pt idx="62">
                  <c:v>43.612640470369819</c:v>
                </c:pt>
                <c:pt idx="63">
                  <c:v>44.30490460482013</c:v>
                </c:pt>
                <c:pt idx="64">
                  <c:v>44.997168739270442</c:v>
                </c:pt>
                <c:pt idx="65">
                  <c:v>45.689432873720754</c:v>
                </c:pt>
                <c:pt idx="66">
                  <c:v>46.381697008171066</c:v>
                </c:pt>
                <c:pt idx="67">
                  <c:v>47.073961142621378</c:v>
                </c:pt>
                <c:pt idx="68">
                  <c:v>47.76622527707169</c:v>
                </c:pt>
                <c:pt idx="69">
                  <c:v>48.458489411522002</c:v>
                </c:pt>
                <c:pt idx="70">
                  <c:v>49.150753545972314</c:v>
                </c:pt>
                <c:pt idx="71">
                  <c:v>49.843017680422626</c:v>
                </c:pt>
                <c:pt idx="72">
                  <c:v>50.535281814872938</c:v>
                </c:pt>
                <c:pt idx="73">
                  <c:v>51.22754594932325</c:v>
                </c:pt>
                <c:pt idx="74">
                  <c:v>51.919810083773562</c:v>
                </c:pt>
                <c:pt idx="75">
                  <c:v>52.612074218223874</c:v>
                </c:pt>
                <c:pt idx="76">
                  <c:v>53.304338352674186</c:v>
                </c:pt>
                <c:pt idx="77">
                  <c:v>53.996602487124498</c:v>
                </c:pt>
                <c:pt idx="78">
                  <c:v>54.68886662157481</c:v>
                </c:pt>
                <c:pt idx="79">
                  <c:v>55.381130756025122</c:v>
                </c:pt>
                <c:pt idx="80">
                  <c:v>56.073394890475434</c:v>
                </c:pt>
                <c:pt idx="81">
                  <c:v>56.765659024925746</c:v>
                </c:pt>
                <c:pt idx="82">
                  <c:v>57.457923159376058</c:v>
                </c:pt>
                <c:pt idx="83">
                  <c:v>58.15018729382637</c:v>
                </c:pt>
                <c:pt idx="84">
                  <c:v>58.842451428276682</c:v>
                </c:pt>
                <c:pt idx="85">
                  <c:v>59.534715562726994</c:v>
                </c:pt>
                <c:pt idx="86">
                  <c:v>60.226979697177306</c:v>
                </c:pt>
                <c:pt idx="87">
                  <c:v>60.919243831627618</c:v>
                </c:pt>
                <c:pt idx="88">
                  <c:v>61.61150796607793</c:v>
                </c:pt>
                <c:pt idx="89">
                  <c:v>62.303772100528242</c:v>
                </c:pt>
                <c:pt idx="90">
                  <c:v>62.996036234978554</c:v>
                </c:pt>
                <c:pt idx="91">
                  <c:v>63.688300369428866</c:v>
                </c:pt>
                <c:pt idx="92">
                  <c:v>64.380564503879185</c:v>
                </c:pt>
                <c:pt idx="93">
                  <c:v>65.072828638329497</c:v>
                </c:pt>
                <c:pt idx="94">
                  <c:v>65.765092772779809</c:v>
                </c:pt>
                <c:pt idx="95">
                  <c:v>66.457356907230121</c:v>
                </c:pt>
                <c:pt idx="96">
                  <c:v>67.149621041680433</c:v>
                </c:pt>
                <c:pt idx="97">
                  <c:v>67.841885176130745</c:v>
                </c:pt>
                <c:pt idx="98">
                  <c:v>68.534149310581057</c:v>
                </c:pt>
                <c:pt idx="99">
                  <c:v>69.226413445031369</c:v>
                </c:pt>
              </c:numCache>
            </c:numRef>
          </c:xVal>
          <c:yVal>
            <c:numRef>
              <c:f>'Data graphs'!$C$68:$C$167</c:f>
              <c:numCache>
                <c:formatCode>General</c:formatCode>
                <c:ptCount val="100"/>
                <c:pt idx="0">
                  <c:v>5.9558945720727445E-2</c:v>
                </c:pt>
                <c:pt idx="1">
                  <c:v>9.7905264714820153E-2</c:v>
                </c:pt>
                <c:pt idx="2">
                  <c:v>0.10641384512892324</c:v>
                </c:pt>
                <c:pt idx="3">
                  <c:v>0.10288535099407224</c:v>
                </c:pt>
                <c:pt idx="4">
                  <c:v>9.5048247672692765E-2</c:v>
                </c:pt>
                <c:pt idx="5">
                  <c:v>8.6075720218165508E-2</c:v>
                </c:pt>
                <c:pt idx="6">
                  <c:v>7.7264956083746811E-2</c:v>
                </c:pt>
                <c:pt idx="7">
                  <c:v>6.9117734407736012E-2</c:v>
                </c:pt>
                <c:pt idx="8">
                  <c:v>6.1789978315544114E-2</c:v>
                </c:pt>
                <c:pt idx="9">
                  <c:v>5.5287342983067742E-2</c:v>
                </c:pt>
                <c:pt idx="10">
                  <c:v>4.9553279699030457E-2</c:v>
                </c:pt>
                <c:pt idx="11">
                  <c:v>4.45093905178632E-2</c:v>
                </c:pt>
                <c:pt idx="12">
                  <c:v>4.0073822662697031E-2</c:v>
                </c:pt>
                <c:pt idx="13">
                  <c:v>3.6169302085945453E-2</c:v>
                </c:pt>
                <c:pt idx="14">
                  <c:v>3.2726226025366574E-2</c:v>
                </c:pt>
                <c:pt idx="15">
                  <c:v>2.9683417306384831E-2</c:v>
                </c:pt>
                <c:pt idx="16">
                  <c:v>2.6987812601532827E-2</c:v>
                </c:pt>
                <c:pt idx="17">
                  <c:v>2.4593710499480264E-2</c:v>
                </c:pt>
                <c:pt idx="18">
                  <c:v>2.2461884634595863E-2</c:v>
                </c:pt>
                <c:pt idx="19">
                  <c:v>2.055870602381028E-2</c:v>
                </c:pt>
                <c:pt idx="20">
                  <c:v>1.885533749737579E-2</c:v>
                </c:pt>
                <c:pt idx="21">
                  <c:v>1.7327022476077425E-2</c:v>
                </c:pt>
                <c:pt idx="22">
                  <c:v>1.5952470589271947E-2</c:v>
                </c:pt>
                <c:pt idx="23">
                  <c:v>1.4713333619609394E-2</c:v>
                </c:pt>
                <c:pt idx="24">
                  <c:v>1.359376174128433E-2</c:v>
                </c:pt>
                <c:pt idx="25">
                  <c:v>1.2580029235754091E-2</c:v>
                </c:pt>
                <c:pt idx="26">
                  <c:v>1.1660219379236813E-2</c:v>
                </c:pt>
                <c:pt idx="27">
                  <c:v>1.0823959249781323E-2</c:v>
                </c:pt>
                <c:pt idx="28">
                  <c:v>1.0062196416374026E-2</c:v>
                </c:pt>
                <c:pt idx="29">
                  <c:v>9.367010662406243E-3</c:v>
                </c:pt>
                <c:pt idx="30">
                  <c:v>8.7314549783198536E-3</c:v>
                </c:pt>
                <c:pt idx="31">
                  <c:v>8.1494210044748272E-3</c:v>
                </c:pt>
                <c:pt idx="32">
                  <c:v>7.6155249131315446E-3</c:v>
                </c:pt>
                <c:pt idx="33">
                  <c:v>7.125010398226236E-3</c:v>
                </c:pt>
                <c:pt idx="34">
                  <c:v>6.6736660084993852E-3</c:v>
                </c:pt>
                <c:pt idx="35">
                  <c:v>6.2577545296564748E-3</c:v>
                </c:pt>
                <c:pt idx="36">
                  <c:v>5.8739525098648535E-3</c:v>
                </c:pt>
                <c:pt idx="37">
                  <c:v>5.5192983436301527E-3</c:v>
                </c:pt>
                <c:pt idx="38">
                  <c:v>5.1911475936802284E-3</c:v>
                </c:pt>
                <c:pt idx="39">
                  <c:v>4.8871344488149553E-3</c:v>
                </c:pt>
                <c:pt idx="40">
                  <c:v>4.6051383960046127E-3</c:v>
                </c:pt>
                <c:pt idx="41">
                  <c:v>4.3432553341504407E-3</c:v>
                </c:pt>
                <c:pt idx="42">
                  <c:v>4.0997724804551156E-3</c:v>
                </c:pt>
                <c:pt idx="43">
                  <c:v>3.8731465228708873E-3</c:v>
                </c:pt>
                <c:pt idx="44">
                  <c:v>3.6619845573444424E-3</c:v>
                </c:pt>
                <c:pt idx="45">
                  <c:v>3.4650274196192793E-3</c:v>
                </c:pt>
                <c:pt idx="46">
                  <c:v>3.2811350806864394E-3</c:v>
                </c:pt>
                <c:pt idx="47">
                  <c:v>3.1092738246348301E-3</c:v>
                </c:pt>
                <c:pt idx="48">
                  <c:v>2.9485049693130697E-3</c:v>
                </c:pt>
                <c:pt idx="49">
                  <c:v>2.7979749252437505E-3</c:v>
                </c:pt>
                <c:pt idx="50">
                  <c:v>2.6569064177510882E-3</c:v>
                </c:pt>
                <c:pt idx="51">
                  <c:v>2.5245907221962426E-3</c:v>
                </c:pt>
                <c:pt idx="52">
                  <c:v>2.4003807833210974E-3</c:v>
                </c:pt>
                <c:pt idx="53">
                  <c:v>2.2836851076077657E-3</c:v>
                </c:pt>
                <c:pt idx="54">
                  <c:v>2.1739623327856287E-3</c:v>
                </c:pt>
                <c:pt idx="55">
                  <c:v>2.07071639158993E-3</c:v>
                </c:pt>
                <c:pt idx="56">
                  <c:v>1.9734921979521368E-3</c:v>
                </c:pt>
                <c:pt idx="57">
                  <c:v>1.8818717932792307E-3</c:v>
                </c:pt>
                <c:pt idx="58">
                  <c:v>1.7954708986041134E-3</c:v>
                </c:pt>
                <c:pt idx="59">
                  <c:v>1.7139358253690537E-3</c:v>
                </c:pt>
                <c:pt idx="60">
                  <c:v>1.6369407036117898E-3</c:v>
                </c:pt>
                <c:pt idx="61">
                  <c:v>1.5641849915046149E-3</c:v>
                </c:pt>
                <c:pt idx="62">
                  <c:v>1.4953912346728068E-3</c:v>
                </c:pt>
                <c:pt idx="63">
                  <c:v>1.430303047592971E-3</c:v>
                </c:pt>
                <c:pt idx="64">
                  <c:v>1.3686832927311365E-3</c:v>
                </c:pt>
                <c:pt idx="65">
                  <c:v>1.3103124359983673E-3</c:v>
                </c:pt>
                <c:pt idx="66">
                  <c:v>1.2549870596404748E-3</c:v>
                </c:pt>
                <c:pt idx="67">
                  <c:v>1.2025185158911623E-3</c:v>
                </c:pt>
                <c:pt idx="68">
                  <c:v>1.1527317066495398E-3</c:v>
                </c:pt>
                <c:pt idx="69">
                  <c:v>1.105463976131912E-3</c:v>
                </c:pt>
                <c:pt idx="70">
                  <c:v>1.0605641049268462E-3</c:v>
                </c:pt>
                <c:pt idx="71">
                  <c:v>1.017891395179722E-3</c:v>
                </c:pt>
                <c:pt idx="72">
                  <c:v>9.7731483777251256E-4</c:v>
                </c:pt>
                <c:pt idx="73">
                  <c:v>9.3871235336688596E-4</c:v>
                </c:pt>
                <c:pt idx="74">
                  <c:v>9.0197010006175802E-4</c:v>
                </c:pt>
                <c:pt idx="75">
                  <c:v>8.6698184119537265E-4</c:v>
                </c:pt>
                <c:pt idx="76">
                  <c:v>8.3364836751014329E-4</c:v>
                </c:pt>
                <c:pt idx="77">
                  <c:v>8.0187696850714295E-4</c:v>
                </c:pt>
                <c:pt idx="78">
                  <c:v>7.715809483562746E-4</c:v>
                </c:pt>
                <c:pt idx="79">
                  <c:v>7.426791822062876E-4</c:v>
                </c:pt>
                <c:pt idx="80">
                  <c:v>7.1509570916336107E-4</c:v>
                </c:pt>
                <c:pt idx="81">
                  <c:v>6.8875935858447792E-4</c:v>
                </c:pt>
                <c:pt idx="82">
                  <c:v>6.6360340666777977E-4</c:v>
                </c:pt>
                <c:pt idx="83">
                  <c:v>6.3956526062161048E-4</c:v>
                </c:pt>
                <c:pt idx="84">
                  <c:v>6.1658616796106153E-4</c:v>
                </c:pt>
                <c:pt idx="85">
                  <c:v>5.9461094871958258E-4</c:v>
                </c:pt>
                <c:pt idx="86">
                  <c:v>5.7358774857654588E-4</c:v>
                </c:pt>
                <c:pt idx="87">
                  <c:v>5.5346781109282157E-4</c:v>
                </c:pt>
                <c:pt idx="88">
                  <c:v>5.3420526741754205E-4</c:v>
                </c:pt>
                <c:pt idx="89">
                  <c:v>5.1575694198293916E-4</c:v>
                </c:pt>
                <c:pt idx="90">
                  <c:v>4.9808217284201127E-4</c:v>
                </c:pt>
                <c:pt idx="91">
                  <c:v>4.8114264542784479E-4</c:v>
                </c:pt>
                <c:pt idx="92">
                  <c:v>4.6490223862497108E-4</c:v>
                </c:pt>
                <c:pt idx="93">
                  <c:v>4.4932688214367766E-4</c:v>
                </c:pt>
                <c:pt idx="94">
                  <c:v>4.3438442427878442E-4</c:v>
                </c:pt>
                <c:pt idx="95">
                  <c:v>4.2004450921620539E-4</c:v>
                </c:pt>
                <c:pt idx="96">
                  <c:v>4.0627846312446054E-4</c:v>
                </c:pt>
                <c:pt idx="97">
                  <c:v>3.9305918833509656E-4</c:v>
                </c:pt>
                <c:pt idx="98">
                  <c:v>3.803610649763912E-4</c:v>
                </c:pt>
                <c:pt idx="99">
                  <c:v>3.6815985947946461E-4</c:v>
                </c:pt>
              </c:numCache>
            </c:numRef>
          </c:yVal>
          <c:smooth val="0"/>
          <c:extLst>
            <c:ext xmlns:c16="http://schemas.microsoft.com/office/drawing/2014/chart" uri="{C3380CC4-5D6E-409C-BE32-E72D297353CC}">
              <c16:uniqueId val="{00000000-07A9-4397-AE90-1BF33746436E}"/>
            </c:ext>
          </c:extLst>
        </c:ser>
        <c:ser>
          <c:idx val="6"/>
          <c:order val="1"/>
          <c:tx>
            <c:strRef>
              <c:f>'Data graphs'!$B$59</c:f>
              <c:strCache>
                <c:ptCount val="1"/>
                <c:pt idx="0">
                  <c:v>AM (MVUE)</c:v>
                </c:pt>
              </c:strCache>
            </c:strRef>
          </c:tx>
          <c:spPr>
            <a:ln>
              <a:solidFill>
                <a:schemeClr val="accent6"/>
              </a:solidFill>
            </a:ln>
          </c:spPr>
          <c:marker>
            <c:symbol val="none"/>
          </c:marker>
          <c:xVal>
            <c:numRef>
              <c:f>'Data graphs'!$B$62:$B$63</c:f>
              <c:numCache>
                <c:formatCode>0.00</c:formatCode>
                <c:ptCount val="2"/>
                <c:pt idx="0">
                  <c:v>9.6828720587525439</c:v>
                </c:pt>
                <c:pt idx="1">
                  <c:v>9.6828720587525439</c:v>
                </c:pt>
              </c:numCache>
            </c:numRef>
          </c:xVal>
          <c:yVal>
            <c:numRef>
              <c:f>'Data graphs'!$B$64:$B$65</c:f>
              <c:numCache>
                <c:formatCode>General</c:formatCode>
                <c:ptCount val="2"/>
                <c:pt idx="0">
                  <c:v>0</c:v>
                </c:pt>
                <c:pt idx="1">
                  <c:v>0.10641384512892324</c:v>
                </c:pt>
              </c:numCache>
            </c:numRef>
          </c:yVal>
          <c:smooth val="0"/>
          <c:extLst>
            <c:ext xmlns:c16="http://schemas.microsoft.com/office/drawing/2014/chart" uri="{C3380CC4-5D6E-409C-BE32-E72D297353CC}">
              <c16:uniqueId val="{00000001-07A9-4397-AE90-1BF33746436E}"/>
            </c:ext>
          </c:extLst>
        </c:ser>
        <c:ser>
          <c:idx val="7"/>
          <c:order val="2"/>
          <c:tx>
            <c:strRef>
              <c:f>'Data graphs'!$C$59</c:f>
              <c:strCache>
                <c:ptCount val="1"/>
                <c:pt idx="0">
                  <c:v>95%-il</c:v>
                </c:pt>
              </c:strCache>
            </c:strRef>
          </c:tx>
          <c:spPr>
            <a:ln>
              <a:solidFill>
                <a:schemeClr val="accent1"/>
              </a:solidFill>
            </a:ln>
          </c:spPr>
          <c:marker>
            <c:symbol val="none"/>
          </c:marker>
          <c:xVal>
            <c:numRef>
              <c:f>'Data graphs'!$C$62:$C$63</c:f>
              <c:numCache>
                <c:formatCode>General</c:formatCode>
                <c:ptCount val="2"/>
                <c:pt idx="0" formatCode="0.00">
                  <c:v>34.037425582807302</c:v>
                </c:pt>
                <c:pt idx="1">
                  <c:v>34.037425582807302</c:v>
                </c:pt>
              </c:numCache>
            </c:numRef>
          </c:xVal>
          <c:yVal>
            <c:numRef>
              <c:f>'Data graphs'!$C$64:$C$65</c:f>
              <c:numCache>
                <c:formatCode>General</c:formatCode>
                <c:ptCount val="2"/>
                <c:pt idx="0">
                  <c:v>0</c:v>
                </c:pt>
                <c:pt idx="1">
                  <c:v>0.10641384512892324</c:v>
                </c:pt>
              </c:numCache>
            </c:numRef>
          </c:yVal>
          <c:smooth val="0"/>
          <c:extLst>
            <c:ext xmlns:c16="http://schemas.microsoft.com/office/drawing/2014/chart" uri="{C3380CC4-5D6E-409C-BE32-E72D297353CC}">
              <c16:uniqueId val="{00000002-07A9-4397-AE90-1BF33746436E}"/>
            </c:ext>
          </c:extLst>
        </c:ser>
        <c:ser>
          <c:idx val="0"/>
          <c:order val="3"/>
          <c:tx>
            <c:strRef>
              <c:f>'Data graphs'!$G$59</c:f>
              <c:strCache>
                <c:ptCount val="1"/>
                <c:pt idx="0">
                  <c:v>EØK</c:v>
                </c:pt>
              </c:strCache>
            </c:strRef>
          </c:tx>
          <c:spPr>
            <a:ln>
              <a:solidFill>
                <a:srgbClr val="7030A0"/>
              </a:solidFill>
              <a:prstDash val="lgDashDot"/>
            </a:ln>
          </c:spPr>
          <c:marker>
            <c:symbol val="none"/>
          </c:marker>
          <c:xVal>
            <c:numRef>
              <c:f>'Data graphs'!$D$62:$D$63</c:f>
              <c:numCache>
                <c:formatCode>General</c:formatCode>
                <c:ptCount val="2"/>
                <c:pt idx="0" formatCode="0.00">
                  <c:v>52.971738036210645</c:v>
                </c:pt>
                <c:pt idx="1">
                  <c:v>52.971738036210645</c:v>
                </c:pt>
              </c:numCache>
            </c:numRef>
          </c:xVal>
          <c:yVal>
            <c:numRef>
              <c:f>'Data graphs'!$D$64:$D$65</c:f>
              <c:numCache>
                <c:formatCode>General</c:formatCode>
                <c:ptCount val="2"/>
                <c:pt idx="0">
                  <c:v>0</c:v>
                </c:pt>
                <c:pt idx="1">
                  <c:v>0.10641384512892324</c:v>
                </c:pt>
              </c:numCache>
            </c:numRef>
          </c:yVal>
          <c:smooth val="0"/>
          <c:extLst>
            <c:ext xmlns:c16="http://schemas.microsoft.com/office/drawing/2014/chart" uri="{C3380CC4-5D6E-409C-BE32-E72D297353CC}">
              <c16:uniqueId val="{0000000D-07A9-4397-AE90-1BF33746436E}"/>
            </c:ext>
          </c:extLst>
        </c:ser>
        <c:dLbls>
          <c:showLegendKey val="0"/>
          <c:showVal val="0"/>
          <c:showCatName val="0"/>
          <c:showSerName val="0"/>
          <c:showPercent val="0"/>
          <c:showBubbleSize val="0"/>
        </c:dLbls>
        <c:axId val="57830208"/>
        <c:axId val="57830784"/>
      </c:scatterChart>
      <c:valAx>
        <c:axId val="57830208"/>
        <c:scaling>
          <c:orientation val="minMax"/>
        </c:scaling>
        <c:delete val="0"/>
        <c:axPos val="b"/>
        <c:title>
          <c:tx>
            <c:strRef>
              <c:f>'Data graphs'!$I$58</c:f>
              <c:strCache>
                <c:ptCount val="1"/>
                <c:pt idx="0">
                  <c:v>Konsentrasjon (ppm)</c:v>
                </c:pt>
              </c:strCache>
            </c:strRef>
          </c:tx>
          <c:layout>
            <c:manualLayout>
              <c:xMode val="edge"/>
              <c:yMode val="edge"/>
              <c:x val="0.43918240312558632"/>
              <c:y val="0.95189960629921244"/>
            </c:manualLayout>
          </c:layout>
          <c:overlay val="0"/>
          <c:spPr>
            <a:solidFill>
              <a:srgbClr val="FFFFFF"/>
            </a:solidFill>
            <a:ln w="25400">
              <a:noFill/>
            </a:ln>
          </c:spPr>
          <c:txPr>
            <a:bodyPr/>
            <a:lstStyle/>
            <a:p>
              <a:pPr>
                <a:defRPr sz="1000" b="1" i="0" u="none" strike="noStrike" baseline="0">
                  <a:solidFill>
                    <a:srgbClr val="000000"/>
                  </a:solidFill>
                  <a:latin typeface="Geneva"/>
                  <a:ea typeface="Geneva"/>
                  <a:cs typeface="Geneva"/>
                </a:defRPr>
              </a:pPr>
              <a:endParaRPr lang="en-NO"/>
            </a:p>
          </c:txPr>
        </c:title>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Geneva"/>
                <a:ea typeface="Geneva"/>
                <a:cs typeface="Geneva"/>
              </a:defRPr>
            </a:pPr>
            <a:endParaRPr lang="en-NO"/>
          </a:p>
        </c:txPr>
        <c:crossAx val="57830784"/>
        <c:crosses val="autoZero"/>
        <c:crossBetween val="midCat"/>
      </c:valAx>
      <c:valAx>
        <c:axId val="57830784"/>
        <c:scaling>
          <c:orientation val="minMax"/>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Geneva"/>
                <a:ea typeface="Geneva"/>
                <a:cs typeface="Geneva"/>
              </a:defRPr>
            </a:pPr>
            <a:endParaRPr lang="en-NO"/>
          </a:p>
        </c:txPr>
        <c:crossAx val="57830208"/>
        <c:crosses val="autoZero"/>
        <c:crossBetween val="midCat"/>
      </c:valAx>
      <c:spPr>
        <a:solidFill>
          <a:schemeClr val="bg1">
            <a:lumMod val="75000"/>
          </a:schemeClr>
        </a:solidFill>
        <a:ln w="25400">
          <a:noFill/>
        </a:ln>
      </c:spPr>
    </c:plotArea>
    <c:legend>
      <c:legendPos val="t"/>
      <c:layout>
        <c:manualLayout>
          <c:xMode val="edge"/>
          <c:yMode val="edge"/>
          <c:x val="8.5771598269425001E-2"/>
          <c:y val="5.6074130501075826E-2"/>
          <c:w val="0.86929917742413665"/>
          <c:h val="4.3880025934821952E-2"/>
        </c:manualLayout>
      </c:layout>
      <c:overlay val="0"/>
    </c:legend>
    <c:plotVisOnly val="0"/>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Geneva"/>
          <a:ea typeface="Geneva"/>
          <a:cs typeface="Geneva"/>
        </a:defRPr>
      </a:pPr>
      <a:endParaRPr lang="en-NO"/>
    </a:p>
  </c:txPr>
  <c:printSettings>
    <c:headerFooter alignWithMargins="0">
      <c:oddHeader>&amp;F</c:oddHeader>
      <c:oddFooter>Page &amp;P</c:oddFooter>
    </c:headerFooter>
    <c:pageMargins b="1" l="0.75" r="0.75" t="1" header="0.5" footer="0.5"/>
    <c:pageSetup orientation="landscape" blackAndWhite="1" horizontalDpi="300" verticalDpi="3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 graphs'!$E$57</c:f>
          <c:strCache>
            <c:ptCount val="1"/>
            <c:pt idx="0">
              <c:v>Normalfordelingsplott</c:v>
            </c:pt>
          </c:strCache>
        </c:strRef>
      </c:tx>
      <c:layout>
        <c:manualLayout>
          <c:xMode val="edge"/>
          <c:yMode val="edge"/>
          <c:x val="0.25963331244382565"/>
          <c:y val="1.266043728766472E-2"/>
        </c:manualLayout>
      </c:layout>
      <c:overlay val="0"/>
      <c:spPr>
        <a:noFill/>
        <a:ln w="25400">
          <a:noFill/>
        </a:ln>
      </c:spPr>
      <c:txPr>
        <a:bodyPr/>
        <a:lstStyle/>
        <a:p>
          <a:pPr>
            <a:defRPr sz="1200" b="1" i="0" u="none" strike="noStrike" baseline="0">
              <a:solidFill>
                <a:srgbClr val="000000"/>
              </a:solidFill>
              <a:latin typeface="Geneva"/>
              <a:ea typeface="Geneva"/>
              <a:cs typeface="Geneva"/>
            </a:defRPr>
          </a:pPr>
          <a:endParaRPr lang="en-NO"/>
        </a:p>
      </c:txPr>
    </c:title>
    <c:autoTitleDeleted val="0"/>
    <c:plotArea>
      <c:layout>
        <c:manualLayout>
          <c:layoutTarget val="inner"/>
          <c:xMode val="edge"/>
          <c:yMode val="edge"/>
          <c:x val="8.7138691223990344E-2"/>
          <c:y val="0.10603204862616243"/>
          <c:w val="0.89153795700230776"/>
          <c:h val="0.79870528831065024"/>
        </c:manualLayout>
      </c:layout>
      <c:scatterChart>
        <c:scatterStyle val="lineMarker"/>
        <c:varyColors val="0"/>
        <c:ser>
          <c:idx val="5"/>
          <c:order val="0"/>
          <c:tx>
            <c:strRef>
              <c:f>'Data graphs'!$A$55</c:f>
              <c:strCache>
                <c:ptCount val="1"/>
                <c:pt idx="0">
                  <c:v>Fordeling</c:v>
                </c:pt>
              </c:strCache>
            </c:strRef>
          </c:tx>
          <c:spPr>
            <a:ln>
              <a:solidFill>
                <a:srgbClr val="C00000"/>
              </a:solidFill>
            </a:ln>
          </c:spPr>
          <c:marker>
            <c:symbol val="none"/>
          </c:marker>
          <c:xVal>
            <c:numRef>
              <c:f>'Data graphs'!$E$68:$E$167</c:f>
              <c:numCache>
                <c:formatCode>General</c:formatCode>
                <c:ptCount val="100"/>
                <c:pt idx="0">
                  <c:v>0.28414149999999999</c:v>
                </c:pt>
                <c:pt idx="1">
                  <c:v>0.56828299999999998</c:v>
                </c:pt>
                <c:pt idx="2">
                  <c:v>0.85242449999999992</c:v>
                </c:pt>
                <c:pt idx="3">
                  <c:v>1.136566</c:v>
                </c:pt>
                <c:pt idx="4">
                  <c:v>1.4207075</c:v>
                </c:pt>
                <c:pt idx="5">
                  <c:v>1.7048490000000001</c:v>
                </c:pt>
                <c:pt idx="6">
                  <c:v>1.9889905000000001</c:v>
                </c:pt>
                <c:pt idx="7">
                  <c:v>2.2731319999999999</c:v>
                </c:pt>
                <c:pt idx="8">
                  <c:v>2.5572735</c:v>
                </c:pt>
                <c:pt idx="9">
                  <c:v>2.841415</c:v>
                </c:pt>
                <c:pt idx="10">
                  <c:v>3.1255565000000001</c:v>
                </c:pt>
                <c:pt idx="11">
                  <c:v>3.4096980000000001</c:v>
                </c:pt>
                <c:pt idx="12">
                  <c:v>3.6938395000000002</c:v>
                </c:pt>
                <c:pt idx="13">
                  <c:v>3.9779810000000002</c:v>
                </c:pt>
                <c:pt idx="14">
                  <c:v>4.2621225000000003</c:v>
                </c:pt>
                <c:pt idx="15">
                  <c:v>4.5462639999999999</c:v>
                </c:pt>
                <c:pt idx="16">
                  <c:v>4.8304054999999995</c:v>
                </c:pt>
                <c:pt idx="17">
                  <c:v>5.1145469999999991</c:v>
                </c:pt>
                <c:pt idx="18">
                  <c:v>5.3986884999999987</c:v>
                </c:pt>
                <c:pt idx="19">
                  <c:v>5.6828299999999983</c:v>
                </c:pt>
                <c:pt idx="20">
                  <c:v>5.9669714999999979</c:v>
                </c:pt>
                <c:pt idx="21">
                  <c:v>6.2511129999999975</c:v>
                </c:pt>
                <c:pt idx="22">
                  <c:v>6.5352544999999971</c:v>
                </c:pt>
                <c:pt idx="23">
                  <c:v>6.8193959999999967</c:v>
                </c:pt>
                <c:pt idx="24">
                  <c:v>7.1035374999999963</c:v>
                </c:pt>
                <c:pt idx="25">
                  <c:v>7.3876789999999959</c:v>
                </c:pt>
                <c:pt idx="26">
                  <c:v>7.6718204999999955</c:v>
                </c:pt>
                <c:pt idx="27">
                  <c:v>7.9559619999999951</c:v>
                </c:pt>
                <c:pt idx="28">
                  <c:v>8.2401034999999947</c:v>
                </c:pt>
                <c:pt idx="29">
                  <c:v>8.5242449999999952</c:v>
                </c:pt>
                <c:pt idx="30">
                  <c:v>8.8083864999999957</c:v>
                </c:pt>
                <c:pt idx="31">
                  <c:v>9.0925279999999962</c:v>
                </c:pt>
                <c:pt idx="32">
                  <c:v>9.3766694999999967</c:v>
                </c:pt>
                <c:pt idx="33">
                  <c:v>9.6608109999999972</c:v>
                </c:pt>
                <c:pt idx="34">
                  <c:v>9.9449524999999976</c:v>
                </c:pt>
                <c:pt idx="35">
                  <c:v>10.229093999999998</c:v>
                </c:pt>
                <c:pt idx="36">
                  <c:v>10.513235499999999</c:v>
                </c:pt>
                <c:pt idx="37">
                  <c:v>10.797376999999999</c:v>
                </c:pt>
                <c:pt idx="38">
                  <c:v>11.0815185</c:v>
                </c:pt>
                <c:pt idx="39">
                  <c:v>11.36566</c:v>
                </c:pt>
                <c:pt idx="40">
                  <c:v>11.649801500000001</c:v>
                </c:pt>
                <c:pt idx="41">
                  <c:v>11.933943000000001</c:v>
                </c:pt>
                <c:pt idx="42">
                  <c:v>12.218084500000002</c:v>
                </c:pt>
                <c:pt idx="43">
                  <c:v>12.502226000000002</c:v>
                </c:pt>
                <c:pt idx="44">
                  <c:v>12.786367500000003</c:v>
                </c:pt>
                <c:pt idx="45">
                  <c:v>13.070509000000003</c:v>
                </c:pt>
                <c:pt idx="46">
                  <c:v>13.354650500000004</c:v>
                </c:pt>
                <c:pt idx="47">
                  <c:v>13.638792000000004</c:v>
                </c:pt>
                <c:pt idx="48">
                  <c:v>13.922933500000005</c:v>
                </c:pt>
                <c:pt idx="49">
                  <c:v>14.207075000000005</c:v>
                </c:pt>
                <c:pt idx="50">
                  <c:v>14.491216500000005</c:v>
                </c:pt>
                <c:pt idx="51">
                  <c:v>14.775358000000006</c:v>
                </c:pt>
                <c:pt idx="52">
                  <c:v>15.059499500000006</c:v>
                </c:pt>
                <c:pt idx="53">
                  <c:v>15.343641000000007</c:v>
                </c:pt>
                <c:pt idx="54">
                  <c:v>15.627782500000007</c:v>
                </c:pt>
                <c:pt idx="55">
                  <c:v>15.911924000000008</c:v>
                </c:pt>
                <c:pt idx="56">
                  <c:v>16.196065500000007</c:v>
                </c:pt>
                <c:pt idx="57">
                  <c:v>16.480207000000007</c:v>
                </c:pt>
                <c:pt idx="58">
                  <c:v>16.764348500000008</c:v>
                </c:pt>
                <c:pt idx="59">
                  <c:v>17.048490000000008</c:v>
                </c:pt>
                <c:pt idx="60">
                  <c:v>17.332631500000009</c:v>
                </c:pt>
                <c:pt idx="61">
                  <c:v>17.616773000000009</c:v>
                </c:pt>
                <c:pt idx="62">
                  <c:v>17.90091450000001</c:v>
                </c:pt>
                <c:pt idx="63">
                  <c:v>18.18505600000001</c:v>
                </c:pt>
                <c:pt idx="64">
                  <c:v>18.469197500000011</c:v>
                </c:pt>
                <c:pt idx="65">
                  <c:v>18.753339000000011</c:v>
                </c:pt>
                <c:pt idx="66">
                  <c:v>19.037480500000012</c:v>
                </c:pt>
                <c:pt idx="67">
                  <c:v>19.321622000000012</c:v>
                </c:pt>
                <c:pt idx="68">
                  <c:v>19.605763500000013</c:v>
                </c:pt>
                <c:pt idx="69">
                  <c:v>19.889905000000013</c:v>
                </c:pt>
                <c:pt idx="70">
                  <c:v>20.174046500000014</c:v>
                </c:pt>
                <c:pt idx="71">
                  <c:v>20.458188000000014</c:v>
                </c:pt>
                <c:pt idx="72">
                  <c:v>20.742329500000015</c:v>
                </c:pt>
                <c:pt idx="73">
                  <c:v>21.026471000000015</c:v>
                </c:pt>
                <c:pt idx="74">
                  <c:v>21.310612500000016</c:v>
                </c:pt>
                <c:pt idx="75">
                  <c:v>21.594754000000016</c:v>
                </c:pt>
                <c:pt idx="76">
                  <c:v>21.878895500000016</c:v>
                </c:pt>
                <c:pt idx="77">
                  <c:v>22.163037000000017</c:v>
                </c:pt>
                <c:pt idx="78">
                  <c:v>22.447178500000017</c:v>
                </c:pt>
                <c:pt idx="79">
                  <c:v>22.731320000000018</c:v>
                </c:pt>
                <c:pt idx="80">
                  <c:v>23.015461500000018</c:v>
                </c:pt>
                <c:pt idx="81">
                  <c:v>23.299603000000019</c:v>
                </c:pt>
                <c:pt idx="82">
                  <c:v>23.583744500000019</c:v>
                </c:pt>
                <c:pt idx="83">
                  <c:v>23.86788600000002</c:v>
                </c:pt>
                <c:pt idx="84">
                  <c:v>24.15202750000002</c:v>
                </c:pt>
                <c:pt idx="85">
                  <c:v>24.436169000000021</c:v>
                </c:pt>
                <c:pt idx="86">
                  <c:v>24.720310500000021</c:v>
                </c:pt>
                <c:pt idx="87">
                  <c:v>25.004452000000022</c:v>
                </c:pt>
                <c:pt idx="88">
                  <c:v>25.288593500000022</c:v>
                </c:pt>
                <c:pt idx="89">
                  <c:v>25.572735000000023</c:v>
                </c:pt>
                <c:pt idx="90">
                  <c:v>25.856876500000023</c:v>
                </c:pt>
                <c:pt idx="91">
                  <c:v>26.141018000000024</c:v>
                </c:pt>
                <c:pt idx="92">
                  <c:v>26.425159500000024</c:v>
                </c:pt>
                <c:pt idx="93">
                  <c:v>26.709301000000025</c:v>
                </c:pt>
                <c:pt idx="94">
                  <c:v>26.993442500000025</c:v>
                </c:pt>
                <c:pt idx="95">
                  <c:v>27.277584000000026</c:v>
                </c:pt>
                <c:pt idx="96">
                  <c:v>27.561725500000026</c:v>
                </c:pt>
                <c:pt idx="97">
                  <c:v>27.845867000000027</c:v>
                </c:pt>
                <c:pt idx="98">
                  <c:v>28.130008500000027</c:v>
                </c:pt>
                <c:pt idx="99">
                  <c:v>28.414150000000028</c:v>
                </c:pt>
              </c:numCache>
            </c:numRef>
          </c:xVal>
          <c:yVal>
            <c:numRef>
              <c:f>'Data graphs'!$F$68:$F$167</c:f>
              <c:numCache>
                <c:formatCode>General</c:formatCode>
                <c:ptCount val="100"/>
                <c:pt idx="0">
                  <c:v>2.6144439618557183E-2</c:v>
                </c:pt>
                <c:pt idx="1">
                  <c:v>2.7167814903041831E-2</c:v>
                </c:pt>
                <c:pt idx="2">
                  <c:v>2.8196996147976508E-2</c:v>
                </c:pt>
                <c:pt idx="3">
                  <c:v>2.9229658642605967E-2</c:v>
                </c:pt>
                <c:pt idx="4">
                  <c:v>3.0263378197206023E-2</c:v>
                </c:pt>
                <c:pt idx="5">
                  <c:v>3.1295639476568188E-2</c:v>
                </c:pt>
                <c:pt idx="6">
                  <c:v>3.2323845195809824E-2</c:v>
                </c:pt>
                <c:pt idx="7">
                  <c:v>3.3345326140917432E-2</c:v>
                </c:pt>
                <c:pt idx="8">
                  <c:v>3.4357351968007148E-2</c:v>
                </c:pt>
                <c:pt idx="9">
                  <c:v>3.5357142727029334E-2</c:v>
                </c:pt>
                <c:pt idx="10">
                  <c:v>3.634188104765082E-2</c:v>
                </c:pt>
                <c:pt idx="11">
                  <c:v>3.730872491741602E-2</c:v>
                </c:pt>
                <c:pt idx="12">
                  <c:v>3.8254820975111563E-2</c:v>
                </c:pt>
                <c:pt idx="13">
                  <c:v>3.9177318235633175E-2</c:v>
                </c:pt>
                <c:pt idx="14">
                  <c:v>4.0073382156664276E-2</c:v>
                </c:pt>
                <c:pt idx="15">
                  <c:v>4.09402089522104E-2</c:v>
                </c:pt>
                <c:pt idx="16">
                  <c:v>4.1775040053565048E-2</c:v>
                </c:pt>
                <c:pt idx="17">
                  <c:v>4.2575176614683546E-2</c:v>
                </c:pt>
                <c:pt idx="18">
                  <c:v>4.3337993956269256E-2</c:v>
                </c:pt>
                <c:pt idx="19">
                  <c:v>4.4060955841182969E-2</c:v>
                </c:pt>
                <c:pt idx="20">
                  <c:v>4.4741628473110064E-2</c:v>
                </c:pt>
                <c:pt idx="21">
                  <c:v>4.5377694110787813E-2</c:v>
                </c:pt>
                <c:pt idx="22">
                  <c:v>4.5966964191524212E-2</c:v>
                </c:pt>
                <c:pt idx="23">
                  <c:v>4.6507391860230153E-2</c:v>
                </c:pt>
                <c:pt idx="24">
                  <c:v>4.6997083803730931E-2</c:v>
                </c:pt>
                <c:pt idx="25">
                  <c:v>4.7434311294694997E-2</c:v>
                </c:pt>
                <c:pt idx="26">
                  <c:v>4.7817520355083264E-2</c:v>
                </c:pt>
                <c:pt idx="27">
                  <c:v>4.8145340955531926E-2</c:v>
                </c:pt>
                <c:pt idx="28">
                  <c:v>4.8416595174473706E-2</c:v>
                </c:pt>
                <c:pt idx="29">
                  <c:v>4.8630304249006259E-2</c:v>
                </c:pt>
                <c:pt idx="30">
                  <c:v>4.8785694458447479E-2</c:v>
                </c:pt>
                <c:pt idx="31">
                  <c:v>4.8882201791085045E-2</c:v>
                </c:pt>
                <c:pt idx="32">
                  <c:v>4.8919475354729347E-2</c:v>
                </c:pt>
                <c:pt idx="33">
                  <c:v>4.8897379502208821E-2</c:v>
                </c:pt>
                <c:pt idx="34">
                  <c:v>4.8815994653789926E-2</c:v>
                </c:pt>
                <c:pt idx="35">
                  <c:v>4.8675616809543923E-2</c:v>
                </c:pt>
                <c:pt idx="36">
                  <c:v>4.8476755755798108E-2</c:v>
                </c:pt>
                <c:pt idx="37">
                  <c:v>4.8220131980880147E-2</c:v>
                </c:pt>
                <c:pt idx="38">
                  <c:v>4.7906672326268988E-2</c:v>
                </c:pt>
                <c:pt idx="39">
                  <c:v>4.7537504409886515E-2</c:v>
                </c:pt>
                <c:pt idx="40">
                  <c:v>4.7113949868486237E-2</c:v>
                </c:pt>
                <c:pt idx="41">
                  <c:v>4.6637516475809271E-2</c:v>
                </c:pt>
                <c:pt idx="42">
                  <c:v>4.6109889202280742E-2</c:v>
                </c:pt>
                <c:pt idx="43">
                  <c:v>4.5532920290417792E-2</c:v>
                </c:pt>
                <c:pt idx="44">
                  <c:v>4.4908618427727511E-2</c:v>
                </c:pt>
                <c:pt idx="45">
                  <c:v>4.4239137105614237E-2</c:v>
                </c:pt>
                <c:pt idx="46">
                  <c:v>4.352676225862797E-2</c:v>
                </c:pt>
                <c:pt idx="47">
                  <c:v>4.2773899283215476E-2</c:v>
                </c:pt>
                <c:pt idx="48">
                  <c:v>4.1983059538945336E-2</c:v>
                </c:pt>
                <c:pt idx="49">
                  <c:v>4.1156846437939772E-2</c:v>
                </c:pt>
                <c:pt idx="50">
                  <c:v>4.0297941229946496E-2</c:v>
                </c:pt>
                <c:pt idx="51">
                  <c:v>3.9409088591122243E-2</c:v>
                </c:pt>
                <c:pt idx="52">
                  <c:v>3.8493082124188324E-2</c:v>
                </c:pt>
                <c:pt idx="53">
                  <c:v>3.755274987618152E-2</c:v>
                </c:pt>
                <c:pt idx="54">
                  <c:v>3.6590939977597887E-2</c:v>
                </c:pt>
                <c:pt idx="55">
                  <c:v>3.5610506503358952E-2</c:v>
                </c:pt>
                <c:pt idx="56">
                  <c:v>3.4614295651778225E-2</c:v>
                </c:pt>
                <c:pt idx="57">
                  <c:v>3.3605132332636518E-2</c:v>
                </c:pt>
                <c:pt idx="58">
                  <c:v>3.2585807249663507E-2</c:v>
                </c:pt>
                <c:pt idx="59">
                  <c:v>3.1559064556250828E-2</c:v>
                </c:pt>
                <c:pt idx="60">
                  <c:v>3.0527590156178019E-2</c:v>
                </c:pt>
                <c:pt idx="61">
                  <c:v>2.9494000713607804E-2</c:v>
                </c:pt>
                <c:pt idx="62">
                  <c:v>2.8460833428696659E-2</c:v>
                </c:pt>
                <c:pt idx="63">
                  <c:v>2.7430536626968011E-2</c:v>
                </c:pt>
                <c:pt idx="64">
                  <c:v>2.6405461202204918E-2</c:v>
                </c:pt>
                <c:pt idx="65">
                  <c:v>2.5387852944133916E-2</c:v>
                </c:pt>
                <c:pt idx="66">
                  <c:v>2.4379845773685498E-2</c:v>
                </c:pt>
                <c:pt idx="67">
                  <c:v>2.3383455900220469E-2</c:v>
                </c:pt>
                <c:pt idx="68">
                  <c:v>2.2400576906892185E-2</c:v>
                </c:pt>
                <c:pt idx="69">
                  <c:v>2.1432975762352768E-2</c:v>
                </c:pt>
                <c:pt idx="70">
                  <c:v>2.0482289749382876E-2</c:v>
                </c:pt>
                <c:pt idx="71">
                  <c:v>1.9550024293796674E-2</c:v>
                </c:pt>
                <c:pt idx="72">
                  <c:v>1.8637551670207607E-2</c:v>
                </c:pt>
                <c:pt idx="73">
                  <c:v>1.774611055498837E-2</c:v>
                </c:pt>
                <c:pt idx="74">
                  <c:v>1.6876806391064782E-2</c:v>
                </c:pt>
                <c:pt idx="75">
                  <c:v>1.603061252408338E-2</c:v>
                </c:pt>
                <c:pt idx="76">
                  <c:v>1.5208372065013619E-2</c:v>
                </c:pt>
                <c:pt idx="77">
                  <c:v>1.4410800430405889E-2</c:v>
                </c:pt>
                <c:pt idx="78">
                  <c:v>1.3638488508336042E-2</c:v>
                </c:pt>
                <c:pt idx="79">
                  <c:v>1.2891906395527605E-2</c:v>
                </c:pt>
                <c:pt idx="80">
                  <c:v>1.2171407649248435E-2</c:v>
                </c:pt>
                <c:pt idx="81">
                  <c:v>1.1477233996315532E-2</c:v>
                </c:pt>
                <c:pt idx="82">
                  <c:v>1.0809520440890613E-2</c:v>
                </c:pt>
                <c:pt idx="83">
                  <c:v>1.0168300712683178E-2</c:v>
                </c:pt>
                <c:pt idx="84">
                  <c:v>9.5535129976657435E-3</c:v>
                </c:pt>
                <c:pt idx="85">
                  <c:v>8.9650058944112376E-3</c:v>
                </c:pt>
                <c:pt idx="86">
                  <c:v>8.4025445406447821E-3</c:v>
                </c:pt>
                <c:pt idx="87">
                  <c:v>7.8658168565175612E-3</c:v>
                </c:pt>
                <c:pt idx="88">
                  <c:v>7.3544398534131179E-3</c:v>
                </c:pt>
                <c:pt idx="89">
                  <c:v>6.8679659597380913E-3</c:v>
                </c:pt>
                <c:pt idx="90">
                  <c:v>6.4058893180812589E-3</c:v>
                </c:pt>
                <c:pt idx="91">
                  <c:v>5.9676520112975752E-3</c:v>
                </c:pt>
                <c:pt idx="92">
                  <c:v>5.5526501784384698E-3</c:v>
                </c:pt>
                <c:pt idx="93">
                  <c:v>5.1602399849581121E-3</c:v>
                </c:pt>
                <c:pt idx="94">
                  <c:v>4.7897434152311584E-3</c:v>
                </c:pt>
                <c:pt idx="95">
                  <c:v>4.440453859075856E-3</c:v>
                </c:pt>
                <c:pt idx="96">
                  <c:v>4.1116414676454693E-3</c:v>
                </c:pt>
                <c:pt idx="97">
                  <c:v>3.8025582576912075E-3</c:v>
                </c:pt>
                <c:pt idx="98">
                  <c:v>3.5124429467751172E-3</c:v>
                </c:pt>
                <c:pt idx="99">
                  <c:v>3.2405255054888428E-3</c:v>
                </c:pt>
              </c:numCache>
            </c:numRef>
          </c:yVal>
          <c:smooth val="0"/>
          <c:extLst>
            <c:ext xmlns:c16="http://schemas.microsoft.com/office/drawing/2014/chart" uri="{C3380CC4-5D6E-409C-BE32-E72D297353CC}">
              <c16:uniqueId val="{00000000-F72D-4601-87D4-6CDFE798EE91}"/>
            </c:ext>
          </c:extLst>
        </c:ser>
        <c:ser>
          <c:idx val="6"/>
          <c:order val="1"/>
          <c:tx>
            <c:strRef>
              <c:f>'Data graphs'!$E$59</c:f>
              <c:strCache>
                <c:ptCount val="1"/>
                <c:pt idx="0">
                  <c:v>AM</c:v>
                </c:pt>
              </c:strCache>
            </c:strRef>
          </c:tx>
          <c:spPr>
            <a:ln>
              <a:solidFill>
                <a:schemeClr val="accent6"/>
              </a:solidFill>
            </a:ln>
          </c:spPr>
          <c:marker>
            <c:symbol val="none"/>
          </c:marker>
          <c:xVal>
            <c:numRef>
              <c:f>'Data graphs'!$E$62:$E$63</c:f>
              <c:numCache>
                <c:formatCode>0.00</c:formatCode>
                <c:ptCount val="2"/>
                <c:pt idx="0">
                  <c:v>0</c:v>
                </c:pt>
                <c:pt idx="1">
                  <c:v>0</c:v>
                </c:pt>
              </c:numCache>
            </c:numRef>
          </c:xVal>
          <c:yVal>
            <c:numRef>
              <c:f>'Data graphs'!$E$64:$E$65</c:f>
              <c:numCache>
                <c:formatCode>General</c:formatCode>
                <c:ptCount val="2"/>
                <c:pt idx="0">
                  <c:v>0</c:v>
                </c:pt>
                <c:pt idx="1">
                  <c:v>4.8919475354729347E-2</c:v>
                </c:pt>
              </c:numCache>
            </c:numRef>
          </c:yVal>
          <c:smooth val="0"/>
          <c:extLst>
            <c:ext xmlns:c16="http://schemas.microsoft.com/office/drawing/2014/chart" uri="{C3380CC4-5D6E-409C-BE32-E72D297353CC}">
              <c16:uniqueId val="{00000001-F72D-4601-87D4-6CDFE798EE91}"/>
            </c:ext>
          </c:extLst>
        </c:ser>
        <c:ser>
          <c:idx val="7"/>
          <c:order val="2"/>
          <c:tx>
            <c:strRef>
              <c:f>'Data graphs'!$F$59</c:f>
              <c:strCache>
                <c:ptCount val="1"/>
                <c:pt idx="0">
                  <c:v>95%-il</c:v>
                </c:pt>
              </c:strCache>
            </c:strRef>
          </c:tx>
          <c:spPr>
            <a:ln>
              <a:solidFill>
                <a:schemeClr val="accent1"/>
              </a:solidFill>
            </a:ln>
          </c:spPr>
          <c:marker>
            <c:symbol val="none"/>
          </c:marker>
          <c:xVal>
            <c:numRef>
              <c:f>'Data graphs'!$F$62:$F$63</c:f>
              <c:numCache>
                <c:formatCode>General</c:formatCode>
                <c:ptCount val="2"/>
                <c:pt idx="0" formatCode="0.00">
                  <c:v>22.827974999999999</c:v>
                </c:pt>
                <c:pt idx="1">
                  <c:v>22.827974999999999</c:v>
                </c:pt>
              </c:numCache>
            </c:numRef>
          </c:xVal>
          <c:yVal>
            <c:numRef>
              <c:f>'Data graphs'!$F$64:$F$65</c:f>
              <c:numCache>
                <c:formatCode>General</c:formatCode>
                <c:ptCount val="2"/>
                <c:pt idx="0">
                  <c:v>0</c:v>
                </c:pt>
                <c:pt idx="1">
                  <c:v>4.8919475354729347E-2</c:v>
                </c:pt>
              </c:numCache>
            </c:numRef>
          </c:yVal>
          <c:smooth val="0"/>
          <c:extLst>
            <c:ext xmlns:c16="http://schemas.microsoft.com/office/drawing/2014/chart" uri="{C3380CC4-5D6E-409C-BE32-E72D297353CC}">
              <c16:uniqueId val="{00000002-F72D-4601-87D4-6CDFE798EE91}"/>
            </c:ext>
          </c:extLst>
        </c:ser>
        <c:ser>
          <c:idx val="8"/>
          <c:order val="3"/>
          <c:tx>
            <c:strRef>
              <c:f>'Data graphs'!$G$59</c:f>
              <c:strCache>
                <c:ptCount val="1"/>
                <c:pt idx="0">
                  <c:v>EØK</c:v>
                </c:pt>
              </c:strCache>
            </c:strRef>
          </c:tx>
          <c:spPr>
            <a:ln>
              <a:solidFill>
                <a:srgbClr val="7030A0"/>
              </a:solidFill>
              <a:prstDash val="lgDashDot"/>
            </a:ln>
          </c:spPr>
          <c:marker>
            <c:symbol val="none"/>
          </c:marker>
          <c:xVal>
            <c:numRef>
              <c:f>'Data graphs'!$G$62:$G$63</c:f>
              <c:numCache>
                <c:formatCode>General</c:formatCode>
                <c:ptCount val="2"/>
                <c:pt idx="0" formatCode="0.00">
                  <c:v>26.310396354280311</c:v>
                </c:pt>
                <c:pt idx="1">
                  <c:v>26.310396354280311</c:v>
                </c:pt>
              </c:numCache>
            </c:numRef>
          </c:xVal>
          <c:yVal>
            <c:numRef>
              <c:f>'Data graphs'!$G$64:$G$65</c:f>
              <c:numCache>
                <c:formatCode>General</c:formatCode>
                <c:ptCount val="2"/>
                <c:pt idx="0">
                  <c:v>0</c:v>
                </c:pt>
                <c:pt idx="1">
                  <c:v>4.8919475354729347E-2</c:v>
                </c:pt>
              </c:numCache>
            </c:numRef>
          </c:yVal>
          <c:smooth val="0"/>
          <c:extLst>
            <c:ext xmlns:c16="http://schemas.microsoft.com/office/drawing/2014/chart" uri="{C3380CC4-5D6E-409C-BE32-E72D297353CC}">
              <c16:uniqueId val="{00000003-F72D-4601-87D4-6CDFE798EE91}"/>
            </c:ext>
          </c:extLst>
        </c:ser>
        <c:dLbls>
          <c:showLegendKey val="0"/>
          <c:showVal val="0"/>
          <c:showCatName val="0"/>
          <c:showSerName val="0"/>
          <c:showPercent val="0"/>
          <c:showBubbleSize val="0"/>
        </c:dLbls>
        <c:axId val="93987968"/>
        <c:axId val="93988544"/>
      </c:scatterChart>
      <c:valAx>
        <c:axId val="93987968"/>
        <c:scaling>
          <c:orientation val="minMax"/>
        </c:scaling>
        <c:delete val="0"/>
        <c:axPos val="b"/>
        <c:title>
          <c:tx>
            <c:strRef>
              <c:f>'Data graphs'!$I$58</c:f>
              <c:strCache>
                <c:ptCount val="1"/>
                <c:pt idx="0">
                  <c:v>Konsentrasjon (ppm)</c:v>
                </c:pt>
              </c:strCache>
            </c:strRef>
          </c:tx>
          <c:layout>
            <c:manualLayout>
              <c:xMode val="edge"/>
              <c:yMode val="edge"/>
              <c:x val="0.43918240312558632"/>
              <c:y val="0.95189960629921244"/>
            </c:manualLayout>
          </c:layout>
          <c:overlay val="0"/>
          <c:spPr>
            <a:noFill/>
            <a:ln w="25400">
              <a:noFill/>
            </a:ln>
          </c:spPr>
          <c:txPr>
            <a:bodyPr/>
            <a:lstStyle/>
            <a:p>
              <a:pPr>
                <a:defRPr sz="1000" b="1" i="0" u="none" strike="noStrike" baseline="0">
                  <a:solidFill>
                    <a:srgbClr val="000000"/>
                  </a:solidFill>
                  <a:latin typeface="Geneva"/>
                  <a:ea typeface="Geneva"/>
                  <a:cs typeface="Geneva"/>
                </a:defRPr>
              </a:pPr>
              <a:endParaRPr lang="en-NO"/>
            </a:p>
          </c:txPr>
        </c:title>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Geneva"/>
                <a:ea typeface="Geneva"/>
                <a:cs typeface="Geneva"/>
              </a:defRPr>
            </a:pPr>
            <a:endParaRPr lang="en-NO"/>
          </a:p>
        </c:txPr>
        <c:crossAx val="93988544"/>
        <c:crosses val="autoZero"/>
        <c:crossBetween val="midCat"/>
      </c:valAx>
      <c:valAx>
        <c:axId val="93988544"/>
        <c:scaling>
          <c:orientation val="minMax"/>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Geneva"/>
                <a:ea typeface="Geneva"/>
                <a:cs typeface="Geneva"/>
              </a:defRPr>
            </a:pPr>
            <a:endParaRPr lang="en-NO"/>
          </a:p>
        </c:txPr>
        <c:crossAx val="93987968"/>
        <c:crosses val="autoZero"/>
        <c:crossBetween val="midCat"/>
      </c:valAx>
      <c:spPr>
        <a:solidFill>
          <a:schemeClr val="bg1">
            <a:lumMod val="75000"/>
          </a:schemeClr>
        </a:solidFill>
        <a:ln w="25400">
          <a:noFill/>
        </a:ln>
      </c:spPr>
    </c:plotArea>
    <c:legend>
      <c:legendPos val="t"/>
      <c:layout>
        <c:manualLayout>
          <c:xMode val="edge"/>
          <c:yMode val="edge"/>
          <c:x val="9.358478051133623E-2"/>
          <c:y val="5.8645743858400087E-2"/>
          <c:w val="0.86930354558610712"/>
          <c:h val="4.3880025934821952E-2"/>
        </c:manualLayout>
      </c:layout>
      <c:overlay val="0"/>
    </c:legend>
    <c:plotVisOnly val="0"/>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Geneva"/>
          <a:ea typeface="Geneva"/>
          <a:cs typeface="Geneva"/>
        </a:defRPr>
      </a:pPr>
      <a:endParaRPr lang="en-NO"/>
    </a:p>
  </c:txPr>
  <c:printSettings>
    <c:headerFooter alignWithMargins="0">
      <c:oddHeader>&amp;F</c:oddHeader>
      <c:oddFooter>Page &amp;P</c:oddFooter>
    </c:headerFooter>
    <c:pageMargins b="1" l="0.75" r="0.75" t="1" header="0.5" footer="0.5"/>
    <c:pageSetup orientation="landscape" blackAndWhite="1"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 graphs'!$N$1</c:f>
          <c:strCache>
            <c:ptCount val="1"/>
            <c:pt idx="0">
              <c:v>Log-sannsynlighetsplott og minste kvadratsums linjetilpassing</c:v>
            </c:pt>
          </c:strCache>
        </c:strRef>
      </c:tx>
      <c:layout>
        <c:manualLayout>
          <c:xMode val="edge"/>
          <c:yMode val="edge"/>
          <c:x val="0.10912500879918746"/>
          <c:y val="4.3924493815476029E-2"/>
        </c:manualLayout>
      </c:layout>
      <c:overlay val="0"/>
      <c:txPr>
        <a:bodyPr/>
        <a:lstStyle/>
        <a:p>
          <a:pPr>
            <a:defRPr b="1"/>
          </a:pPr>
          <a:endParaRPr lang="en-NO"/>
        </a:p>
      </c:txPr>
    </c:title>
    <c:autoTitleDeleted val="0"/>
    <c:plotArea>
      <c:layout>
        <c:manualLayout>
          <c:layoutTarget val="inner"/>
          <c:xMode val="edge"/>
          <c:yMode val="edge"/>
          <c:x val="3.0517440853133491E-2"/>
          <c:y val="0.13470747154293586"/>
          <c:w val="0.8239709030346043"/>
          <c:h val="0.79454576435494362"/>
        </c:manualLayout>
      </c:layout>
      <c:scatterChart>
        <c:scatterStyle val="lineMarker"/>
        <c:varyColors val="0"/>
        <c:ser>
          <c:idx val="0"/>
          <c:order val="0"/>
          <c:spPr>
            <a:ln w="19050">
              <a:noFill/>
            </a:ln>
          </c:spPr>
          <c:marker>
            <c:symbol val="dash"/>
            <c:size val="5"/>
            <c:spPr>
              <a:solidFill>
                <a:srgbClr val="000000"/>
              </a:solidFill>
              <a:ln>
                <a:solidFill>
                  <a:srgbClr val="000000"/>
                </a:solidFill>
                <a:prstDash val="solid"/>
              </a:ln>
            </c:spPr>
          </c:marker>
          <c:dLbls>
            <c:dLbl>
              <c:idx val="0"/>
              <c:tx>
                <c:rich>
                  <a:bodyPr/>
                  <a:lstStyle/>
                  <a:p>
                    <a:fld id="{2C99AD12-FD1E-4441-870B-B0E9C11097F4}"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E7BE-47E5-95B2-2204527D1713}"/>
                </c:ext>
              </c:extLst>
            </c:dLbl>
            <c:dLbl>
              <c:idx val="1"/>
              <c:tx>
                <c:rich>
                  <a:bodyPr/>
                  <a:lstStyle/>
                  <a:p>
                    <a:fld id="{1F213D2A-C494-764F-98A2-B35A6D27B32F}"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E7BE-47E5-95B2-2204527D1713}"/>
                </c:ext>
              </c:extLst>
            </c:dLbl>
            <c:dLbl>
              <c:idx val="2"/>
              <c:tx>
                <c:rich>
                  <a:bodyPr/>
                  <a:lstStyle/>
                  <a:p>
                    <a:fld id="{93885A55-5683-7343-B417-0844B02897E2}"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7BE-47E5-95B2-2204527D1713}"/>
                </c:ext>
              </c:extLst>
            </c:dLbl>
            <c:dLbl>
              <c:idx val="3"/>
              <c:tx>
                <c:rich>
                  <a:bodyPr/>
                  <a:lstStyle/>
                  <a:p>
                    <a:fld id="{BF0A7078-ACD6-F843-9420-9C0B4B6724B7}"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E7BE-47E5-95B2-2204527D1713}"/>
                </c:ext>
              </c:extLst>
            </c:dLbl>
            <c:dLbl>
              <c:idx val="4"/>
              <c:tx>
                <c:rich>
                  <a:bodyPr/>
                  <a:lstStyle/>
                  <a:p>
                    <a:fld id="{4ED90021-85CD-A140-A3B9-391180C2788C}"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E7BE-47E5-95B2-2204527D1713}"/>
                </c:ext>
              </c:extLst>
            </c:dLbl>
            <c:dLbl>
              <c:idx val="5"/>
              <c:tx>
                <c:rich>
                  <a:bodyPr/>
                  <a:lstStyle/>
                  <a:p>
                    <a:fld id="{B1983EC1-7375-CB45-BE15-CDC874021B6F}"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E7BE-47E5-95B2-2204527D1713}"/>
                </c:ext>
              </c:extLst>
            </c:dLbl>
            <c:dLbl>
              <c:idx val="6"/>
              <c:tx>
                <c:rich>
                  <a:bodyPr/>
                  <a:lstStyle/>
                  <a:p>
                    <a:fld id="{DD0244EF-C2F1-CD45-9BF9-243AA37FD50D}"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E7BE-47E5-95B2-2204527D1713}"/>
                </c:ext>
              </c:extLst>
            </c:dLbl>
            <c:dLbl>
              <c:idx val="7"/>
              <c:tx>
                <c:rich>
                  <a:bodyPr/>
                  <a:lstStyle/>
                  <a:p>
                    <a:fld id="{0A4C7E35-8E24-AB4F-A824-176C3CB41FD1}"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E7BE-47E5-95B2-2204527D1713}"/>
                </c:ext>
              </c:extLst>
            </c:dLbl>
            <c:dLbl>
              <c:idx val="8"/>
              <c:tx>
                <c:rich>
                  <a:bodyPr/>
                  <a:lstStyle/>
                  <a:p>
                    <a:fld id="{A63FB5DC-2608-EB4A-AEAA-095C9868B212}"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E7BE-47E5-95B2-2204527D1713}"/>
                </c:ext>
              </c:extLst>
            </c:dLbl>
            <c:dLbl>
              <c:idx val="9"/>
              <c:tx>
                <c:rich>
                  <a:bodyPr/>
                  <a:lstStyle/>
                  <a:p>
                    <a:fld id="{31892B99-6307-1647-8A27-120F3449A652}"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7BE-47E5-95B2-2204527D1713}"/>
                </c:ext>
              </c:extLst>
            </c:dLbl>
            <c:dLbl>
              <c:idx val="10"/>
              <c:tx>
                <c:rich>
                  <a:bodyPr/>
                  <a:lstStyle/>
                  <a:p>
                    <a:fld id="{E1C846D2-ABF1-9F44-9095-7A34349EF76B}"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E7BE-47E5-95B2-2204527D1713}"/>
                </c:ext>
              </c:extLst>
            </c:dLbl>
            <c:dLbl>
              <c:idx val="11"/>
              <c:tx>
                <c:rich>
                  <a:bodyPr/>
                  <a:lstStyle/>
                  <a:p>
                    <a:fld id="{87916809-2AD5-C042-B7D8-52850D961C78}"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7BE-47E5-95B2-2204527D1713}"/>
                </c:ext>
              </c:extLst>
            </c:dLbl>
            <c:dLbl>
              <c:idx val="12"/>
              <c:tx>
                <c:rich>
                  <a:bodyPr/>
                  <a:lstStyle/>
                  <a:p>
                    <a:fld id="{B2660A5F-BF57-6A4A-BDAF-AFA7EF82C179}"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E7BE-47E5-95B2-2204527D1713}"/>
                </c:ext>
              </c:extLst>
            </c:dLbl>
            <c:spPr>
              <a:noFill/>
              <a:ln>
                <a:noFill/>
              </a:ln>
              <a:effectLst/>
            </c:spPr>
            <c:txPr>
              <a:bodyPr wrap="square" lIns="38100" tIns="19050" rIns="38100" bIns="19050" anchor="ctr">
                <a:spAutoFit/>
              </a:bodyPr>
              <a:lstStyle/>
              <a:p>
                <a:pPr>
                  <a:defRPr b="1"/>
                </a:pPr>
                <a:endParaRPr lang="en-NO"/>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'Data graphs'!$F$174:$F$186</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xVal>
          <c:yVal>
            <c:numRef>
              <c:f>'Data graphs'!$H$174:$H$186</c:f>
              <c:numCache>
                <c:formatCode>General</c:formatCode>
                <c:ptCount val="13"/>
                <c:pt idx="0">
                  <c:v>7.33</c:v>
                </c:pt>
                <c:pt idx="1">
                  <c:v>7.05</c:v>
                </c:pt>
                <c:pt idx="2">
                  <c:v>6.6449999999999996</c:v>
                </c:pt>
                <c:pt idx="3">
                  <c:v>6.28</c:v>
                </c:pt>
                <c:pt idx="4">
                  <c:v>6</c:v>
                </c:pt>
                <c:pt idx="5">
                  <c:v>5.67</c:v>
                </c:pt>
                <c:pt idx="6">
                  <c:v>5</c:v>
                </c:pt>
                <c:pt idx="7">
                  <c:v>4.33</c:v>
                </c:pt>
                <c:pt idx="8">
                  <c:v>4</c:v>
                </c:pt>
                <c:pt idx="9">
                  <c:v>3.7199999999999998</c:v>
                </c:pt>
                <c:pt idx="10">
                  <c:v>3.355</c:v>
                </c:pt>
                <c:pt idx="11">
                  <c:v>2.95</c:v>
                </c:pt>
                <c:pt idx="12">
                  <c:v>2.67</c:v>
                </c:pt>
              </c:numCache>
            </c:numRef>
          </c:yVal>
          <c:smooth val="0"/>
          <c:extLst>
            <c:ext xmlns:c15="http://schemas.microsoft.com/office/drawing/2012/chart" uri="{02D57815-91ED-43cb-92C2-25804820EDAC}">
              <c15:datalabelsRange>
                <c15:f>'Data graphs'!$I$174:$I$186</c15:f>
                <c15:dlblRangeCache>
                  <c:ptCount val="13"/>
                  <c:pt idx="0">
                    <c:v>99%</c:v>
                  </c:pt>
                  <c:pt idx="1">
                    <c:v>98%</c:v>
                  </c:pt>
                  <c:pt idx="2">
                    <c:v>95%</c:v>
                  </c:pt>
                  <c:pt idx="3">
                    <c:v>90%</c:v>
                  </c:pt>
                  <c:pt idx="4">
                    <c:v>84%</c:v>
                  </c:pt>
                  <c:pt idx="5">
                    <c:v>75%</c:v>
                  </c:pt>
                  <c:pt idx="6">
                    <c:v>50%</c:v>
                  </c:pt>
                  <c:pt idx="7">
                    <c:v>25%</c:v>
                  </c:pt>
                  <c:pt idx="8">
                    <c:v>16%</c:v>
                  </c:pt>
                  <c:pt idx="9">
                    <c:v>10%</c:v>
                  </c:pt>
                  <c:pt idx="10">
                    <c:v>5%</c:v>
                  </c:pt>
                  <c:pt idx="11">
                    <c:v>2%</c:v>
                  </c:pt>
                  <c:pt idx="12">
                    <c:v>1%</c:v>
                  </c:pt>
                </c15:dlblRangeCache>
              </c15:datalabelsRange>
            </c:ext>
            <c:ext xmlns:c16="http://schemas.microsoft.com/office/drawing/2014/chart" uri="{C3380CC4-5D6E-409C-BE32-E72D297353CC}">
              <c16:uniqueId val="{0000000D-2E48-4B63-9871-4C3BE58D7CD0}"/>
            </c:ext>
          </c:extLst>
        </c:ser>
        <c:ser>
          <c:idx val="1"/>
          <c:order val="1"/>
          <c:spPr>
            <a:ln w="19050" cap="rnd">
              <a:solidFill>
                <a:srgbClr val="C00000"/>
              </a:solidFill>
            </a:ln>
          </c:spPr>
          <c:marker>
            <c:spPr>
              <a:noFill/>
              <a:ln>
                <a:noFill/>
              </a:ln>
            </c:spPr>
          </c:marker>
          <c:xVal>
            <c:numRef>
              <c:f>'Data graphs'!$O$178:$O$179</c:f>
              <c:numCache>
                <c:formatCode>General</c:formatCode>
                <c:ptCount val="2"/>
                <c:pt idx="0">
                  <c:v>0.21968371214652305</c:v>
                </c:pt>
                <c:pt idx="1">
                  <c:v>138.91036647560838</c:v>
                </c:pt>
              </c:numCache>
            </c:numRef>
          </c:xVal>
          <c:yVal>
            <c:numRef>
              <c:f>'Data graphs'!$O$180:$O$181</c:f>
              <c:numCache>
                <c:formatCode>General</c:formatCode>
                <c:ptCount val="2"/>
                <c:pt idx="0">
                  <c:v>2.5</c:v>
                </c:pt>
                <c:pt idx="1">
                  <c:v>7.33</c:v>
                </c:pt>
              </c:numCache>
            </c:numRef>
          </c:yVal>
          <c:smooth val="0"/>
          <c:extLst>
            <c:ext xmlns:c16="http://schemas.microsoft.com/office/drawing/2014/chart" uri="{C3380CC4-5D6E-409C-BE32-E72D297353CC}">
              <c16:uniqueId val="{0000000E-2E48-4B63-9871-4C3BE58D7CD0}"/>
            </c:ext>
          </c:extLst>
        </c:ser>
        <c:ser>
          <c:idx val="2"/>
          <c:order val="2"/>
          <c:spPr>
            <a:ln w="19050">
              <a:noFill/>
            </a:ln>
          </c:spPr>
          <c:marker>
            <c:symbol val="square"/>
            <c:size val="5"/>
            <c:spPr>
              <a:solidFill>
                <a:srgbClr val="C00000"/>
              </a:solidFill>
              <a:ln>
                <a:solidFill>
                  <a:srgbClr val="000000"/>
                </a:solidFill>
                <a:prstDash val="solid"/>
              </a:ln>
            </c:spPr>
          </c:marker>
          <c:xVal>
            <c:numRef>
              <c:f>'Data graphs'!$R$173:$R$223</c:f>
              <c:numCache>
                <c:formatCode>0.00</c:formatCode>
                <c:ptCount val="51"/>
                <c:pt idx="0">
                  <c:v>1.7</c:v>
                </c:pt>
                <c:pt idx="1">
                  <c:v>1.9</c:v>
                </c:pt>
                <c:pt idx="2">
                  <c:v>2.7</c:v>
                </c:pt>
                <c:pt idx="3">
                  <c:v>5.8</c:v>
                </c:pt>
                <c:pt idx="4">
                  <c:v>6.3</c:v>
                </c:pt>
                <c:pt idx="5">
                  <c:v>17</c:v>
                </c:pt>
                <c:pt idx="6">
                  <c:v>18.899999999999999</c:v>
                </c:pt>
                <c:pt idx="7">
                  <c:v>21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'Data graphs'!$X$173:$X$223</c:f>
              <c:numCache>
                <c:formatCode>General</c:formatCode>
                <c:ptCount val="51"/>
                <c:pt idx="0">
                  <c:v>3.7793596511526499</c:v>
                </c:pt>
                <c:pt idx="1">
                  <c:v>4.2352903262136126</c:v>
                </c:pt>
                <c:pt idx="2">
                  <c:v>4.5692727007045422</c:v>
                </c:pt>
                <c:pt idx="3">
                  <c:v>4.8602897011181376</c:v>
                </c:pt>
                <c:pt idx="4">
                  <c:v>5.1397102988818624</c:v>
                </c:pt>
                <c:pt idx="5">
                  <c:v>5.4307272992954578</c:v>
                </c:pt>
                <c:pt idx="6">
                  <c:v>5.7647096737863874</c:v>
                </c:pt>
                <c:pt idx="7">
                  <c:v>6.2206403488473505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yVal>
          <c:smooth val="0"/>
          <c:extLst>
            <c:ext xmlns:c16="http://schemas.microsoft.com/office/drawing/2014/chart" uri="{C3380CC4-5D6E-409C-BE32-E72D297353CC}">
              <c16:uniqueId val="{0000000F-2E48-4B63-9871-4C3BE58D7CD0}"/>
            </c:ext>
          </c:extLst>
        </c:ser>
        <c:dLbls>
          <c:showLegendKey val="0"/>
          <c:showVal val="0"/>
          <c:showCatName val="0"/>
          <c:showSerName val="0"/>
          <c:showPercent val="0"/>
          <c:showBubbleSize val="0"/>
        </c:dLbls>
        <c:axId val="57827328"/>
        <c:axId val="57827904"/>
      </c:scatterChart>
      <c:valAx>
        <c:axId val="57827328"/>
        <c:scaling>
          <c:logBase val="10"/>
          <c:orientation val="minMax"/>
        </c:scaling>
        <c:delete val="0"/>
        <c:axPos val="b"/>
        <c:majorGridlines>
          <c:spPr>
            <a:ln w="3175">
              <a:solidFill>
                <a:srgbClr val="000000"/>
              </a:solidFill>
              <a:prstDash val="solid"/>
            </a:ln>
          </c:spPr>
        </c:majorGridlines>
        <c:minorGridlines>
          <c:spPr>
            <a:ln w="3175">
              <a:solidFill>
                <a:schemeClr val="tx1"/>
              </a:solidFill>
              <a:prstDash val="solid"/>
            </a:ln>
          </c:spPr>
        </c:minorGridlines>
        <c:title>
          <c:tx>
            <c:strRef>
              <c:f>'Data graphs'!$I$58</c:f>
              <c:strCache>
                <c:ptCount val="1"/>
                <c:pt idx="0">
                  <c:v>Konsentrasjon (ppm)</c:v>
                </c:pt>
              </c:strCache>
            </c:strRef>
          </c:tx>
          <c:layout>
            <c:manualLayout>
              <c:xMode val="edge"/>
              <c:yMode val="edge"/>
              <c:x val="0.31922547037942089"/>
              <c:y val="0.96114462470192297"/>
            </c:manualLayout>
          </c:layout>
          <c:overlay val="0"/>
          <c:spPr>
            <a:noFill/>
            <a:ln w="25400">
              <a:noFill/>
            </a:ln>
          </c:spPr>
          <c:txPr>
            <a:bodyPr/>
            <a:lstStyle/>
            <a:p>
              <a:pPr>
                <a:defRPr sz="1000" b="1" i="0" u="none" strike="noStrike" baseline="0">
                  <a:solidFill>
                    <a:srgbClr val="000000"/>
                  </a:solidFill>
                  <a:latin typeface="Geneva"/>
                  <a:ea typeface="Geneva"/>
                  <a:cs typeface="Geneva"/>
                </a:defRPr>
              </a:pPr>
              <a:endParaRPr lang="en-NO"/>
            </a:p>
          </c:txPr>
        </c:title>
        <c:numFmt formatCode="General" sourceLinked="1"/>
        <c:majorTickMark val="cross"/>
        <c:minorTickMark val="cross"/>
        <c:tickLblPos val="nextTo"/>
        <c:spPr>
          <a:ln w="3175">
            <a:solidFill>
              <a:srgbClr val="000000"/>
            </a:solidFill>
            <a:prstDash val="solid"/>
          </a:ln>
        </c:spPr>
        <c:txPr>
          <a:bodyPr rot="0" vert="horz"/>
          <a:lstStyle/>
          <a:p>
            <a:pPr>
              <a:defRPr sz="1000" b="0" i="0" u="none" strike="noStrike" baseline="0">
                <a:solidFill>
                  <a:srgbClr val="000000"/>
                </a:solidFill>
                <a:latin typeface="Geneva"/>
                <a:ea typeface="Geneva"/>
                <a:cs typeface="Geneva"/>
              </a:defRPr>
            </a:pPr>
            <a:endParaRPr lang="en-NO"/>
          </a:p>
        </c:txPr>
        <c:crossAx val="57827904"/>
        <c:crossesAt val="2.5"/>
        <c:crossBetween val="midCat"/>
      </c:valAx>
      <c:valAx>
        <c:axId val="57827904"/>
        <c:scaling>
          <c:orientation val="minMax"/>
          <c:min val="2.5"/>
        </c:scaling>
        <c:delete val="0"/>
        <c:axPos val="r"/>
        <c:majorGridlines>
          <c:spPr>
            <a:ln w="3175">
              <a:solidFill>
                <a:srgbClr val="000000"/>
              </a:solidFill>
              <a:prstDash val="solid"/>
            </a:ln>
          </c:spPr>
        </c:majorGridlines>
        <c:numFmt formatCode="General" sourceLinked="1"/>
        <c:majorTickMark val="cross"/>
        <c:minorTickMark val="cross"/>
        <c:tickLblPos val="none"/>
        <c:spPr>
          <a:ln w="3175">
            <a:solidFill>
              <a:srgbClr val="000000"/>
            </a:solidFill>
            <a:prstDash val="solid"/>
          </a:ln>
        </c:spPr>
        <c:crossAx val="57827328"/>
        <c:crosses val="max"/>
        <c:crossBetween val="midCat"/>
      </c:valAx>
      <c:spPr>
        <a:solidFill>
          <a:schemeClr val="bg1">
            <a:lumMod val="75000"/>
          </a:schemeClr>
        </a:solid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Geneva"/>
          <a:ea typeface="Geneva"/>
          <a:cs typeface="Geneva"/>
        </a:defRPr>
      </a:pPr>
      <a:endParaRPr lang="en-NO"/>
    </a:p>
  </c:txPr>
  <c:printSettings>
    <c:headerFooter alignWithMargins="0">
      <c:oddFooter>&amp;CPage &amp;P</c:oddFooter>
    </c:headerFooter>
    <c:pageMargins b="1" l="0.75" r="0.75" t="1" header="0.5" footer="0.5"/>
    <c:pageSetup orientation="portrait" horizontalDpi="300"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 graphs'!$N$2</c:f>
          <c:strCache>
            <c:ptCount val="1"/>
            <c:pt idx="0">
              <c:v>Sannsynlighetsplott og minste kvadratsums linjetilpassing</c:v>
            </c:pt>
          </c:strCache>
        </c:strRef>
      </c:tx>
      <c:layout>
        <c:manualLayout>
          <c:xMode val="edge"/>
          <c:yMode val="edge"/>
          <c:x val="0.14253798842257598"/>
          <c:y val="4.9095597246007601E-2"/>
        </c:manualLayout>
      </c:layout>
      <c:overlay val="0"/>
      <c:txPr>
        <a:bodyPr/>
        <a:lstStyle/>
        <a:p>
          <a:pPr>
            <a:defRPr b="1"/>
          </a:pPr>
          <a:endParaRPr lang="en-NO"/>
        </a:p>
      </c:txPr>
    </c:title>
    <c:autoTitleDeleted val="0"/>
    <c:plotArea>
      <c:layout>
        <c:manualLayout>
          <c:layoutTarget val="inner"/>
          <c:xMode val="edge"/>
          <c:yMode val="edge"/>
          <c:x val="4.0248978572944377E-2"/>
          <c:y val="0.13507526594233873"/>
          <c:w val="0.80497957145888754"/>
          <c:h val="0.79149366359194973"/>
        </c:manualLayout>
      </c:layout>
      <c:scatterChart>
        <c:scatterStyle val="smoothMarker"/>
        <c:varyColors val="0"/>
        <c:ser>
          <c:idx val="1"/>
          <c:order val="0"/>
          <c:spPr>
            <a:ln>
              <a:noFill/>
            </a:ln>
          </c:spPr>
          <c:marker>
            <c:symbol val="dash"/>
            <c:size val="5"/>
            <c:spPr>
              <a:solidFill>
                <a:srgbClr val="000000"/>
              </a:solidFill>
              <a:ln>
                <a:solidFill>
                  <a:srgbClr val="000000"/>
                </a:solidFill>
                <a:prstDash val="solid"/>
              </a:ln>
            </c:spPr>
          </c:marker>
          <c:dLbls>
            <c:dLbl>
              <c:idx val="0"/>
              <c:tx>
                <c:rich>
                  <a:bodyPr/>
                  <a:lstStyle/>
                  <a:p>
                    <a:fld id="{DD11B8C5-841B-5A4D-99C8-FC43772966F1}"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CC33-4690-A93A-19C8C4BB20BA}"/>
                </c:ext>
              </c:extLst>
            </c:dLbl>
            <c:dLbl>
              <c:idx val="1"/>
              <c:tx>
                <c:rich>
                  <a:bodyPr/>
                  <a:lstStyle/>
                  <a:p>
                    <a:fld id="{F2AAD534-F782-4647-A3CA-1988F3F08778}"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CC33-4690-A93A-19C8C4BB20BA}"/>
                </c:ext>
              </c:extLst>
            </c:dLbl>
            <c:dLbl>
              <c:idx val="2"/>
              <c:tx>
                <c:rich>
                  <a:bodyPr/>
                  <a:lstStyle/>
                  <a:p>
                    <a:fld id="{A6881DD4-0704-DD41-8254-DCFE30DF447A}"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C33-4690-A93A-19C8C4BB20BA}"/>
                </c:ext>
              </c:extLst>
            </c:dLbl>
            <c:dLbl>
              <c:idx val="3"/>
              <c:tx>
                <c:rich>
                  <a:bodyPr/>
                  <a:lstStyle/>
                  <a:p>
                    <a:fld id="{D821A191-8CA1-1D4B-B88A-DACFD6FD49D6}"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CC33-4690-A93A-19C8C4BB20BA}"/>
                </c:ext>
              </c:extLst>
            </c:dLbl>
            <c:dLbl>
              <c:idx val="4"/>
              <c:tx>
                <c:rich>
                  <a:bodyPr/>
                  <a:lstStyle/>
                  <a:p>
                    <a:fld id="{0C9880D6-1442-3A40-92A0-2BF41433A93D}"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CC33-4690-A93A-19C8C4BB20BA}"/>
                </c:ext>
              </c:extLst>
            </c:dLbl>
            <c:dLbl>
              <c:idx val="5"/>
              <c:tx>
                <c:rich>
                  <a:bodyPr/>
                  <a:lstStyle/>
                  <a:p>
                    <a:fld id="{A069A6CE-4EED-3C48-8FF3-B6CEC1E0FC6C}"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CC33-4690-A93A-19C8C4BB20BA}"/>
                </c:ext>
              </c:extLst>
            </c:dLbl>
            <c:dLbl>
              <c:idx val="6"/>
              <c:tx>
                <c:rich>
                  <a:bodyPr/>
                  <a:lstStyle/>
                  <a:p>
                    <a:fld id="{8A282EF0-B23F-4541-8C7A-8C06DB735D98}"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CC33-4690-A93A-19C8C4BB20BA}"/>
                </c:ext>
              </c:extLst>
            </c:dLbl>
            <c:dLbl>
              <c:idx val="7"/>
              <c:tx>
                <c:rich>
                  <a:bodyPr/>
                  <a:lstStyle/>
                  <a:p>
                    <a:fld id="{27ED6F3A-51C9-BC49-97AA-E78DE6DEACBF}"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CC33-4690-A93A-19C8C4BB20BA}"/>
                </c:ext>
              </c:extLst>
            </c:dLbl>
            <c:dLbl>
              <c:idx val="8"/>
              <c:tx>
                <c:rich>
                  <a:bodyPr/>
                  <a:lstStyle/>
                  <a:p>
                    <a:fld id="{6683D450-931D-3C49-B2B1-3032322DF71B}"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CC33-4690-A93A-19C8C4BB20BA}"/>
                </c:ext>
              </c:extLst>
            </c:dLbl>
            <c:dLbl>
              <c:idx val="9"/>
              <c:tx>
                <c:rich>
                  <a:bodyPr/>
                  <a:lstStyle/>
                  <a:p>
                    <a:fld id="{21072843-2442-BF4B-BC94-0DCC6C282646}"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CC33-4690-A93A-19C8C4BB20BA}"/>
                </c:ext>
              </c:extLst>
            </c:dLbl>
            <c:dLbl>
              <c:idx val="10"/>
              <c:tx>
                <c:rich>
                  <a:bodyPr/>
                  <a:lstStyle/>
                  <a:p>
                    <a:fld id="{9851B616-E626-4F41-BC31-0A1294029983}"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CC33-4690-A93A-19C8C4BB20BA}"/>
                </c:ext>
              </c:extLst>
            </c:dLbl>
            <c:dLbl>
              <c:idx val="11"/>
              <c:tx>
                <c:rich>
                  <a:bodyPr/>
                  <a:lstStyle/>
                  <a:p>
                    <a:fld id="{2B6B1637-71FA-ED40-AAF5-185AFE227C4D}"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CC33-4690-A93A-19C8C4BB20BA}"/>
                </c:ext>
              </c:extLst>
            </c:dLbl>
            <c:dLbl>
              <c:idx val="12"/>
              <c:tx>
                <c:rich>
                  <a:bodyPr/>
                  <a:lstStyle/>
                  <a:p>
                    <a:fld id="{DE3BB907-D414-3B46-A1F4-6699353F77DC}"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CC33-4690-A93A-19C8C4BB20BA}"/>
                </c:ext>
              </c:extLst>
            </c:dLbl>
            <c:spPr>
              <a:noFill/>
              <a:ln>
                <a:noFill/>
              </a:ln>
              <a:effectLst/>
            </c:spPr>
            <c:txPr>
              <a:bodyPr wrap="square" lIns="38100" tIns="19050" rIns="38100" bIns="19050" anchor="ctr">
                <a:spAutoFit/>
              </a:bodyPr>
              <a:lstStyle/>
              <a:p>
                <a:pPr>
                  <a:defRPr b="1"/>
                </a:pPr>
                <a:endParaRPr lang="en-NO"/>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'Data graphs'!$J$174:$J$186</c:f>
              <c:numCache>
                <c:formatCode>General</c:formatCode>
                <c:ptCount val="13"/>
                <c:pt idx="0">
                  <c:v>30</c:v>
                </c:pt>
                <c:pt idx="1">
                  <c:v>30</c:v>
                </c:pt>
                <c:pt idx="2">
                  <c:v>30</c:v>
                </c:pt>
                <c:pt idx="3">
                  <c:v>30</c:v>
                </c:pt>
                <c:pt idx="4">
                  <c:v>30</c:v>
                </c:pt>
                <c:pt idx="5">
                  <c:v>30</c:v>
                </c:pt>
                <c:pt idx="6">
                  <c:v>30</c:v>
                </c:pt>
                <c:pt idx="7">
                  <c:v>30</c:v>
                </c:pt>
                <c:pt idx="8">
                  <c:v>30</c:v>
                </c:pt>
                <c:pt idx="9">
                  <c:v>30</c:v>
                </c:pt>
                <c:pt idx="10">
                  <c:v>30</c:v>
                </c:pt>
                <c:pt idx="11">
                  <c:v>30</c:v>
                </c:pt>
                <c:pt idx="12">
                  <c:v>30</c:v>
                </c:pt>
              </c:numCache>
            </c:numRef>
          </c:xVal>
          <c:yVal>
            <c:numRef>
              <c:f>'Data graphs'!$K$174:$K$186</c:f>
              <c:numCache>
                <c:formatCode>General</c:formatCode>
                <c:ptCount val="13"/>
                <c:pt idx="0">
                  <c:v>7.33</c:v>
                </c:pt>
                <c:pt idx="1">
                  <c:v>7.05</c:v>
                </c:pt>
                <c:pt idx="2">
                  <c:v>6.6449999999999996</c:v>
                </c:pt>
                <c:pt idx="3">
                  <c:v>6.28</c:v>
                </c:pt>
                <c:pt idx="4">
                  <c:v>6</c:v>
                </c:pt>
                <c:pt idx="5">
                  <c:v>5.67</c:v>
                </c:pt>
                <c:pt idx="6">
                  <c:v>5</c:v>
                </c:pt>
                <c:pt idx="7">
                  <c:v>4.33</c:v>
                </c:pt>
                <c:pt idx="8">
                  <c:v>4</c:v>
                </c:pt>
                <c:pt idx="9">
                  <c:v>3.7199999999999998</c:v>
                </c:pt>
                <c:pt idx="10">
                  <c:v>3.355</c:v>
                </c:pt>
                <c:pt idx="11">
                  <c:v>2.95</c:v>
                </c:pt>
                <c:pt idx="12">
                  <c:v>2.67</c:v>
                </c:pt>
              </c:numCache>
            </c:numRef>
          </c:yVal>
          <c:smooth val="1"/>
          <c:extLst>
            <c:ext xmlns:c15="http://schemas.microsoft.com/office/drawing/2012/chart" uri="{02D57815-91ED-43cb-92C2-25804820EDAC}">
              <c15:datalabelsRange>
                <c15:f>'Data graphs'!$I$174:$I$186</c15:f>
                <c15:dlblRangeCache>
                  <c:ptCount val="13"/>
                  <c:pt idx="0">
                    <c:v>99%</c:v>
                  </c:pt>
                  <c:pt idx="1">
                    <c:v>98%</c:v>
                  </c:pt>
                  <c:pt idx="2">
                    <c:v>95%</c:v>
                  </c:pt>
                  <c:pt idx="3">
                    <c:v>90%</c:v>
                  </c:pt>
                  <c:pt idx="4">
                    <c:v>84%</c:v>
                  </c:pt>
                  <c:pt idx="5">
                    <c:v>75%</c:v>
                  </c:pt>
                  <c:pt idx="6">
                    <c:v>50%</c:v>
                  </c:pt>
                  <c:pt idx="7">
                    <c:v>25%</c:v>
                  </c:pt>
                  <c:pt idx="8">
                    <c:v>16%</c:v>
                  </c:pt>
                  <c:pt idx="9">
                    <c:v>10%</c:v>
                  </c:pt>
                  <c:pt idx="10">
                    <c:v>5%</c:v>
                  </c:pt>
                  <c:pt idx="11">
                    <c:v>2%</c:v>
                  </c:pt>
                  <c:pt idx="12">
                    <c:v>1%</c:v>
                  </c:pt>
                </c15:dlblRangeCache>
              </c15:datalabelsRange>
            </c:ext>
            <c:ext xmlns:c16="http://schemas.microsoft.com/office/drawing/2014/chart" uri="{C3380CC4-5D6E-409C-BE32-E72D297353CC}">
              <c16:uniqueId val="{0000000D-15AB-42B7-920E-CEE2376A68C2}"/>
            </c:ext>
          </c:extLst>
        </c:ser>
        <c:ser>
          <c:idx val="3"/>
          <c:order val="2"/>
          <c:spPr>
            <a:ln w="19050">
              <a:noFill/>
            </a:ln>
          </c:spPr>
          <c:marker>
            <c:symbol val="square"/>
            <c:size val="5"/>
            <c:spPr>
              <a:solidFill>
                <a:srgbClr val="FFFF00"/>
              </a:solidFill>
              <a:ln>
                <a:solidFill>
                  <a:srgbClr val="000000"/>
                </a:solidFill>
                <a:prstDash val="solid"/>
              </a:ln>
            </c:spPr>
          </c:marker>
          <c:xVal>
            <c:numRef>
              <c:f>'Data graphs'!$R$173:$R$223</c:f>
              <c:numCache>
                <c:formatCode>0.00</c:formatCode>
                <c:ptCount val="51"/>
                <c:pt idx="0">
                  <c:v>1.7</c:v>
                </c:pt>
                <c:pt idx="1">
                  <c:v>1.9</c:v>
                </c:pt>
                <c:pt idx="2">
                  <c:v>2.7</c:v>
                </c:pt>
                <c:pt idx="3">
                  <c:v>5.8</c:v>
                </c:pt>
                <c:pt idx="4">
                  <c:v>6.3</c:v>
                </c:pt>
                <c:pt idx="5">
                  <c:v>17</c:v>
                </c:pt>
                <c:pt idx="6">
                  <c:v>18.899999999999999</c:v>
                </c:pt>
                <c:pt idx="7">
                  <c:v>21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'Data graphs'!$AD$173:$AD$223</c:f>
              <c:numCache>
                <c:formatCode>General</c:formatCode>
                <c:ptCount val="51"/>
                <c:pt idx="0">
                  <c:v>0.1111111111111111</c:v>
                </c:pt>
                <c:pt idx="1">
                  <c:v>0.22222222222222221</c:v>
                </c:pt>
                <c:pt idx="2">
                  <c:v>0.33333333333333331</c:v>
                </c:pt>
                <c:pt idx="3">
                  <c:v>0.44444444444444442</c:v>
                </c:pt>
                <c:pt idx="4">
                  <c:v>0.55555555555555558</c:v>
                </c:pt>
                <c:pt idx="5">
                  <c:v>0.66666666666666663</c:v>
                </c:pt>
                <c:pt idx="6">
                  <c:v>0.77777777777777779</c:v>
                </c:pt>
                <c:pt idx="7">
                  <c:v>0.88888888888888884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yVal>
          <c:smooth val="1"/>
          <c:extLst>
            <c:ext xmlns:c16="http://schemas.microsoft.com/office/drawing/2014/chart" uri="{C3380CC4-5D6E-409C-BE32-E72D297353CC}">
              <c16:uniqueId val="{0000000F-15AB-42B7-920E-CEE2376A68C2}"/>
            </c:ext>
          </c:extLst>
        </c:ser>
        <c:ser>
          <c:idx val="4"/>
          <c:order val="3"/>
          <c:spPr>
            <a:ln>
              <a:noFill/>
            </a:ln>
          </c:spPr>
          <c:marker>
            <c:symbol val="square"/>
            <c:size val="5"/>
            <c:spPr>
              <a:solidFill>
                <a:srgbClr val="C00000"/>
              </a:solidFill>
              <a:ln>
                <a:solidFill>
                  <a:srgbClr val="000000"/>
                </a:solidFill>
                <a:prstDash val="solid"/>
              </a:ln>
            </c:spPr>
          </c:marker>
          <c:xVal>
            <c:numRef>
              <c:f>'Data graphs'!$R$173:$R$223</c:f>
              <c:numCache>
                <c:formatCode>0.00</c:formatCode>
                <c:ptCount val="51"/>
                <c:pt idx="0">
                  <c:v>1.7</c:v>
                </c:pt>
                <c:pt idx="1">
                  <c:v>1.9</c:v>
                </c:pt>
                <c:pt idx="2">
                  <c:v>2.7</c:v>
                </c:pt>
                <c:pt idx="3">
                  <c:v>5.8</c:v>
                </c:pt>
                <c:pt idx="4">
                  <c:v>6.3</c:v>
                </c:pt>
                <c:pt idx="5">
                  <c:v>17</c:v>
                </c:pt>
                <c:pt idx="6">
                  <c:v>18.899999999999999</c:v>
                </c:pt>
                <c:pt idx="7">
                  <c:v>21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xVal>
          <c:yVal>
            <c:numRef>
              <c:f>'Data graphs'!$X$173:$X$223</c:f>
              <c:numCache>
                <c:formatCode>General</c:formatCode>
                <c:ptCount val="51"/>
                <c:pt idx="0">
                  <c:v>3.7793596511526499</c:v>
                </c:pt>
                <c:pt idx="1">
                  <c:v>4.2352903262136126</c:v>
                </c:pt>
                <c:pt idx="2">
                  <c:v>4.5692727007045422</c:v>
                </c:pt>
                <c:pt idx="3">
                  <c:v>4.8602897011181376</c:v>
                </c:pt>
                <c:pt idx="4">
                  <c:v>5.1397102988818624</c:v>
                </c:pt>
                <c:pt idx="5">
                  <c:v>5.4307272992954578</c:v>
                </c:pt>
                <c:pt idx="6">
                  <c:v>5.7647096737863874</c:v>
                </c:pt>
                <c:pt idx="7">
                  <c:v>6.2206403488473505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yVal>
          <c:smooth val="1"/>
          <c:extLst>
            <c:ext xmlns:c16="http://schemas.microsoft.com/office/drawing/2014/chart" uri="{C3380CC4-5D6E-409C-BE32-E72D297353CC}">
              <c16:uniqueId val="{00000010-15AB-42B7-920E-CEE2376A68C2}"/>
            </c:ext>
          </c:extLst>
        </c:ser>
        <c:dLbls>
          <c:showLegendKey val="0"/>
          <c:showVal val="0"/>
          <c:showCatName val="0"/>
          <c:showSerName val="0"/>
          <c:showPercent val="0"/>
          <c:showBubbleSize val="0"/>
        </c:dLbls>
        <c:axId val="80221248"/>
        <c:axId val="80221824"/>
      </c:scatterChart>
      <c:scatterChart>
        <c:scatterStyle val="lineMarker"/>
        <c:varyColors val="0"/>
        <c:ser>
          <c:idx val="2"/>
          <c:order val="1"/>
          <c:spPr>
            <a:ln>
              <a:solidFill>
                <a:srgbClr val="C00000"/>
              </a:solidFill>
            </a:ln>
          </c:spPr>
          <c:marker>
            <c:spPr>
              <a:noFill/>
              <a:ln>
                <a:noFill/>
              </a:ln>
            </c:spPr>
          </c:marker>
          <c:xVal>
            <c:numRef>
              <c:f>'Data graphs'!$N$178:$N$179</c:f>
              <c:numCache>
                <c:formatCode>General</c:formatCode>
                <c:ptCount val="2"/>
                <c:pt idx="0">
                  <c:v>-17.789767332896403</c:v>
                </c:pt>
                <c:pt idx="1">
                  <c:v>34.765013154259449</c:v>
                </c:pt>
              </c:numCache>
            </c:numRef>
          </c:xVal>
          <c:yVal>
            <c:numRef>
              <c:f>'Data graphs'!$N$180:$N$181</c:f>
              <c:numCache>
                <c:formatCode>General</c:formatCode>
                <c:ptCount val="2"/>
                <c:pt idx="0">
                  <c:v>2.5</c:v>
                </c:pt>
                <c:pt idx="1">
                  <c:v>7.33</c:v>
                </c:pt>
              </c:numCache>
            </c:numRef>
          </c:yVal>
          <c:smooth val="0"/>
          <c:extLst>
            <c:ext xmlns:c16="http://schemas.microsoft.com/office/drawing/2014/chart" uri="{C3380CC4-5D6E-409C-BE32-E72D297353CC}">
              <c16:uniqueId val="{0000000E-15AB-42B7-920E-CEE2376A68C2}"/>
            </c:ext>
          </c:extLst>
        </c:ser>
        <c:dLbls>
          <c:showLegendKey val="0"/>
          <c:showVal val="0"/>
          <c:showCatName val="0"/>
          <c:showSerName val="0"/>
          <c:showPercent val="0"/>
          <c:showBubbleSize val="0"/>
        </c:dLbls>
        <c:axId val="80221248"/>
        <c:axId val="80221824"/>
      </c:scatterChart>
      <c:valAx>
        <c:axId val="80221248"/>
        <c:scaling>
          <c:orientation val="minMax"/>
        </c:scaling>
        <c:delete val="0"/>
        <c:axPos val="b"/>
        <c:majorGridlines>
          <c:spPr>
            <a:ln w="3175">
              <a:solidFill>
                <a:srgbClr val="000000"/>
              </a:solidFill>
              <a:prstDash val="solid"/>
            </a:ln>
          </c:spPr>
        </c:majorGridlines>
        <c:minorGridlines>
          <c:spPr>
            <a:ln w="3175">
              <a:solidFill>
                <a:srgbClr val="000000"/>
              </a:solidFill>
              <a:prstDash val="solid"/>
            </a:ln>
          </c:spPr>
        </c:minorGridlines>
        <c:title>
          <c:tx>
            <c:strRef>
              <c:f>'Data graphs'!$I$58</c:f>
              <c:strCache>
                <c:ptCount val="1"/>
                <c:pt idx="0">
                  <c:v>Konsentrasjon (ppm)</c:v>
                </c:pt>
              </c:strCache>
            </c:strRef>
          </c:tx>
          <c:layout>
            <c:manualLayout>
              <c:xMode val="edge"/>
              <c:yMode val="edge"/>
              <c:x val="0.33128007605860416"/>
              <c:y val="0.96321943844484914"/>
            </c:manualLayout>
          </c:layout>
          <c:overlay val="0"/>
          <c:spPr>
            <a:noFill/>
            <a:ln w="25400">
              <a:noFill/>
            </a:ln>
          </c:spPr>
          <c:txPr>
            <a:bodyPr/>
            <a:lstStyle/>
            <a:p>
              <a:pPr>
                <a:defRPr sz="1000" b="1" i="0" u="none" strike="noStrike" baseline="0">
                  <a:solidFill>
                    <a:srgbClr val="000000"/>
                  </a:solidFill>
                  <a:latin typeface="Geneva"/>
                  <a:ea typeface="Geneva"/>
                  <a:cs typeface="Geneva"/>
                </a:defRPr>
              </a:pPr>
              <a:endParaRPr lang="en-NO"/>
            </a:p>
          </c:txPr>
        </c:title>
        <c:numFmt formatCode="General" sourceLinked="1"/>
        <c:majorTickMark val="cross"/>
        <c:minorTickMark val="cross"/>
        <c:tickLblPos val="nextTo"/>
        <c:spPr>
          <a:ln w="3175">
            <a:solidFill>
              <a:srgbClr val="000000"/>
            </a:solidFill>
            <a:prstDash val="solid"/>
          </a:ln>
        </c:spPr>
        <c:txPr>
          <a:bodyPr rot="0" vert="horz"/>
          <a:lstStyle/>
          <a:p>
            <a:pPr>
              <a:defRPr sz="1000" b="0" i="0" u="none" strike="noStrike" baseline="0">
                <a:solidFill>
                  <a:srgbClr val="000000"/>
                </a:solidFill>
                <a:latin typeface="Geneva"/>
                <a:ea typeface="Geneva"/>
                <a:cs typeface="Geneva"/>
              </a:defRPr>
            </a:pPr>
            <a:endParaRPr lang="en-NO"/>
          </a:p>
        </c:txPr>
        <c:crossAx val="80221824"/>
        <c:crossesAt val="2.5"/>
        <c:crossBetween val="midCat"/>
      </c:valAx>
      <c:valAx>
        <c:axId val="80221824"/>
        <c:scaling>
          <c:orientation val="minMax"/>
          <c:min val="2.5"/>
        </c:scaling>
        <c:delete val="0"/>
        <c:axPos val="r"/>
        <c:majorGridlines>
          <c:spPr>
            <a:ln w="3175">
              <a:solidFill>
                <a:srgbClr val="000000"/>
              </a:solidFill>
              <a:prstDash val="solid"/>
            </a:ln>
          </c:spPr>
        </c:majorGridlines>
        <c:numFmt formatCode="General" sourceLinked="1"/>
        <c:majorTickMark val="cross"/>
        <c:minorTickMark val="cross"/>
        <c:tickLblPos val="none"/>
        <c:spPr>
          <a:ln w="3175">
            <a:solidFill>
              <a:srgbClr val="000000"/>
            </a:solidFill>
            <a:prstDash val="solid"/>
          </a:ln>
        </c:spPr>
        <c:crossAx val="80221248"/>
        <c:crosses val="max"/>
        <c:crossBetween val="midCat"/>
      </c:valAx>
      <c:spPr>
        <a:solidFill>
          <a:schemeClr val="bg1">
            <a:lumMod val="75000"/>
          </a:schemeClr>
        </a:solidFill>
        <a:ln w="25400">
          <a:noFill/>
        </a:ln>
      </c:spPr>
    </c:plotArea>
    <c:plotVisOnly val="0"/>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Geneva"/>
          <a:ea typeface="Geneva"/>
          <a:cs typeface="Geneva"/>
        </a:defRPr>
      </a:pPr>
      <a:endParaRPr lang="en-NO"/>
    </a:p>
  </c:txPr>
  <c:printSettings>
    <c:headerFooter alignWithMargins="0">
      <c:oddFooter>&amp;CPage &amp;P</c:oddFooter>
    </c:headerFooter>
    <c:pageMargins b="1" l="0.75" r="0.75" t="1" header="0.5" footer="0.5"/>
    <c:pageSetup orientation="portrait" horizontalDpi="300" verticalDpi="300"/>
  </c:printSettings>
</c:chartSpac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9</xdr:col>
      <xdr:colOff>171450</xdr:colOff>
      <xdr:row>7</xdr:row>
      <xdr:rowOff>0</xdr:rowOff>
    </xdr:from>
    <xdr:to>
      <xdr:col>9</xdr:col>
      <xdr:colOff>171450</xdr:colOff>
      <xdr:row>7</xdr:row>
      <xdr:rowOff>273600</xdr:rowOff>
    </xdr:to>
    <xdr:cxnSp macro="">
      <xdr:nvCxnSpPr>
        <xdr:cNvPr id="4" name="Rett linje 3">
          <a:extLst>
            <a:ext uri="{FF2B5EF4-FFF2-40B4-BE49-F238E27FC236}">
              <a16:creationId xmlns:a16="http://schemas.microsoft.com/office/drawing/2014/main" id="{FBC31C21-D090-4DF5-B6FF-4D73321672C0}"/>
            </a:ext>
          </a:extLst>
        </xdr:cNvPr>
        <xdr:cNvCxnSpPr/>
      </xdr:nvCxnSpPr>
      <xdr:spPr>
        <a:xfrm>
          <a:off x="6867525" y="1162050"/>
          <a:ext cx="0" cy="27360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171450</xdr:colOff>
      <xdr:row>11</xdr:row>
      <xdr:rowOff>9525</xdr:rowOff>
    </xdr:from>
    <xdr:to>
      <xdr:col>9</xdr:col>
      <xdr:colOff>171450</xdr:colOff>
      <xdr:row>11</xdr:row>
      <xdr:rowOff>189525</xdr:rowOff>
    </xdr:to>
    <xdr:cxnSp macro="">
      <xdr:nvCxnSpPr>
        <xdr:cNvPr id="5" name="Rett linje 4">
          <a:extLst>
            <a:ext uri="{FF2B5EF4-FFF2-40B4-BE49-F238E27FC236}">
              <a16:creationId xmlns:a16="http://schemas.microsoft.com/office/drawing/2014/main" id="{2399C6DD-59F1-4BBA-972B-6ABA71188BBD}"/>
            </a:ext>
          </a:extLst>
        </xdr:cNvPr>
        <xdr:cNvCxnSpPr/>
      </xdr:nvCxnSpPr>
      <xdr:spPr>
        <a:xfrm>
          <a:off x="6867525" y="2047875"/>
          <a:ext cx="0" cy="18000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171450</xdr:colOff>
      <xdr:row>13</xdr:row>
      <xdr:rowOff>9525</xdr:rowOff>
    </xdr:from>
    <xdr:to>
      <xdr:col>9</xdr:col>
      <xdr:colOff>171450</xdr:colOff>
      <xdr:row>13</xdr:row>
      <xdr:rowOff>189525</xdr:rowOff>
    </xdr:to>
    <xdr:cxnSp macro="">
      <xdr:nvCxnSpPr>
        <xdr:cNvPr id="6" name="Rett linje 5">
          <a:extLst>
            <a:ext uri="{FF2B5EF4-FFF2-40B4-BE49-F238E27FC236}">
              <a16:creationId xmlns:a16="http://schemas.microsoft.com/office/drawing/2014/main" id="{340798B0-BBA0-4B35-BD35-80406210BC3E}"/>
            </a:ext>
          </a:extLst>
        </xdr:cNvPr>
        <xdr:cNvCxnSpPr/>
      </xdr:nvCxnSpPr>
      <xdr:spPr>
        <a:xfrm>
          <a:off x="6867525" y="2447925"/>
          <a:ext cx="0" cy="18000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171450</xdr:colOff>
      <xdr:row>15</xdr:row>
      <xdr:rowOff>9525</xdr:rowOff>
    </xdr:from>
    <xdr:to>
      <xdr:col>9</xdr:col>
      <xdr:colOff>171450</xdr:colOff>
      <xdr:row>16</xdr:row>
      <xdr:rowOff>3900</xdr:rowOff>
    </xdr:to>
    <xdr:cxnSp macro="">
      <xdr:nvCxnSpPr>
        <xdr:cNvPr id="7" name="Rett linje 6">
          <a:extLst>
            <a:ext uri="{FF2B5EF4-FFF2-40B4-BE49-F238E27FC236}">
              <a16:creationId xmlns:a16="http://schemas.microsoft.com/office/drawing/2014/main" id="{024FCB15-8E80-4E63-874A-98A973562DA2}"/>
            </a:ext>
          </a:extLst>
        </xdr:cNvPr>
        <xdr:cNvCxnSpPr/>
      </xdr:nvCxnSpPr>
      <xdr:spPr>
        <a:xfrm>
          <a:off x="6867525" y="2828925"/>
          <a:ext cx="0" cy="19440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171450</xdr:colOff>
      <xdr:row>19</xdr:row>
      <xdr:rowOff>0</xdr:rowOff>
    </xdr:from>
    <xdr:to>
      <xdr:col>9</xdr:col>
      <xdr:colOff>171450</xdr:colOff>
      <xdr:row>20</xdr:row>
      <xdr:rowOff>3900</xdr:rowOff>
    </xdr:to>
    <xdr:cxnSp macro="">
      <xdr:nvCxnSpPr>
        <xdr:cNvPr id="8" name="Rett linje 7">
          <a:extLst>
            <a:ext uri="{FF2B5EF4-FFF2-40B4-BE49-F238E27FC236}">
              <a16:creationId xmlns:a16="http://schemas.microsoft.com/office/drawing/2014/main" id="{5D7B0A37-9211-4CA1-A193-4A520587C472}"/>
            </a:ext>
          </a:extLst>
        </xdr:cNvPr>
        <xdr:cNvCxnSpPr/>
      </xdr:nvCxnSpPr>
      <xdr:spPr>
        <a:xfrm>
          <a:off x="6867525" y="3600450"/>
          <a:ext cx="0" cy="19440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171450</xdr:colOff>
      <xdr:row>21</xdr:row>
      <xdr:rowOff>0</xdr:rowOff>
    </xdr:from>
    <xdr:to>
      <xdr:col>9</xdr:col>
      <xdr:colOff>171450</xdr:colOff>
      <xdr:row>22</xdr:row>
      <xdr:rowOff>3900</xdr:rowOff>
    </xdr:to>
    <xdr:cxnSp macro="">
      <xdr:nvCxnSpPr>
        <xdr:cNvPr id="9" name="Rett linje 8">
          <a:extLst>
            <a:ext uri="{FF2B5EF4-FFF2-40B4-BE49-F238E27FC236}">
              <a16:creationId xmlns:a16="http://schemas.microsoft.com/office/drawing/2014/main" id="{99E71F64-EADC-43D9-B20D-FD216D6E70D3}"/>
            </a:ext>
          </a:extLst>
        </xdr:cNvPr>
        <xdr:cNvCxnSpPr/>
      </xdr:nvCxnSpPr>
      <xdr:spPr>
        <a:xfrm>
          <a:off x="6867525" y="3981450"/>
          <a:ext cx="0" cy="19440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171450</xdr:colOff>
      <xdr:row>27</xdr:row>
      <xdr:rowOff>0</xdr:rowOff>
    </xdr:from>
    <xdr:to>
      <xdr:col>9</xdr:col>
      <xdr:colOff>171450</xdr:colOff>
      <xdr:row>28</xdr:row>
      <xdr:rowOff>3900</xdr:rowOff>
    </xdr:to>
    <xdr:cxnSp macro="">
      <xdr:nvCxnSpPr>
        <xdr:cNvPr id="10" name="Rett linje 9">
          <a:extLst>
            <a:ext uri="{FF2B5EF4-FFF2-40B4-BE49-F238E27FC236}">
              <a16:creationId xmlns:a16="http://schemas.microsoft.com/office/drawing/2014/main" id="{FFFFFF64-5CF1-4969-AF94-283AECE1BE40}"/>
            </a:ext>
          </a:extLst>
        </xdr:cNvPr>
        <xdr:cNvCxnSpPr/>
      </xdr:nvCxnSpPr>
      <xdr:spPr>
        <a:xfrm>
          <a:off x="6867525" y="5162550"/>
          <a:ext cx="0" cy="19440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171450</xdr:colOff>
      <xdr:row>29</xdr:row>
      <xdr:rowOff>0</xdr:rowOff>
    </xdr:from>
    <xdr:to>
      <xdr:col>9</xdr:col>
      <xdr:colOff>171450</xdr:colOff>
      <xdr:row>29</xdr:row>
      <xdr:rowOff>194400</xdr:rowOff>
    </xdr:to>
    <xdr:cxnSp macro="">
      <xdr:nvCxnSpPr>
        <xdr:cNvPr id="11" name="Rett linje 10">
          <a:extLst>
            <a:ext uri="{FF2B5EF4-FFF2-40B4-BE49-F238E27FC236}">
              <a16:creationId xmlns:a16="http://schemas.microsoft.com/office/drawing/2014/main" id="{5DAF2784-0AF4-4E07-91F2-27B4144D11E7}"/>
            </a:ext>
          </a:extLst>
        </xdr:cNvPr>
        <xdr:cNvCxnSpPr/>
      </xdr:nvCxnSpPr>
      <xdr:spPr>
        <a:xfrm>
          <a:off x="6867525" y="5543550"/>
          <a:ext cx="0" cy="19440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171450</xdr:colOff>
      <xdr:row>39</xdr:row>
      <xdr:rowOff>0</xdr:rowOff>
    </xdr:from>
    <xdr:to>
      <xdr:col>9</xdr:col>
      <xdr:colOff>171450</xdr:colOff>
      <xdr:row>40</xdr:row>
      <xdr:rowOff>3900</xdr:rowOff>
    </xdr:to>
    <xdr:cxnSp macro="">
      <xdr:nvCxnSpPr>
        <xdr:cNvPr id="12" name="Rett linje 11">
          <a:extLst>
            <a:ext uri="{FF2B5EF4-FFF2-40B4-BE49-F238E27FC236}">
              <a16:creationId xmlns:a16="http://schemas.microsoft.com/office/drawing/2014/main" id="{F11957DC-2C7B-430D-A362-6D9100CB3017}"/>
            </a:ext>
          </a:extLst>
        </xdr:cNvPr>
        <xdr:cNvCxnSpPr/>
      </xdr:nvCxnSpPr>
      <xdr:spPr>
        <a:xfrm>
          <a:off x="6867525" y="7486650"/>
          <a:ext cx="0" cy="19440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171450</xdr:colOff>
      <xdr:row>41</xdr:row>
      <xdr:rowOff>0</xdr:rowOff>
    </xdr:from>
    <xdr:to>
      <xdr:col>9</xdr:col>
      <xdr:colOff>171450</xdr:colOff>
      <xdr:row>42</xdr:row>
      <xdr:rowOff>3900</xdr:rowOff>
    </xdr:to>
    <xdr:cxnSp macro="">
      <xdr:nvCxnSpPr>
        <xdr:cNvPr id="13" name="Rett linje 12">
          <a:extLst>
            <a:ext uri="{FF2B5EF4-FFF2-40B4-BE49-F238E27FC236}">
              <a16:creationId xmlns:a16="http://schemas.microsoft.com/office/drawing/2014/main" id="{4D227E5F-68A1-4D85-961D-5D71C36BE44E}"/>
            </a:ext>
          </a:extLst>
        </xdr:cNvPr>
        <xdr:cNvCxnSpPr/>
      </xdr:nvCxnSpPr>
      <xdr:spPr>
        <a:xfrm>
          <a:off x="6867525" y="7867650"/>
          <a:ext cx="0" cy="19440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171450</xdr:colOff>
      <xdr:row>25</xdr:row>
      <xdr:rowOff>9525</xdr:rowOff>
    </xdr:from>
    <xdr:to>
      <xdr:col>9</xdr:col>
      <xdr:colOff>171450</xdr:colOff>
      <xdr:row>25</xdr:row>
      <xdr:rowOff>189525</xdr:rowOff>
    </xdr:to>
    <xdr:cxnSp macro="">
      <xdr:nvCxnSpPr>
        <xdr:cNvPr id="14" name="Rett linje 13">
          <a:extLst>
            <a:ext uri="{FF2B5EF4-FFF2-40B4-BE49-F238E27FC236}">
              <a16:creationId xmlns:a16="http://schemas.microsoft.com/office/drawing/2014/main" id="{65F406B6-B3A7-4BAC-94F1-5CF0BE609E42}"/>
            </a:ext>
          </a:extLst>
        </xdr:cNvPr>
        <xdr:cNvCxnSpPr/>
      </xdr:nvCxnSpPr>
      <xdr:spPr>
        <a:xfrm>
          <a:off x="6867525" y="4772025"/>
          <a:ext cx="0" cy="18000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171450</xdr:colOff>
      <xdr:row>33</xdr:row>
      <xdr:rowOff>9525</xdr:rowOff>
    </xdr:from>
    <xdr:to>
      <xdr:col>9</xdr:col>
      <xdr:colOff>171450</xdr:colOff>
      <xdr:row>33</xdr:row>
      <xdr:rowOff>189525</xdr:rowOff>
    </xdr:to>
    <xdr:cxnSp macro="">
      <xdr:nvCxnSpPr>
        <xdr:cNvPr id="15" name="Rett linje 14">
          <a:extLst>
            <a:ext uri="{FF2B5EF4-FFF2-40B4-BE49-F238E27FC236}">
              <a16:creationId xmlns:a16="http://schemas.microsoft.com/office/drawing/2014/main" id="{1545C8D8-A931-4BD8-A789-12CD750298AB}"/>
            </a:ext>
          </a:extLst>
        </xdr:cNvPr>
        <xdr:cNvCxnSpPr/>
      </xdr:nvCxnSpPr>
      <xdr:spPr>
        <a:xfrm>
          <a:off x="6867525" y="6334125"/>
          <a:ext cx="0" cy="18000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171450</xdr:colOff>
      <xdr:row>37</xdr:row>
      <xdr:rowOff>9525</xdr:rowOff>
    </xdr:from>
    <xdr:to>
      <xdr:col>9</xdr:col>
      <xdr:colOff>171450</xdr:colOff>
      <xdr:row>37</xdr:row>
      <xdr:rowOff>189525</xdr:rowOff>
    </xdr:to>
    <xdr:cxnSp macro="">
      <xdr:nvCxnSpPr>
        <xdr:cNvPr id="16" name="Rett linje 15">
          <a:extLst>
            <a:ext uri="{FF2B5EF4-FFF2-40B4-BE49-F238E27FC236}">
              <a16:creationId xmlns:a16="http://schemas.microsoft.com/office/drawing/2014/main" id="{A1DC8333-F0AC-4223-9EBD-45775DADB992}"/>
            </a:ext>
          </a:extLst>
        </xdr:cNvPr>
        <xdr:cNvCxnSpPr/>
      </xdr:nvCxnSpPr>
      <xdr:spPr>
        <a:xfrm>
          <a:off x="6867525" y="7096125"/>
          <a:ext cx="0" cy="18000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12</xdr:row>
      <xdr:rowOff>104775</xdr:rowOff>
    </xdr:from>
    <xdr:to>
      <xdr:col>12</xdr:col>
      <xdr:colOff>345975</xdr:colOff>
      <xdr:row>12</xdr:row>
      <xdr:rowOff>104775</xdr:rowOff>
    </xdr:to>
    <xdr:cxnSp macro="">
      <xdr:nvCxnSpPr>
        <xdr:cNvPr id="17" name="Rett linje 16">
          <a:extLst>
            <a:ext uri="{FF2B5EF4-FFF2-40B4-BE49-F238E27FC236}">
              <a16:creationId xmlns:a16="http://schemas.microsoft.com/office/drawing/2014/main" id="{7AF94013-AAE3-42FB-8AA4-AA9BB8538979}"/>
            </a:ext>
          </a:extLst>
        </xdr:cNvPr>
        <xdr:cNvCxnSpPr/>
      </xdr:nvCxnSpPr>
      <xdr:spPr>
        <a:xfrm>
          <a:off x="7962900" y="2343150"/>
          <a:ext cx="698400"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26</xdr:row>
      <xdr:rowOff>104775</xdr:rowOff>
    </xdr:from>
    <xdr:to>
      <xdr:col>12</xdr:col>
      <xdr:colOff>345975</xdr:colOff>
      <xdr:row>26</xdr:row>
      <xdr:rowOff>104775</xdr:rowOff>
    </xdr:to>
    <xdr:cxnSp macro="">
      <xdr:nvCxnSpPr>
        <xdr:cNvPr id="20" name="Rett linje 19">
          <a:extLst>
            <a:ext uri="{FF2B5EF4-FFF2-40B4-BE49-F238E27FC236}">
              <a16:creationId xmlns:a16="http://schemas.microsoft.com/office/drawing/2014/main" id="{AB6517EF-A8D5-4435-8549-543721A27942}"/>
            </a:ext>
          </a:extLst>
        </xdr:cNvPr>
        <xdr:cNvCxnSpPr/>
      </xdr:nvCxnSpPr>
      <xdr:spPr>
        <a:xfrm>
          <a:off x="7962900" y="5067300"/>
          <a:ext cx="698400"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38</xdr:row>
      <xdr:rowOff>104775</xdr:rowOff>
    </xdr:from>
    <xdr:to>
      <xdr:col>12</xdr:col>
      <xdr:colOff>345975</xdr:colOff>
      <xdr:row>38</xdr:row>
      <xdr:rowOff>104775</xdr:rowOff>
    </xdr:to>
    <xdr:cxnSp macro="">
      <xdr:nvCxnSpPr>
        <xdr:cNvPr id="21" name="Rett linje 20">
          <a:extLst>
            <a:ext uri="{FF2B5EF4-FFF2-40B4-BE49-F238E27FC236}">
              <a16:creationId xmlns:a16="http://schemas.microsoft.com/office/drawing/2014/main" id="{1D97D28B-A820-4D54-ACFA-FDADF2942421}"/>
            </a:ext>
          </a:extLst>
        </xdr:cNvPr>
        <xdr:cNvCxnSpPr/>
      </xdr:nvCxnSpPr>
      <xdr:spPr>
        <a:xfrm>
          <a:off x="7962900" y="7391400"/>
          <a:ext cx="698400"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12</xdr:row>
      <xdr:rowOff>104775</xdr:rowOff>
    </xdr:from>
    <xdr:to>
      <xdr:col>14</xdr:col>
      <xdr:colOff>489600</xdr:colOff>
      <xdr:row>12</xdr:row>
      <xdr:rowOff>104775</xdr:rowOff>
    </xdr:to>
    <xdr:cxnSp macro="">
      <xdr:nvCxnSpPr>
        <xdr:cNvPr id="22" name="Rett linje 21">
          <a:extLst>
            <a:ext uri="{FF2B5EF4-FFF2-40B4-BE49-F238E27FC236}">
              <a16:creationId xmlns:a16="http://schemas.microsoft.com/office/drawing/2014/main" id="{0E6B3482-3313-4E6F-B0A6-2AEE98D5BBD5}"/>
            </a:ext>
          </a:extLst>
        </xdr:cNvPr>
        <xdr:cNvCxnSpPr/>
      </xdr:nvCxnSpPr>
      <xdr:spPr>
        <a:xfrm>
          <a:off x="9020175" y="2343150"/>
          <a:ext cx="489600"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26</xdr:row>
      <xdr:rowOff>114300</xdr:rowOff>
    </xdr:from>
    <xdr:to>
      <xdr:col>15</xdr:col>
      <xdr:colOff>3825</xdr:colOff>
      <xdr:row>26</xdr:row>
      <xdr:rowOff>114300</xdr:rowOff>
    </xdr:to>
    <xdr:cxnSp macro="">
      <xdr:nvCxnSpPr>
        <xdr:cNvPr id="23" name="Rett linje 22">
          <a:extLst>
            <a:ext uri="{FF2B5EF4-FFF2-40B4-BE49-F238E27FC236}">
              <a16:creationId xmlns:a16="http://schemas.microsoft.com/office/drawing/2014/main" id="{9D3968F6-9D18-4AB0-B3F9-ED2500C4B959}"/>
            </a:ext>
          </a:extLst>
        </xdr:cNvPr>
        <xdr:cNvCxnSpPr/>
      </xdr:nvCxnSpPr>
      <xdr:spPr>
        <a:xfrm>
          <a:off x="9020175" y="5076825"/>
          <a:ext cx="356250"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38</xdr:row>
      <xdr:rowOff>114300</xdr:rowOff>
    </xdr:from>
    <xdr:to>
      <xdr:col>15</xdr:col>
      <xdr:colOff>3825</xdr:colOff>
      <xdr:row>38</xdr:row>
      <xdr:rowOff>114300</xdr:rowOff>
    </xdr:to>
    <xdr:cxnSp macro="">
      <xdr:nvCxnSpPr>
        <xdr:cNvPr id="24" name="Rett linje 23">
          <a:extLst>
            <a:ext uri="{FF2B5EF4-FFF2-40B4-BE49-F238E27FC236}">
              <a16:creationId xmlns:a16="http://schemas.microsoft.com/office/drawing/2014/main" id="{5F5E543E-C33F-4BB7-ADD1-3C35089BE160}"/>
            </a:ext>
          </a:extLst>
        </xdr:cNvPr>
        <xdr:cNvCxnSpPr/>
      </xdr:nvCxnSpPr>
      <xdr:spPr>
        <a:xfrm>
          <a:off x="9020175" y="7400925"/>
          <a:ext cx="356250"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27</xdr:row>
      <xdr:rowOff>19050</xdr:rowOff>
    </xdr:from>
    <xdr:to>
      <xdr:col>7</xdr:col>
      <xdr:colOff>222225</xdr:colOff>
      <xdr:row>53</xdr:row>
      <xdr:rowOff>9525</xdr:rowOff>
    </xdr:to>
    <xdr:graphicFrame macro="">
      <xdr:nvGraphicFramePr>
        <xdr:cNvPr id="2" name="Chart 4">
          <a:extLst>
            <a:ext uri="{FF2B5EF4-FFF2-40B4-BE49-F238E27FC236}">
              <a16:creationId xmlns:a16="http://schemas.microsoft.com/office/drawing/2014/main" id="{A43FAE81-82E0-495C-8510-A5362DD586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219075</xdr:colOff>
      <xdr:row>27</xdr:row>
      <xdr:rowOff>19050</xdr:rowOff>
    </xdr:from>
    <xdr:to>
      <xdr:col>13</xdr:col>
      <xdr:colOff>869950</xdr:colOff>
      <xdr:row>53</xdr:row>
      <xdr:rowOff>14109</xdr:rowOff>
    </xdr:to>
    <xdr:graphicFrame macro="">
      <xdr:nvGraphicFramePr>
        <xdr:cNvPr id="3" name="Chart 3">
          <a:extLst>
            <a:ext uri="{FF2B5EF4-FFF2-40B4-BE49-F238E27FC236}">
              <a16:creationId xmlns:a16="http://schemas.microsoft.com/office/drawing/2014/main" id="{CE1859B4-8469-4E8E-B86C-D0A3FBFCE9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866774</xdr:colOff>
      <xdr:row>27</xdr:row>
      <xdr:rowOff>19050</xdr:rowOff>
    </xdr:from>
    <xdr:to>
      <xdr:col>21</xdr:col>
      <xdr:colOff>184124</xdr:colOff>
      <xdr:row>53</xdr:row>
      <xdr:rowOff>14109</xdr:rowOff>
    </xdr:to>
    <xdr:graphicFrame macro="">
      <xdr:nvGraphicFramePr>
        <xdr:cNvPr id="4" name="Chart 3">
          <a:extLst>
            <a:ext uri="{FF2B5EF4-FFF2-40B4-BE49-F238E27FC236}">
              <a16:creationId xmlns:a16="http://schemas.microsoft.com/office/drawing/2014/main" id="{DF8F11D7-3052-4DD0-BEFC-41DAB0142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219075</xdr:colOff>
      <xdr:row>53</xdr:row>
      <xdr:rowOff>9525</xdr:rowOff>
    </xdr:from>
    <xdr:to>
      <xdr:col>13</xdr:col>
      <xdr:colOff>866775</xdr:colOff>
      <xdr:row>78</xdr:row>
      <xdr:rowOff>162278</xdr:rowOff>
    </xdr:to>
    <xdr:graphicFrame macro="">
      <xdr:nvGraphicFramePr>
        <xdr:cNvPr id="5" name="Chart 2">
          <a:extLst>
            <a:ext uri="{FF2B5EF4-FFF2-40B4-BE49-F238E27FC236}">
              <a16:creationId xmlns:a16="http://schemas.microsoft.com/office/drawing/2014/main" id="{53888181-1BD8-403B-9AF4-9E7AC7E19D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866772</xdr:colOff>
      <xdr:row>53</xdr:row>
      <xdr:rowOff>9524</xdr:rowOff>
    </xdr:from>
    <xdr:to>
      <xdr:col>21</xdr:col>
      <xdr:colOff>184122</xdr:colOff>
      <xdr:row>78</xdr:row>
      <xdr:rowOff>161925</xdr:rowOff>
    </xdr:to>
    <xdr:graphicFrame macro="">
      <xdr:nvGraphicFramePr>
        <xdr:cNvPr id="6" name="Chart 1">
          <a:extLst>
            <a:ext uri="{FF2B5EF4-FFF2-40B4-BE49-F238E27FC236}">
              <a16:creationId xmlns:a16="http://schemas.microsoft.com/office/drawing/2014/main" id="{15447328-9895-4C3B-94FC-2DA6E80381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ost@yrkeshygiene.no" TargetMode="External"/><Relationship Id="rId2" Type="http://schemas.openxmlformats.org/officeDocument/2006/relationships/hyperlink" Target="https://limitvalue.ifa.dguv.de/" TargetMode="External"/><Relationship Id="rId1" Type="http://schemas.openxmlformats.org/officeDocument/2006/relationships/hyperlink" Target="https://arbeidstilsynet.no/tema/kjemikalier/"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yrkeshygiene.no/kb/yh-hjel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aiha.org/public-resources/consumer-resources/topics-of-interest/ih-apps-too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EA1B8-6BC7-4B73-B91F-F074CC701932}">
  <sheetPr>
    <tabColor theme="1"/>
  </sheetPr>
  <dimension ref="A1:T47"/>
  <sheetViews>
    <sheetView showGridLines="0" tabSelected="1" zoomScaleNormal="100" workbookViewId="0">
      <selection activeCell="L18" sqref="L18"/>
    </sheetView>
  </sheetViews>
  <sheetFormatPr baseColWidth="10" defaultColWidth="11.5" defaultRowHeight="15" zeroHeight="1" x14ac:dyDescent="0.2"/>
  <cols>
    <col min="1" max="2" width="3.5" customWidth="1"/>
    <col min="3" max="3" width="31.83203125" customWidth="1"/>
    <col min="4" max="4" width="31.5" customWidth="1"/>
    <col min="5" max="6" width="3.5" customWidth="1"/>
    <col min="7" max="8" width="5.5" customWidth="1"/>
    <col min="9" max="9" width="13.5" customWidth="1"/>
    <col min="10" max="10" width="4.5" style="163" customWidth="1"/>
    <col min="11" max="11" width="13.5" customWidth="1"/>
    <col min="12" max="12" width="14.5" customWidth="1"/>
    <col min="13" max="15" width="5.5" customWidth="1"/>
    <col min="16" max="16" width="23.5" customWidth="1"/>
    <col min="17" max="17" width="5.5" customWidth="1"/>
    <col min="18" max="18" width="11.5" customWidth="1"/>
    <col min="19" max="19" width="36.1640625" customWidth="1"/>
    <col min="20" max="20" width="0.5" hidden="1" customWidth="1"/>
  </cols>
  <sheetData>
    <row r="1" spans="1:20" ht="15" customHeight="1" x14ac:dyDescent="0.2">
      <c r="A1" s="447" t="str" cm="1">
        <f t="array" ref="A1">UPPER(INDEX(Tekst!$B$1:$U$300,113,Tabeller!$C$28))</f>
        <v>INFORMASJON OM YH-HJELP</v>
      </c>
      <c r="B1" s="448"/>
      <c r="C1" s="448"/>
      <c r="D1" s="448"/>
      <c r="E1" s="448"/>
      <c r="F1" s="448"/>
      <c r="G1" s="448"/>
      <c r="H1" s="448"/>
      <c r="I1" s="448"/>
      <c r="J1" s="448"/>
      <c r="K1" s="448"/>
      <c r="L1" s="448"/>
      <c r="M1" s="448"/>
      <c r="N1" s="448"/>
      <c r="O1" s="448"/>
      <c r="P1" s="448"/>
      <c r="Q1" s="448"/>
      <c r="R1" s="448"/>
      <c r="S1" s="448"/>
      <c r="T1" s="448"/>
    </row>
    <row r="2" spans="1:20" ht="15" customHeight="1" x14ac:dyDescent="0.2">
      <c r="A2" s="447"/>
      <c r="B2" s="448"/>
      <c r="C2" s="448"/>
      <c r="D2" s="448"/>
      <c r="E2" s="448"/>
      <c r="F2" s="448"/>
      <c r="G2" s="448"/>
      <c r="H2" s="448"/>
      <c r="I2" s="448"/>
      <c r="J2" s="448"/>
      <c r="K2" s="448"/>
      <c r="L2" s="448"/>
      <c r="M2" s="448"/>
      <c r="N2" s="448"/>
      <c r="O2" s="448"/>
      <c r="P2" s="448"/>
      <c r="Q2" s="448"/>
      <c r="R2" s="448"/>
      <c r="S2" s="448"/>
      <c r="T2" s="448"/>
    </row>
    <row r="3" spans="1:20" ht="15" customHeight="1" thickBot="1" x14ac:dyDescent="0.3">
      <c r="F3" s="202"/>
      <c r="G3" s="208"/>
    </row>
    <row r="4" spans="1:20" ht="15.75" customHeight="1" thickBot="1" x14ac:dyDescent="0.25">
      <c r="A4" s="62"/>
      <c r="B4" s="63"/>
      <c r="C4" s="63"/>
      <c r="D4" s="63"/>
      <c r="E4" s="64"/>
      <c r="G4" s="211"/>
      <c r="H4" s="457" t="str" cm="1">
        <f t="array" ref="H4">UPPER(INDEX(Tekst!$B$1:$U$300,130,Tabeller!$C$28))</f>
        <v>FLYTSKJEMA</v>
      </c>
      <c r="I4" s="457"/>
      <c r="J4" s="457"/>
      <c r="K4" s="457"/>
      <c r="L4" s="457"/>
      <c r="M4" s="457"/>
      <c r="N4" s="457"/>
      <c r="O4" s="457"/>
      <c r="P4" s="457"/>
      <c r="Q4" s="212"/>
      <c r="R4" s="412" t="str" cm="1">
        <f t="array" ref="R4">INDEX(Tekst!$B$1:$U$300,215,Tabeller!$C$28)</f>
        <v>Om YH-HJELP</v>
      </c>
      <c r="S4" s="413"/>
    </row>
    <row r="5" spans="1:20" ht="20.25" customHeight="1" x14ac:dyDescent="0.2">
      <c r="A5" s="65"/>
      <c r="B5" s="449" t="s">
        <v>1988</v>
      </c>
      <c r="C5" s="450"/>
      <c r="D5" s="451"/>
      <c r="E5" s="198"/>
      <c r="F5" s="195"/>
      <c r="G5" s="213"/>
      <c r="H5" s="458" t="str" cm="1">
        <f t="array" ref="H5">INDEX(Tekst!$B$1:$U$300,131,Tabeller!$C$28)</f>
        <v>Kartlegging og vurdering av eksponering</v>
      </c>
      <c r="I5" s="458"/>
      <c r="J5" s="458"/>
      <c r="K5" s="458"/>
      <c r="L5" s="458"/>
      <c r="M5" s="458"/>
      <c r="N5" s="458"/>
      <c r="O5" s="458"/>
      <c r="P5" s="458"/>
      <c r="Q5" s="214"/>
      <c r="R5" s="414"/>
      <c r="S5" s="415"/>
    </row>
    <row r="6" spans="1:20" ht="22" thickBot="1" x14ac:dyDescent="0.3">
      <c r="A6" s="65"/>
      <c r="B6" s="459" t="s">
        <v>2</v>
      </c>
      <c r="C6" s="460"/>
      <c r="D6" s="461"/>
      <c r="E6" s="199"/>
      <c r="F6" s="197"/>
      <c r="G6" s="196"/>
      <c r="H6" s="208"/>
      <c r="I6" s="208"/>
      <c r="J6" s="322"/>
      <c r="K6" s="208"/>
      <c r="L6" s="208"/>
      <c r="M6" s="208"/>
      <c r="N6" s="208"/>
      <c r="O6" s="208"/>
      <c r="P6" s="208"/>
      <c r="Q6" s="5"/>
      <c r="R6" s="116" t="str" cm="1">
        <f t="array" ref="R6">INDEX(Tekst!$B$1:$U$300,217,Tabeller!$C$28)</f>
        <v>Versjon</v>
      </c>
      <c r="S6" s="350" t="s">
        <v>1997</v>
      </c>
    </row>
    <row r="7" spans="1:20" ht="15.75" customHeight="1" thickBot="1" x14ac:dyDescent="0.25">
      <c r="A7" s="65"/>
      <c r="B7" s="155"/>
      <c r="C7" s="155"/>
      <c r="D7" s="155"/>
      <c r="E7" s="68"/>
      <c r="G7" s="4"/>
      <c r="H7" s="209"/>
      <c r="I7" s="462" t="str" cm="1">
        <f t="array" ref="I7">UPPER(INDEX(Tekst!$B$1:$U$300,262,Tabeller!$C$28))</f>
        <v>START</v>
      </c>
      <c r="J7" s="463"/>
      <c r="K7" s="464"/>
      <c r="L7" s="209"/>
      <c r="M7" s="209"/>
      <c r="N7" s="209"/>
      <c r="O7" s="209"/>
      <c r="P7" s="209"/>
      <c r="Q7" s="5"/>
      <c r="R7" s="116" t="str" cm="1">
        <f t="array" ref="R7">INDEX(Tekst!$B$1:$U$300,216,Tabeller!$C$28)</f>
        <v>Dato</v>
      </c>
      <c r="S7" s="351">
        <v>44547</v>
      </c>
    </row>
    <row r="8" spans="1:20" ht="16" x14ac:dyDescent="0.2">
      <c r="A8" s="151"/>
      <c r="B8" s="449" t="str" cm="1">
        <f t="array" ref="B8">INDEX(Tekst!$B$1:$U$300,245,Tabeller!$C$28)</f>
        <v>Modus</v>
      </c>
      <c r="C8" s="450"/>
      <c r="D8" s="451"/>
      <c r="E8" s="152"/>
      <c r="G8" s="4"/>
      <c r="H8" s="200"/>
      <c r="I8" s="200"/>
      <c r="J8" s="323"/>
      <c r="K8" s="209"/>
      <c r="L8" s="209"/>
      <c r="M8" s="209"/>
      <c r="N8" s="209"/>
      <c r="O8" s="209"/>
      <c r="P8" s="209"/>
      <c r="Q8" s="5"/>
      <c r="R8" s="4"/>
      <c r="S8" s="5"/>
    </row>
    <row r="9" spans="1:20" ht="16" thickBot="1" x14ac:dyDescent="0.25">
      <c r="A9" s="151"/>
      <c r="B9" s="452" t="s">
        <v>1633</v>
      </c>
      <c r="C9" s="453"/>
      <c r="D9" s="454"/>
      <c r="E9" s="152"/>
      <c r="G9" s="4"/>
      <c r="H9" s="424" t="str" cm="1">
        <f t="array" ref="H9">INDEX(Tekst!$B$1:$U$300,117,Tabeller!$C$28)</f>
        <v>1. Innledende vurdering</v>
      </c>
      <c r="I9" s="425"/>
      <c r="J9" s="425"/>
      <c r="K9" s="425"/>
      <c r="L9" s="426"/>
      <c r="M9" s="210"/>
      <c r="N9" s="209"/>
      <c r="O9" s="209"/>
      <c r="P9" s="209"/>
      <c r="Q9" s="5"/>
      <c r="R9" s="305" t="s">
        <v>1631</v>
      </c>
      <c r="S9" s="60"/>
    </row>
    <row r="10" spans="1:20" ht="16" thickBot="1" x14ac:dyDescent="0.25">
      <c r="A10" s="301"/>
      <c r="B10" s="302"/>
      <c r="C10" s="302"/>
      <c r="D10" s="302"/>
      <c r="E10" s="303"/>
      <c r="G10" s="4"/>
      <c r="H10" s="428" t="str" cm="1">
        <f t="array" ref="H10">INDEX(Tekst!$B$1:$U$300,125,Tabeller!$C$28)</f>
        <v>Informasjonsinnhenting
Estimering av eksponeringen</v>
      </c>
      <c r="I10" s="429"/>
      <c r="J10" s="429"/>
      <c r="K10" s="429"/>
      <c r="L10" s="430"/>
      <c r="M10" s="210"/>
      <c r="N10" s="209"/>
      <c r="O10" s="209"/>
      <c r="P10" s="209"/>
      <c r="Q10" s="5"/>
      <c r="R10" s="420" t="str" cm="1">
        <f t="array" ref="R10">INDEX(Tekst!$B$1:$U$300,227,Tabeller!$C$28)</f>
        <v>Mulig å justere GV i henhold til offshore reduksjonsfaktor</v>
      </c>
      <c r="S10" s="421"/>
    </row>
    <row r="11" spans="1:20" ht="15.75" customHeight="1" thickBot="1" x14ac:dyDescent="0.25">
      <c r="A11" s="61"/>
      <c r="B11" s="61"/>
      <c r="C11" s="61"/>
      <c r="D11" s="61"/>
      <c r="E11" s="61"/>
      <c r="G11" s="4"/>
      <c r="H11" s="431"/>
      <c r="I11" s="432"/>
      <c r="J11" s="432"/>
      <c r="K11" s="432"/>
      <c r="L11" s="433"/>
      <c r="M11" s="210"/>
      <c r="N11" s="209"/>
      <c r="O11" s="209"/>
      <c r="P11" s="209"/>
      <c r="Q11" s="5"/>
      <c r="R11" s="420"/>
      <c r="S11" s="421"/>
    </row>
    <row r="12" spans="1:20" ht="16" thickBot="1" x14ac:dyDescent="0.25">
      <c r="A12" s="52"/>
      <c r="B12" s="56"/>
      <c r="C12" s="56"/>
      <c r="D12" s="56"/>
      <c r="E12" s="54"/>
      <c r="G12" s="4"/>
      <c r="H12" s="209"/>
      <c r="I12" s="209"/>
      <c r="J12" s="210"/>
      <c r="K12" s="209"/>
      <c r="L12" s="209"/>
      <c r="M12" s="209"/>
      <c r="N12" s="209"/>
      <c r="O12" s="209"/>
      <c r="P12" s="209"/>
      <c r="Q12" s="5"/>
      <c r="R12" s="305" t="str" cm="1">
        <f t="array" ref="R12">INDEX(Tekst!$B$1:$U$300,225,Tabeller!$C$28)</f>
        <v>Avansert</v>
      </c>
      <c r="S12" s="60"/>
    </row>
    <row r="13" spans="1:20" ht="16" thickBot="1" x14ac:dyDescent="0.25">
      <c r="A13" s="53"/>
      <c r="B13" s="407" t="str" cm="1">
        <f t="array" ref="B13">INDEX(Tekst!$B$1:$U$300,135,Tabeller!$C$28)</f>
        <v>Fargekoder brukt i regnearkene</v>
      </c>
      <c r="C13" s="408"/>
      <c r="D13" s="409"/>
      <c r="E13" s="55"/>
      <c r="G13" s="4"/>
      <c r="H13" s="209"/>
      <c r="I13" s="388" t="str" cm="1">
        <f t="array" ref="I13">INDEX(Tekst!$B$1:$U$300,122,Tabeller!$C$28)</f>
        <v>Kan det være eksponering ?</v>
      </c>
      <c r="J13" s="389"/>
      <c r="K13" s="390"/>
      <c r="L13" s="209"/>
      <c r="M13" s="209"/>
      <c r="N13" s="201" t="str" cm="1">
        <f t="array" ref="N13">UPPER(INDEX(Tekst!$B$1:$U$300,259,Tabeller!$C$28))</f>
        <v>NEI</v>
      </c>
      <c r="O13" s="209"/>
      <c r="P13" s="206" t="str" cm="1">
        <f t="array" ref="P13">INDEX(Tekst!$B$1:$U$300,128,Tabeller!$C$28)</f>
        <v>Avslutt med rapport</v>
      </c>
      <c r="Q13" s="5"/>
      <c r="R13" s="420" t="str" cm="1">
        <f t="array" ref="R13">INDEX(Tekst!$B$1:$U$300,228,Tabeller!$C$28)</f>
        <v>Alle funksjoner tilgjengelig</v>
      </c>
      <c r="S13" s="421"/>
    </row>
    <row r="14" spans="1:20" x14ac:dyDescent="0.2">
      <c r="A14" s="53"/>
      <c r="B14" s="203"/>
      <c r="C14" t="str" cm="1">
        <f t="array" ref="C14">INDEX(Tekst!$B$1:$U$300,134,Tabeller!$C$28)</f>
        <v>Input (område)</v>
      </c>
      <c r="D14" s="5"/>
      <c r="E14" s="55"/>
      <c r="G14" s="4"/>
      <c r="H14" s="209"/>
      <c r="I14" s="209"/>
      <c r="J14" s="210"/>
      <c r="K14" s="209"/>
      <c r="L14" s="209"/>
      <c r="M14" s="209"/>
      <c r="N14" s="209"/>
      <c r="O14" s="209"/>
      <c r="P14" s="422" t="str" cm="1">
        <f t="array" ref="P14">INDEX(Tekst!$B$1:$U$300,129,Tabeller!$C$28)</f>
        <v>Ny vurdering etter 1 år eller endringer som kan påvirke eksponeringen</v>
      </c>
      <c r="Q14" s="5"/>
      <c r="R14" s="420"/>
      <c r="S14" s="421"/>
    </row>
    <row r="15" spans="1:20" x14ac:dyDescent="0.2">
      <c r="A15" s="53"/>
      <c r="B15" s="204"/>
      <c r="C15" t="str" cm="1">
        <f t="array" ref="C15">INDEX(Tekst!$B$1:$U$300,133,Tabeller!$C$28)</f>
        <v>Resultat (område)</v>
      </c>
      <c r="D15" s="5"/>
      <c r="E15" s="55"/>
      <c r="G15" s="4"/>
      <c r="H15" s="209"/>
      <c r="I15" s="209"/>
      <c r="J15" s="201" t="str" cm="1">
        <f t="array" ref="J15">UPPER(INDEX(Tekst!$B$1:$U$300,258,Tabeller!$C$28))</f>
        <v>JA</v>
      </c>
      <c r="K15" s="209"/>
      <c r="L15" s="209"/>
      <c r="M15" s="209"/>
      <c r="N15" s="209"/>
      <c r="O15" s="209"/>
      <c r="P15" s="467"/>
      <c r="Q15" s="5"/>
      <c r="R15" s="304"/>
      <c r="S15" s="60"/>
    </row>
    <row r="16" spans="1:20" x14ac:dyDescent="0.2">
      <c r="A16" s="191"/>
      <c r="B16" s="205"/>
      <c r="C16" t="str" cm="1">
        <f t="array" ref="C16">INDEX(Tekst!$B$1:$U$300,113,Tabeller!$C$28)</f>
        <v>Informasjon om YH-HJELP</v>
      </c>
      <c r="D16" s="5"/>
      <c r="E16" s="191"/>
      <c r="G16" s="4"/>
      <c r="H16" s="209"/>
      <c r="I16" s="209"/>
      <c r="J16" s="210"/>
      <c r="K16" s="209"/>
      <c r="L16" s="209"/>
      <c r="M16" s="209"/>
      <c r="N16" s="209"/>
      <c r="O16" s="209"/>
      <c r="P16" s="467"/>
      <c r="Q16" s="5"/>
      <c r="R16" s="410" t="str" cm="1">
        <f t="array" ref="R16">INDEX(Tekst!$B$1:$U$300,246,Tabeller!$C$28)</f>
        <v>Ansvarsfraskrivelse</v>
      </c>
      <c r="S16" s="411"/>
    </row>
    <row r="17" spans="1:19" ht="16" thickBot="1" x14ac:dyDescent="0.25">
      <c r="A17" s="53"/>
      <c r="B17" s="287"/>
      <c r="C17" t="str" cm="1">
        <f t="array" ref="C17">INDEX(Tekst!$B$1:$U$300,132,Tabeller!$C$28)</f>
        <v>Påkrevd input (celle)</v>
      </c>
      <c r="D17" s="5"/>
      <c r="E17" s="55"/>
      <c r="G17" s="4"/>
      <c r="H17" s="209"/>
      <c r="I17" s="438" t="str" cm="1">
        <f t="array" ref="I17">INDEX(Tekst!$B$1:$U$300,124,Tabeller!$C$28)</f>
        <v>Sett i gang tiltak
eller
gå til 1, 2 eller 3</v>
      </c>
      <c r="J17" s="439"/>
      <c r="K17" s="440"/>
      <c r="L17" s="209"/>
      <c r="M17" s="209"/>
      <c r="N17" s="209"/>
      <c r="O17" s="209"/>
      <c r="P17" s="468"/>
      <c r="Q17" s="5"/>
      <c r="R17" s="416" t="str" cm="1">
        <f t="array" ref="R17">INDEX(Tekst!$B$1:$U$300,221,Tabeller!$C$28)</f>
        <v xml:space="preserve">Regnearket er utarbeidet av frivillige i NYF. NYF eller andre som har bidratt til utvikling av regnearket kan ikke gjøres ansvarlig for eventuelle feil i regnearket eller feil vurderinger som følge av bruk av dette regnearket. For dokumentasjon og spørsmål angående regnearket se kontaktinformasjon nedenfor. </v>
      </c>
      <c r="S17" s="417"/>
    </row>
    <row r="18" spans="1:19" x14ac:dyDescent="0.2">
      <c r="A18" s="53"/>
      <c r="B18" s="288"/>
      <c r="C18" t="str" cm="1">
        <f t="array" ref="C18">INDEX(Tekst!$B$1:$U$300,208,Tabeller!$C$28)</f>
        <v>Valgfri input (celle)</v>
      </c>
      <c r="D18" s="5"/>
      <c r="E18" s="55"/>
      <c r="G18" s="4"/>
      <c r="H18" s="209"/>
      <c r="I18" s="441"/>
      <c r="J18" s="442"/>
      <c r="K18" s="443"/>
      <c r="L18" s="209"/>
      <c r="M18" s="209"/>
      <c r="N18" s="209"/>
      <c r="O18" s="209"/>
      <c r="P18" s="209"/>
      <c r="Q18" s="5"/>
      <c r="R18" s="418"/>
      <c r="S18" s="419"/>
    </row>
    <row r="19" spans="1:19" x14ac:dyDescent="0.2">
      <c r="A19" s="53"/>
      <c r="B19" s="383"/>
      <c r="C19" s="384" t="str" cm="1">
        <f t="array" ref="C19">INDEX(Tekst!$B$1:$U$300,209,Tabeller!$C$28)</f>
        <v>Utfylt input (celle)</v>
      </c>
      <c r="D19" s="5"/>
      <c r="E19" s="55"/>
      <c r="G19" s="4"/>
      <c r="H19" s="209"/>
      <c r="I19" s="444"/>
      <c r="J19" s="445"/>
      <c r="K19" s="446"/>
      <c r="L19" s="209"/>
      <c r="M19" s="209"/>
      <c r="N19" s="209"/>
      <c r="O19" s="209"/>
      <c r="P19" s="209"/>
      <c r="Q19" s="5"/>
      <c r="R19" s="418"/>
      <c r="S19" s="419"/>
    </row>
    <row r="20" spans="1:19" ht="16" thickBot="1" x14ac:dyDescent="0.25">
      <c r="A20" s="180"/>
      <c r="B20" s="386"/>
      <c r="C20" s="61" t="str" cm="1">
        <f t="array" ref="C20">INDEX(Tekst!$B$1:$U$300,265,Tabeller!$C$28)</f>
        <v>Må endres (celle)</v>
      </c>
      <c r="D20" s="48"/>
      <c r="E20" s="180"/>
      <c r="G20" s="4"/>
      <c r="H20" s="209"/>
      <c r="I20" s="209"/>
      <c r="J20" s="210"/>
      <c r="K20" s="209"/>
      <c r="L20" s="209"/>
      <c r="M20" s="209"/>
      <c r="N20" s="209"/>
      <c r="O20" s="209"/>
      <c r="P20" s="209"/>
      <c r="Q20" s="5"/>
      <c r="R20" s="418"/>
      <c r="S20" s="419"/>
    </row>
    <row r="21" spans="1:19" ht="15.75" customHeight="1" thickBot="1" x14ac:dyDescent="0.25">
      <c r="A21" s="53"/>
      <c r="B21" s="16"/>
      <c r="C21" s="16"/>
      <c r="D21" s="16"/>
      <c r="E21" s="55"/>
      <c r="G21" s="4"/>
      <c r="H21" s="209"/>
      <c r="I21" s="209"/>
      <c r="J21" s="201" t="str" cm="1">
        <f t="array" ref="J21">UPPER(INDEX(Tekst!$B$1:$U$300,258,Tabeller!$C$28))</f>
        <v>JA</v>
      </c>
      <c r="K21" s="209"/>
      <c r="L21" s="209"/>
      <c r="M21" s="209"/>
      <c r="N21" s="209"/>
      <c r="O21" s="209"/>
      <c r="P21" s="209"/>
      <c r="Q21" s="5"/>
      <c r="R21" s="418"/>
      <c r="S21" s="419"/>
    </row>
    <row r="22" spans="1:19" x14ac:dyDescent="0.2">
      <c r="A22" s="53"/>
      <c r="B22" s="434" t="str" cm="1">
        <f t="array" ref="B22">INDEX(Tekst!$B$1:$U$300,115,Tabeller!$C$28)</f>
        <v>Type vurdering / undersøkelse</v>
      </c>
      <c r="C22" s="435"/>
      <c r="D22" s="194" t="str">
        <f>IF(Information!$B$6=Tekst!$B$1,Tekst!$B$114,IF(Information!$B$6=Tekst!$C$1,Tekst!$C$114,""))</f>
        <v>Bruk fane</v>
      </c>
      <c r="E22" s="55"/>
      <c r="G22" s="4"/>
      <c r="H22" s="209"/>
      <c r="I22" s="209"/>
      <c r="J22" s="210"/>
      <c r="K22" s="209"/>
      <c r="L22" s="209"/>
      <c r="M22" s="209"/>
      <c r="N22" s="209"/>
      <c r="O22" s="209"/>
      <c r="P22" s="209"/>
      <c r="Q22" s="5"/>
      <c r="R22" s="418"/>
      <c r="S22" s="419"/>
    </row>
    <row r="23" spans="1:19" ht="15" customHeight="1" x14ac:dyDescent="0.2">
      <c r="A23" s="53"/>
      <c r="B23" s="436" t="str" cm="1">
        <f t="array" ref="B23">INDEX(Tekst!$B$1:$U$300,117,Tabeller!$C$28)</f>
        <v>1. Innledende vurdering</v>
      </c>
      <c r="C23" s="437"/>
      <c r="D23" s="5" t="str" cm="1">
        <f t="array" ref="D23">INDEX(Tekst!$B$1:$U$300,240,Tabeller!$C$28)</f>
        <v>Se Arbeidstilsynets veiledning</v>
      </c>
      <c r="E23" s="55"/>
      <c r="G23" s="4"/>
      <c r="H23" s="427" t="str" cm="1">
        <f t="array" ref="H23">INDEX(Tekst!$B$1:$U$300,118,Tabeller!$C$28)</f>
        <v>2. Forenklet undersøkelse</v>
      </c>
      <c r="I23" s="425"/>
      <c r="J23" s="425"/>
      <c r="K23" s="425"/>
      <c r="L23" s="426"/>
      <c r="M23" s="209"/>
      <c r="N23" s="209"/>
      <c r="O23" s="209"/>
      <c r="P23" s="209"/>
      <c r="Q23" s="5"/>
      <c r="R23" s="418"/>
      <c r="S23" s="419"/>
    </row>
    <row r="24" spans="1:19" ht="16" x14ac:dyDescent="0.2">
      <c r="A24" s="53"/>
      <c r="B24" s="465" t="str" cm="1">
        <f t="array" ref="B24">INDEX(Tekst!$B$1:$U$300,118,Tabeller!$C$28)</f>
        <v>2. Forenklet undersøkelse</v>
      </c>
      <c r="C24" s="466"/>
      <c r="D24" s="309" t="str" cm="1">
        <f t="array" ref="D24">INDEX(Tekst!$B$1:$U$300,241,Tabeller!$C$28)</f>
        <v>Survey</v>
      </c>
      <c r="E24" s="55"/>
      <c r="G24" s="4"/>
      <c r="H24" s="428" t="str" cm="1">
        <f t="array" ref="H24">INDEX(Tekst!$B$1:$U$300,126,Tabeller!$C$28)</f>
        <v>3-5 målinger
Vurdering baseres på maksimumsverdien</v>
      </c>
      <c r="I24" s="429"/>
      <c r="J24" s="429"/>
      <c r="K24" s="429"/>
      <c r="L24" s="430"/>
      <c r="M24" s="209"/>
      <c r="N24" s="209"/>
      <c r="O24" s="209"/>
      <c r="P24" s="209"/>
      <c r="Q24" s="5"/>
      <c r="R24" s="418"/>
      <c r="S24" s="419"/>
    </row>
    <row r="25" spans="1:19" ht="15.75" customHeight="1" x14ac:dyDescent="0.2">
      <c r="A25" s="53"/>
      <c r="B25" s="455" t="str" cm="1">
        <f t="array" ref="B25">INDEX(Tekst!$B$1:$U$300,119,Tabeller!$C$28)</f>
        <v>3. Detaljert undersøkelse</v>
      </c>
      <c r="C25" s="456"/>
      <c r="D25" s="310" t="str" cm="1">
        <f t="array" ref="D25">INDEX(Tekst!$B$1:$U$300,242,Tabeller!$C$28)</f>
        <v>Survey + Analysis</v>
      </c>
      <c r="E25" s="55"/>
      <c r="G25" s="4"/>
      <c r="H25" s="431"/>
      <c r="I25" s="432"/>
      <c r="J25" s="432"/>
      <c r="K25" s="432"/>
      <c r="L25" s="433"/>
      <c r="M25" s="209"/>
      <c r="N25" s="209"/>
      <c r="O25" s="209"/>
      <c r="P25" s="209"/>
      <c r="Q25" s="5"/>
      <c r="R25" s="418"/>
      <c r="S25" s="419"/>
    </row>
    <row r="26" spans="1:19" ht="16" thickBot="1" x14ac:dyDescent="0.25">
      <c r="A26" s="53"/>
      <c r="B26" s="400"/>
      <c r="C26" s="401"/>
      <c r="D26" s="5"/>
      <c r="E26" s="55"/>
      <c r="G26" s="4"/>
      <c r="H26" s="209"/>
      <c r="I26" s="209"/>
      <c r="J26" s="210"/>
      <c r="K26" s="209"/>
      <c r="L26" s="209"/>
      <c r="M26" s="209"/>
      <c r="N26" s="209"/>
      <c r="O26" s="209"/>
      <c r="P26" s="209"/>
      <c r="Q26" s="5"/>
      <c r="R26" s="418"/>
      <c r="S26" s="419"/>
    </row>
    <row r="27" spans="1:19" ht="16" thickBot="1" x14ac:dyDescent="0.25">
      <c r="A27" s="53"/>
      <c r="B27" s="402" t="str" cm="1">
        <f t="array" ref="B27">INDEX(Tekst!$B$1:$U$300,89,Tabeller!$C$28)</f>
        <v>Flere eksponeringer</v>
      </c>
      <c r="C27" s="403"/>
      <c r="D27" s="48" t="str" cm="1">
        <f t="array" ref="D27">INDEX(Tekst!$B$1:$U$300,243,Tabeller!$C$28)</f>
        <v>Benytt E_index</v>
      </c>
      <c r="E27" s="55"/>
      <c r="G27" s="4"/>
      <c r="H27" s="209"/>
      <c r="I27" s="388" t="str" cm="1">
        <f t="array" ref="I27">INDEX(Tekst!$B$1:$U$300,123,Tabeller!$C$28)</f>
        <v>Er eksponeringen uakseptabel?</v>
      </c>
      <c r="J27" s="389"/>
      <c r="K27" s="390"/>
      <c r="L27" s="209"/>
      <c r="M27" s="209"/>
      <c r="N27" s="201" t="str" cm="1">
        <f t="array" ref="N27">UPPER(INDEX(Tekst!$B$1:$U$300,259,Tabeller!$C$28))</f>
        <v>NEI</v>
      </c>
      <c r="O27" s="209"/>
      <c r="P27" s="207" t="str" cm="1">
        <f t="array" ref="P27">INDEX(Tekst!$B$1:$U$300,128,Tabeller!$C$28)</f>
        <v>Avslutt med rapport</v>
      </c>
      <c r="Q27" s="5"/>
      <c r="R27" s="418"/>
      <c r="S27" s="419"/>
    </row>
    <row r="28" spans="1:19" ht="16" thickBot="1" x14ac:dyDescent="0.25">
      <c r="A28" s="53"/>
      <c r="B28" s="16"/>
      <c r="C28" s="16"/>
      <c r="D28" s="16"/>
      <c r="E28" s="55"/>
      <c r="G28" s="4"/>
      <c r="H28" s="209"/>
      <c r="I28" s="209"/>
      <c r="J28" s="210"/>
      <c r="K28" s="209"/>
      <c r="L28" s="209"/>
      <c r="M28" s="209"/>
      <c r="N28" s="209"/>
      <c r="O28" s="209"/>
      <c r="P28" s="422" t="str" cm="1">
        <f t="array" ref="P28">INDEX(Tekst!$B$1:$U$300,129,Tabeller!$C$28)</f>
        <v>Ny vurdering etter 1 år eller endringer som kan påvirke eksponeringen</v>
      </c>
      <c r="Q28" s="5"/>
      <c r="R28" s="418"/>
      <c r="S28" s="419"/>
    </row>
    <row r="29" spans="1:19" x14ac:dyDescent="0.2">
      <c r="A29" s="53"/>
      <c r="B29" s="407" t="str" cm="1">
        <f t="array" ref="B29">INDEX(Tekst!$B$1:$U$300,116,Tabeller!$C$28)</f>
        <v>Kilder</v>
      </c>
      <c r="C29" s="408"/>
      <c r="D29" s="409"/>
      <c r="E29" s="55"/>
      <c r="G29" s="4"/>
      <c r="H29" s="209"/>
      <c r="I29" s="209"/>
      <c r="J29" s="201" t="str" cm="1">
        <f t="array" ref="J29">UPPER(INDEX(Tekst!$B$1:$U$300,258,Tabeller!$C$28))</f>
        <v>JA</v>
      </c>
      <c r="K29" s="209"/>
      <c r="L29" s="209"/>
      <c r="M29" s="209"/>
      <c r="N29" s="209"/>
      <c r="O29" s="209"/>
      <c r="P29" s="422"/>
      <c r="Q29" s="5"/>
      <c r="R29" s="418"/>
      <c r="S29" s="419"/>
    </row>
    <row r="30" spans="1:19" x14ac:dyDescent="0.2">
      <c r="A30" s="53"/>
      <c r="B30" s="394" t="str" cm="1">
        <f t="array" ref="B30">INDEX(Tekst!$B$1:$U$300,120,Tabeller!$C$28)</f>
        <v>Arbeidstilsynets temasider om kjemikalier</v>
      </c>
      <c r="C30" s="395"/>
      <c r="D30" s="396"/>
      <c r="E30" s="55"/>
      <c r="G30" s="4"/>
      <c r="H30" s="209"/>
      <c r="I30" s="209"/>
      <c r="J30" s="210"/>
      <c r="K30" s="209"/>
      <c r="L30" s="209"/>
      <c r="M30" s="209"/>
      <c r="N30" s="209"/>
      <c r="O30" s="209"/>
      <c r="P30" s="422"/>
      <c r="Q30" s="5"/>
      <c r="R30" s="418"/>
      <c r="S30" s="419"/>
    </row>
    <row r="31" spans="1:19" ht="15.75" customHeight="1" thickBot="1" x14ac:dyDescent="0.25">
      <c r="A31" s="53"/>
      <c r="B31" s="391" t="s">
        <v>361</v>
      </c>
      <c r="C31" s="392"/>
      <c r="D31" s="393"/>
      <c r="E31" s="55"/>
      <c r="G31" s="4"/>
      <c r="H31" s="209"/>
      <c r="I31" s="438" t="str" cm="1">
        <f t="array" ref="I31">INDEX(Tekst!$B$1:$U$300,124,Tabeller!$C$28)</f>
        <v>Sett i gang tiltak
eller
gå til 1, 2 eller 3</v>
      </c>
      <c r="J31" s="439"/>
      <c r="K31" s="440"/>
      <c r="L31" s="209"/>
      <c r="M31" s="209"/>
      <c r="N31" s="209"/>
      <c r="O31" s="209"/>
      <c r="P31" s="423"/>
      <c r="Q31" s="5"/>
      <c r="R31" s="418"/>
      <c r="S31" s="419"/>
    </row>
    <row r="32" spans="1:19" x14ac:dyDescent="0.2">
      <c r="A32" s="53"/>
      <c r="B32" s="397"/>
      <c r="C32" s="398"/>
      <c r="D32" s="399"/>
      <c r="E32" s="55"/>
      <c r="G32" s="4"/>
      <c r="H32" s="209"/>
      <c r="I32" s="441"/>
      <c r="J32" s="442"/>
      <c r="K32" s="443"/>
      <c r="L32" s="209"/>
      <c r="M32" s="209"/>
      <c r="N32" s="209"/>
      <c r="O32" s="209"/>
      <c r="P32" s="209"/>
      <c r="Q32" s="5"/>
      <c r="R32" s="418"/>
      <c r="S32" s="419"/>
    </row>
    <row r="33" spans="1:19" ht="15" customHeight="1" x14ac:dyDescent="0.2">
      <c r="A33" s="53"/>
      <c r="B33" s="394" t="str" cm="1">
        <f t="array" ref="B33">INDEX(Tekst!$B$1:$U$300,121,Tabeller!$C$28)</f>
        <v>Sammenstilling av internasjonale grenseverdier</v>
      </c>
      <c r="C33" s="395"/>
      <c r="D33" s="396"/>
      <c r="E33" s="55"/>
      <c r="G33" s="4"/>
      <c r="H33" s="209"/>
      <c r="I33" s="444"/>
      <c r="J33" s="445"/>
      <c r="K33" s="446"/>
      <c r="L33" s="209"/>
      <c r="M33" s="209"/>
      <c r="N33" s="209"/>
      <c r="O33" s="209"/>
      <c r="P33" s="209"/>
      <c r="Q33" s="5"/>
      <c r="R33" s="418"/>
      <c r="S33" s="419"/>
    </row>
    <row r="34" spans="1:19" ht="16" thickBot="1" x14ac:dyDescent="0.25">
      <c r="A34" s="53"/>
      <c r="B34" s="404" t="s">
        <v>359</v>
      </c>
      <c r="C34" s="405"/>
      <c r="D34" s="406"/>
      <c r="E34" s="55"/>
      <c r="G34" s="4"/>
      <c r="H34" s="209"/>
      <c r="I34" s="209"/>
      <c r="J34" s="210"/>
      <c r="K34" s="209"/>
      <c r="L34" s="209"/>
      <c r="M34" s="209"/>
      <c r="N34" s="209"/>
      <c r="O34" s="209"/>
      <c r="P34" s="209"/>
      <c r="Q34" s="5"/>
      <c r="R34" s="4"/>
      <c r="S34" s="5"/>
    </row>
    <row r="35" spans="1:19" ht="15" customHeight="1" thickBot="1" x14ac:dyDescent="0.25">
      <c r="A35" s="53"/>
      <c r="B35" s="300"/>
      <c r="C35" s="300"/>
      <c r="D35" s="300"/>
      <c r="E35" s="55"/>
      <c r="G35" s="4"/>
      <c r="H35" s="424" t="str">
        <f>IF(Information!$B$6=Tekst!$B$1,Tekst!$B$119,IF(Information!$B$6=Tekst!$C$1,Tekst!$C$119,""))</f>
        <v>3. Detaljert undersøkelse</v>
      </c>
      <c r="I35" s="425"/>
      <c r="J35" s="425"/>
      <c r="K35" s="425"/>
      <c r="L35" s="426"/>
      <c r="M35" s="209"/>
      <c r="N35" s="209"/>
      <c r="O35" s="209"/>
      <c r="P35" s="209"/>
      <c r="Q35" s="5"/>
      <c r="R35" s="410" t="str" cm="1">
        <f t="array" ref="R35">INDEX(Tekst!$B$1:$U$300,218,Tabeller!$C$28)</f>
        <v>Kontaktdetaljer</v>
      </c>
      <c r="S35" s="411"/>
    </row>
    <row r="36" spans="1:19" ht="16" x14ac:dyDescent="0.2">
      <c r="A36" s="180"/>
      <c r="B36" s="469" t="str" cm="1">
        <f t="array" ref="B36">INDEX(Tekst!$B$1:$U$300,137,Tabeller!$C$28)</f>
        <v>Korttidsmålinger (referansetid 15 minutter)</v>
      </c>
      <c r="C36" s="470"/>
      <c r="D36" s="471"/>
      <c r="E36" s="180"/>
      <c r="G36" s="4"/>
      <c r="H36" s="428" t="str" cm="1">
        <f t="array" ref="H36">INDEX(Tekst!$B$1:$U$300,127,Tabeller!$C$28)</f>
        <v>Minst 6 målinger
Estimert øvre konsentrasjon (EØK) beregnes statistisk</v>
      </c>
      <c r="I36" s="429"/>
      <c r="J36" s="429"/>
      <c r="K36" s="429"/>
      <c r="L36" s="430"/>
      <c r="M36" s="209"/>
      <c r="N36" s="209"/>
      <c r="O36" s="209"/>
      <c r="P36" s="209"/>
      <c r="Q36" s="5"/>
      <c r="R36" s="352" t="str" cm="1">
        <f t="array" ref="R36">INDEX(Tekst!$B$1:$U$300,219,Tabeller!$C$28)</f>
        <v>Navn</v>
      </c>
      <c r="S36" s="353" t="s">
        <v>1691</v>
      </c>
    </row>
    <row r="37" spans="1:19" ht="15.75" customHeight="1" x14ac:dyDescent="0.2">
      <c r="A37" s="53"/>
      <c r="B37" s="472" t="str" cm="1">
        <f t="array" ref="B37">INDEX(Tekst!$B$1:$U$300,136,Tabeller!$C$28)</f>
        <v>Korttidsmålinger som vurderes opp mot korttidsverdi (referansetid 15 minutter) bør kun vurderes som indikative målinger når n ≤ 5 og som bakgrunnsinformasjon til "Innledende vurdering". For n ≥ 6 bør "Detaljert undersøkelse" benyttes.</v>
      </c>
      <c r="C37" s="473"/>
      <c r="D37" s="474"/>
      <c r="E37" s="55"/>
      <c r="G37" s="4"/>
      <c r="H37" s="431"/>
      <c r="I37" s="432"/>
      <c r="J37" s="432"/>
      <c r="K37" s="432"/>
      <c r="L37" s="433"/>
      <c r="M37" s="209"/>
      <c r="N37" s="209"/>
      <c r="O37" s="209"/>
      <c r="P37" s="209"/>
      <c r="Q37" s="5"/>
      <c r="R37" s="352"/>
      <c r="S37" s="354"/>
    </row>
    <row r="38" spans="1:19" ht="17" thickBot="1" x14ac:dyDescent="0.25">
      <c r="A38" s="53"/>
      <c r="B38" s="475"/>
      <c r="C38" s="476"/>
      <c r="D38" s="477"/>
      <c r="E38" s="55"/>
      <c r="G38" s="4"/>
      <c r="H38" s="209"/>
      <c r="I38" s="209"/>
      <c r="J38" s="210"/>
      <c r="K38" s="209"/>
      <c r="L38" s="209"/>
      <c r="M38" s="209"/>
      <c r="N38" s="209"/>
      <c r="O38" s="209"/>
      <c r="P38" s="209"/>
      <c r="Q38" s="5"/>
      <c r="R38" s="352" t="str" cm="1">
        <f t="array" ref="R38">INDEX(Tekst!$B$1:$U$300,220,Tabeller!$C$28)</f>
        <v>URL</v>
      </c>
      <c r="S38" s="353" t="s">
        <v>1690</v>
      </c>
    </row>
    <row r="39" spans="1:19" ht="17" thickBot="1" x14ac:dyDescent="0.25">
      <c r="A39" s="53"/>
      <c r="B39" s="475"/>
      <c r="C39" s="476"/>
      <c r="D39" s="477"/>
      <c r="E39" s="55"/>
      <c r="G39" s="4"/>
      <c r="H39" s="209"/>
      <c r="I39" s="388" t="str" cm="1">
        <f t="array" ref="I39">INDEX(Tekst!$B$1:$U$300,123,Tabeller!$C$28)</f>
        <v>Er eksponeringen uakseptabel?</v>
      </c>
      <c r="J39" s="389"/>
      <c r="K39" s="390"/>
      <c r="L39" s="209"/>
      <c r="M39" s="209"/>
      <c r="N39" s="201" t="str" cm="1">
        <f t="array" ref="N39">UPPER(INDEX(Tekst!$B$1:$U$300,259,Tabeller!$C$28))</f>
        <v>NEI</v>
      </c>
      <c r="O39" s="209"/>
      <c r="P39" s="207" t="str" cm="1">
        <f t="array" ref="P39">INDEX(Tekst!$B$1:$U$300,128,Tabeller!$C$28)</f>
        <v>Avslutt med rapport</v>
      </c>
      <c r="Q39" s="5"/>
      <c r="R39" s="352"/>
      <c r="S39" s="354"/>
    </row>
    <row r="40" spans="1:19" ht="16" x14ac:dyDescent="0.2">
      <c r="A40" s="53"/>
      <c r="B40" s="475"/>
      <c r="C40" s="476"/>
      <c r="D40" s="477"/>
      <c r="E40" s="55"/>
      <c r="G40" s="4"/>
      <c r="H40" s="209"/>
      <c r="I40" s="209"/>
      <c r="J40" s="210"/>
      <c r="K40" s="209"/>
      <c r="L40" s="209"/>
      <c r="M40" s="209"/>
      <c r="N40" s="209"/>
      <c r="O40" s="209"/>
      <c r="P40" s="422" t="str" cm="1">
        <f t="array" ref="P40">INDEX(Tekst!$B$1:$U$300,129,Tabeller!$C$28)</f>
        <v>Ny vurdering etter 1 år eller endringer som kan påvirke eksponeringen</v>
      </c>
      <c r="Q40" s="5"/>
      <c r="R40" s="352"/>
      <c r="S40" s="354"/>
    </row>
    <row r="41" spans="1:19" ht="17" thickBot="1" x14ac:dyDescent="0.25">
      <c r="A41" s="53"/>
      <c r="B41" s="478"/>
      <c r="C41" s="479"/>
      <c r="D41" s="480"/>
      <c r="E41" s="55"/>
      <c r="G41" s="4"/>
      <c r="H41" s="209"/>
      <c r="I41" s="209"/>
      <c r="J41" s="201" t="str" cm="1">
        <f t="array" ref="J41">UPPER(INDEX(Tekst!$B$1:$U$300,258,Tabeller!$C$28))</f>
        <v>JA</v>
      </c>
      <c r="K41" s="209"/>
      <c r="L41" s="209"/>
      <c r="M41" s="209"/>
      <c r="N41" s="209"/>
      <c r="O41" s="209"/>
      <c r="P41" s="422"/>
      <c r="Q41" s="5"/>
      <c r="R41" s="352"/>
      <c r="S41" s="354"/>
    </row>
    <row r="42" spans="1:19" ht="16" thickBot="1" x14ac:dyDescent="0.25">
      <c r="A42" s="53"/>
      <c r="B42" s="16"/>
      <c r="C42" s="16"/>
      <c r="D42" s="16"/>
      <c r="E42" s="55"/>
      <c r="G42" s="4"/>
      <c r="H42" s="209"/>
      <c r="I42" s="209"/>
      <c r="J42" s="210"/>
      <c r="K42" s="209"/>
      <c r="L42" s="209"/>
      <c r="M42" s="209"/>
      <c r="N42" s="209"/>
      <c r="O42" s="209"/>
      <c r="P42" s="422"/>
      <c r="Q42" s="5"/>
      <c r="R42" s="116"/>
      <c r="S42" s="123"/>
    </row>
    <row r="43" spans="1:19" ht="16" thickBot="1" x14ac:dyDescent="0.25">
      <c r="A43" s="53"/>
      <c r="B43" s="407" t="str" cm="1">
        <f t="array" ref="B43">INDEX(Tekst!$B$1:$U$300,139,Tabeller!$C$28)</f>
        <v>Takverdi</v>
      </c>
      <c r="C43" s="408"/>
      <c r="D43" s="409"/>
      <c r="E43" s="55"/>
      <c r="G43" s="4"/>
      <c r="H43" s="209"/>
      <c r="I43" s="438" t="str" cm="1">
        <f t="array" ref="I43">INDEX(Tekst!$B$1:$U$300,124,Tabeller!$C$28)</f>
        <v>Sett i gang tiltak
eller
gå til 1, 2 eller 3</v>
      </c>
      <c r="J43" s="439"/>
      <c r="K43" s="440"/>
      <c r="L43" s="209"/>
      <c r="M43" s="209"/>
      <c r="N43" s="209"/>
      <c r="O43" s="209"/>
      <c r="P43" s="423"/>
      <c r="Q43" s="5"/>
      <c r="R43" s="116"/>
      <c r="S43" s="123"/>
    </row>
    <row r="44" spans="1:19" x14ac:dyDescent="0.2">
      <c r="A44" s="53"/>
      <c r="B44" s="472" t="str" cm="1">
        <f t="array" ref="B44">INDEX(Tekst!$B$1:$U$300,138,Tabeller!$C$28)</f>
        <v>"2. Forenklet undersøkelse" og "3. Detaljert undersøkelse" kan ikke benyttes ved vurdering av eksponering opp mot takverdi, ettersom påkrevd måleperiode er lavere enn 15 minutter.</v>
      </c>
      <c r="C44" s="473"/>
      <c r="D44" s="474"/>
      <c r="E44" s="55"/>
      <c r="G44" s="4"/>
      <c r="H44" s="209"/>
      <c r="I44" s="441"/>
      <c r="J44" s="442"/>
      <c r="K44" s="443"/>
      <c r="L44" s="209"/>
      <c r="M44" s="209"/>
      <c r="N44" s="209"/>
      <c r="O44" s="209"/>
      <c r="P44" s="209"/>
      <c r="Q44" s="5"/>
      <c r="R44" s="116"/>
      <c r="S44" s="123"/>
    </row>
    <row r="45" spans="1:19" x14ac:dyDescent="0.2">
      <c r="A45" s="53"/>
      <c r="B45" s="475"/>
      <c r="C45" s="476"/>
      <c r="D45" s="477"/>
      <c r="E45" s="55"/>
      <c r="G45" s="4"/>
      <c r="H45" s="209"/>
      <c r="I45" s="444"/>
      <c r="J45" s="445"/>
      <c r="K45" s="446"/>
      <c r="L45" s="209"/>
      <c r="M45" s="209"/>
      <c r="N45" s="209"/>
      <c r="O45" s="209"/>
      <c r="P45" s="209"/>
      <c r="Q45" s="5"/>
      <c r="R45" s="116"/>
      <c r="S45" s="123"/>
    </row>
    <row r="46" spans="1:19" ht="16" thickBot="1" x14ac:dyDescent="0.25">
      <c r="A46" s="53"/>
      <c r="B46" s="478"/>
      <c r="C46" s="479"/>
      <c r="D46" s="480"/>
      <c r="E46" s="55"/>
      <c r="G46" s="47"/>
      <c r="H46" s="61"/>
      <c r="I46" s="61"/>
      <c r="J46" s="321"/>
      <c r="K46" s="61"/>
      <c r="L46" s="61"/>
      <c r="M46" s="61"/>
      <c r="N46" s="61"/>
      <c r="O46" s="61"/>
      <c r="P46" s="61"/>
      <c r="Q46" s="48"/>
      <c r="R46" s="169"/>
      <c r="S46" s="296"/>
    </row>
    <row r="47" spans="1:19" ht="16" thickBot="1" x14ac:dyDescent="0.25">
      <c r="A47" s="49"/>
      <c r="B47" s="50"/>
      <c r="C47" s="50"/>
      <c r="D47" s="50"/>
      <c r="E47" s="51"/>
    </row>
  </sheetData>
  <sheetProtection algorithmName="SHA-512" hashValue="ASQavS1TFTVVXNWj8Uu+awVqrV+NpyoBlmx9MmzyOwPPJh3oYJW5sb03JWaL1s3dFvaMmzyLSG1sHnfXYptUWQ==" saltValue="a8C2ochpxNMgT1HkknAalw==" spinCount="100000" sheet="1" objects="1" scenarios="1"/>
  <mergeCells count="46">
    <mergeCell ref="P40:P43"/>
    <mergeCell ref="I43:K45"/>
    <mergeCell ref="B36:D36"/>
    <mergeCell ref="B43:D43"/>
    <mergeCell ref="B44:D46"/>
    <mergeCell ref="B37:D41"/>
    <mergeCell ref="I39:K39"/>
    <mergeCell ref="H36:L37"/>
    <mergeCell ref="A1:T2"/>
    <mergeCell ref="B8:D8"/>
    <mergeCell ref="B9:D9"/>
    <mergeCell ref="I13:K13"/>
    <mergeCell ref="B25:C25"/>
    <mergeCell ref="H4:P4"/>
    <mergeCell ref="H5:P5"/>
    <mergeCell ref="H9:L9"/>
    <mergeCell ref="H10:L11"/>
    <mergeCell ref="B5:D5"/>
    <mergeCell ref="B6:D6"/>
    <mergeCell ref="I7:K7"/>
    <mergeCell ref="B24:C24"/>
    <mergeCell ref="P14:P17"/>
    <mergeCell ref="B13:D13"/>
    <mergeCell ref="I17:K19"/>
    <mergeCell ref="B34:D34"/>
    <mergeCell ref="B30:D30"/>
    <mergeCell ref="B29:D29"/>
    <mergeCell ref="R35:S35"/>
    <mergeCell ref="R4:S5"/>
    <mergeCell ref="R16:S16"/>
    <mergeCell ref="R17:S33"/>
    <mergeCell ref="R13:S14"/>
    <mergeCell ref="R10:S11"/>
    <mergeCell ref="P28:P31"/>
    <mergeCell ref="H35:L35"/>
    <mergeCell ref="H23:L23"/>
    <mergeCell ref="H24:L25"/>
    <mergeCell ref="B22:C22"/>
    <mergeCell ref="B23:C23"/>
    <mergeCell ref="I31:K33"/>
    <mergeCell ref="I27:K27"/>
    <mergeCell ref="B31:D31"/>
    <mergeCell ref="B33:D33"/>
    <mergeCell ref="B32:D32"/>
    <mergeCell ref="B26:C26"/>
    <mergeCell ref="B27:C27"/>
  </mergeCells>
  <conditionalFormatting sqref="B6">
    <cfRule type="containsBlanks" dxfId="50" priority="5">
      <formula>LEN(TRIM(B6))=0</formula>
    </cfRule>
  </conditionalFormatting>
  <conditionalFormatting sqref="B9">
    <cfRule type="containsBlanks" dxfId="49" priority="3">
      <formula>LEN(TRIM(B9))=0</formula>
    </cfRule>
  </conditionalFormatting>
  <conditionalFormatting sqref="B6:D6">
    <cfRule type="notContainsBlanks" dxfId="48" priority="4">
      <formula>LEN(TRIM(B6))&gt;0</formula>
    </cfRule>
  </conditionalFormatting>
  <conditionalFormatting sqref="B9:D9">
    <cfRule type="notContainsBlanks" dxfId="46" priority="2">
      <formula>LEN(TRIM(B9))&gt;0</formula>
    </cfRule>
  </conditionalFormatting>
  <dataValidations count="1">
    <dataValidation type="list" allowBlank="1" showInputMessage="1" showErrorMessage="1" sqref="B9:D9" xr:uid="{D2D5307B-3E31-4FE5-BB8E-EDCEB7017018}">
      <formula1>lVersion</formula1>
    </dataValidation>
  </dataValidations>
  <hyperlinks>
    <hyperlink ref="B31" r:id="rId1" xr:uid="{1022A976-6E46-4A77-832D-7BBBF99C0040}"/>
    <hyperlink ref="B34" r:id="rId2" xr:uid="{3BEFA266-4619-44AE-B879-C54F81A6407A}"/>
    <hyperlink ref="S36" r:id="rId3" xr:uid="{E6014955-30BE-2849-B36E-5B9B972C3FE3}"/>
    <hyperlink ref="S38" r:id="rId4" xr:uid="{B1CB3339-771F-CE4D-9FC8-221C855C58B3}"/>
  </hyperlinks>
  <pageMargins left="0.7" right="0.7" top="0.75" bottom="0.75" header="0.3" footer="0.3"/>
  <pageSetup paperSize="9" orientation="portrait" r:id="rId5"/>
  <drawing r:id="rId6"/>
  <extLst>
    <ext xmlns:x14="http://schemas.microsoft.com/office/spreadsheetml/2009/9/main" uri="{78C0D931-6437-407d-A8EE-F0AAD7539E65}">
      <x14:conditionalFormattings>
        <x14:conditionalFormatting xmlns:xm="http://schemas.microsoft.com/office/excel/2006/main">
          <x14:cfRule type="expression" priority="1" id="{319A7F17-1CE6-459E-9293-1026ABF6140C}">
            <xm:f>AND(B9&lt;&gt;INDEX(Tekst!$B$1:$U$300,224,Tabeller!$C$28),B9&lt;&gt;INDEX(Tekst!$B$1:$U$300,225,Tabeller!$C$28))</xm:f>
            <x14:dxf>
              <font>
                <color theme="0"/>
              </font>
              <fill>
                <patternFill>
                  <bgColor rgb="FFFF0000"/>
                </patternFill>
              </fill>
            </x14:dxf>
          </x14:cfRule>
          <xm:sqref>B9:D9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DFA5B9D7-A345-4283-BE93-9445BE1E0B6D}">
          <x14:formula1>
            <xm:f>OFFSET(Tabeller!$B$29,,,COUNT(Tabeller!$C$29:$C$48),1)</xm:f>
          </x14:formula1>
          <xm:sqref>B6:D6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57EE4-DBDD-40E8-99D8-A090F72F593E}">
  <sheetPr>
    <tabColor theme="9" tint="0.59999389629810485"/>
  </sheetPr>
  <dimension ref="A1:J22"/>
  <sheetViews>
    <sheetView showGridLines="0" workbookViewId="0">
      <selection activeCell="H14" sqref="H14:H17"/>
    </sheetView>
  </sheetViews>
  <sheetFormatPr baseColWidth="10" defaultRowHeight="15" x14ac:dyDescent="0.2"/>
  <cols>
    <col min="1" max="1" width="3.5" customWidth="1"/>
    <col min="2" max="2" width="30" bestFit="1" customWidth="1"/>
    <col min="4" max="4" width="12" bestFit="1" customWidth="1"/>
    <col min="5" max="5" width="3.5" customWidth="1"/>
    <col min="7" max="7" width="3.5" customWidth="1"/>
    <col min="8" max="8" width="46.5" bestFit="1" customWidth="1"/>
    <col min="9" max="9" width="25.5" customWidth="1"/>
    <col min="10" max="10" width="3.5" customWidth="1"/>
  </cols>
  <sheetData>
    <row r="1" spans="1:10" ht="21" customHeight="1" x14ac:dyDescent="0.2">
      <c r="A1" s="481" t="str">
        <f>IF(Information!$B$6=Tekst!$B$1,UPPER(Tekst!$B$108),IF(Information!$B$6=Tekst!$C$1,UPPER(Tekst!$C$108),""))</f>
        <v>ESTIMER EKSPONERING</v>
      </c>
      <c r="B1" s="482"/>
      <c r="C1" s="482"/>
      <c r="D1" s="482"/>
      <c r="E1" s="482"/>
      <c r="F1" s="482"/>
      <c r="G1" s="482"/>
      <c r="H1" s="482"/>
      <c r="I1" s="482"/>
      <c r="J1" s="483"/>
    </row>
    <row r="2" spans="1:10" ht="16" thickBot="1" x14ac:dyDescent="0.25">
      <c r="A2" s="484"/>
      <c r="B2" s="485"/>
      <c r="C2" s="485"/>
      <c r="D2" s="485"/>
      <c r="E2" s="485"/>
      <c r="F2" s="485"/>
      <c r="G2" s="485"/>
      <c r="H2" s="485"/>
      <c r="I2" s="485"/>
      <c r="J2" s="486"/>
    </row>
    <row r="3" spans="1:10" ht="16" thickBot="1" x14ac:dyDescent="0.25"/>
    <row r="4" spans="1:10" ht="16" thickBot="1" x14ac:dyDescent="0.25">
      <c r="A4" s="62"/>
      <c r="B4" s="63"/>
      <c r="C4" s="63"/>
      <c r="D4" s="63"/>
      <c r="E4" s="64"/>
      <c r="G4" s="52"/>
      <c r="H4" s="56"/>
      <c r="I4" s="56"/>
      <c r="J4" s="54"/>
    </row>
    <row r="5" spans="1:10" x14ac:dyDescent="0.2">
      <c r="A5" s="65"/>
      <c r="B5" s="259" t="str">
        <f>IF(Information!$B$6=Tekst!$B$1,Tekst!$B$91,IF(Information!$B$6=Tekst!$C$1,Tekst!$C$91,""))</f>
        <v>Stoffets damptrykk</v>
      </c>
      <c r="C5" s="284"/>
      <c r="D5" s="285"/>
      <c r="E5" s="68"/>
      <c r="G5" s="53"/>
      <c r="H5" s="263" t="str">
        <f>IF(Information!$B$6=Tekst!$B$1,Tekst!$B$102,IF(Information!$B$6=Tekst!$C$1,Tekst!$C$102,""))</f>
        <v>MK = Metningskonsentrasjon | EE = Estimert eksponering</v>
      </c>
      <c r="I5" s="260"/>
      <c r="J5" s="55"/>
    </row>
    <row r="6" spans="1:10" x14ac:dyDescent="0.2">
      <c r="A6" s="65"/>
      <c r="B6" s="116" t="str">
        <f>IF(Information!$B$6=Tekst!$B$1,Tekst!$B$92,IF(Information!$B$6=Tekst!$C$1,Tekst!$C$92,""))</f>
        <v>Atmosfæretrykk</v>
      </c>
      <c r="C6" s="286"/>
      <c r="D6" s="182"/>
      <c r="E6" s="68"/>
      <c r="G6" s="53"/>
      <c r="H6" s="4" t="str">
        <f>IF(Information!$B$6=Tekst!$B$1,Tekst!$B$103,IF(Information!$B$6=Tekst!$C$1,Tekst!$C$103,""))</f>
        <v>MK (ppm)= (stoffetsdamptrykk /atmosfæretrykk) * 1000000</v>
      </c>
      <c r="I6" s="5"/>
      <c r="J6" s="55"/>
    </row>
    <row r="7" spans="1:10" x14ac:dyDescent="0.2">
      <c r="A7" s="65"/>
      <c r="B7" s="266" t="str">
        <f>IF(Information!$B$6=Tekst!$B$1,Tekst!$B$93,IF(Information!$B$6=Tekst!$C$1,Tekst!$C$93,""))</f>
        <v>Metningskonsentrasjon</v>
      </c>
      <c r="C7" s="267" t="str">
        <f>IFERROR((($C$5*INDEX(Tabeller!$I$14:$J$18,MATCH($D$5,Tabeller!$I$14:$I$18,0),2))/($C$6*INDEX(Tabeller!$I$14:$J$18,MATCH($D$6,Tabeller!$I$14:$I$18,0),2)))*1000000,"")</f>
        <v/>
      </c>
      <c r="D7" s="268" t="str">
        <f>IF($C$7&lt;&gt;"","ppm","")</f>
        <v/>
      </c>
      <c r="E7" s="68"/>
      <c r="G7" s="53"/>
      <c r="H7" s="116" t="str">
        <f>IF(Information!$B$6=Tekst!$B$1,Tekst!$B$105,IF(Information!$B$6=Tekst!$C$1,Tekst!$C$105,""))</f>
        <v>EE (ppm) = MK * forventet fortynning</v>
      </c>
      <c r="I7" s="5"/>
      <c r="J7" s="55"/>
    </row>
    <row r="8" spans="1:10" x14ac:dyDescent="0.2">
      <c r="A8" s="65"/>
      <c r="B8" s="4"/>
      <c r="C8" s="496"/>
      <c r="D8" s="497"/>
      <c r="E8" s="68"/>
      <c r="G8" s="53"/>
      <c r="H8" s="4"/>
      <c r="I8" s="5"/>
      <c r="J8" s="55"/>
    </row>
    <row r="9" spans="1:10" ht="16" thickBot="1" x14ac:dyDescent="0.25">
      <c r="A9" s="65"/>
      <c r="B9" s="116" t="str">
        <f>IF(Information!$B$6=Tekst!$B$1,Tekst!$B$94,IF(Information!$B$6=Tekst!$C$1,Tekst!$C$94,""))</f>
        <v>Forventet fortynning</v>
      </c>
      <c r="C9" s="496"/>
      <c r="D9" s="497"/>
      <c r="E9" s="68"/>
      <c r="G9" s="53"/>
      <c r="H9" s="509" t="str">
        <f>IF(Information!$B$6=Tekst!$B$1,Tekst!$B$104,IF(Information!$B$6=Tekst!$C$1,Tekst!$C$104,""))</f>
        <v>Damptrykk er å finner her - https://chem.nlm.nih.gov/chemidplus/</v>
      </c>
      <c r="I9" s="510"/>
      <c r="J9" s="55"/>
    </row>
    <row r="10" spans="1:10" ht="16" thickBot="1" x14ac:dyDescent="0.25">
      <c r="A10" s="65"/>
      <c r="B10" s="262"/>
      <c r="C10" s="498"/>
      <c r="D10" s="499"/>
      <c r="E10" s="68"/>
      <c r="G10" s="53"/>
      <c r="H10" s="16"/>
      <c r="I10" s="16"/>
      <c r="J10" s="55"/>
    </row>
    <row r="11" spans="1:10" ht="21" thickTop="1" thickBot="1" x14ac:dyDescent="0.3">
      <c r="A11" s="65"/>
      <c r="B11" s="261" t="str">
        <f>IF(Information!$B$6=Tekst!$B$1,Tekst!$B$95,IF(Information!$B$6=Tekst!$C$1,Tekst!$C$95,""))</f>
        <v>Estimert eksponering</v>
      </c>
      <c r="C11" s="265" t="str">
        <f>IFERROR(ROUND($C$7*INDEX($H$14:$I$18,MATCH($C$8,$H$14:$H$18,0),2),0),"")</f>
        <v/>
      </c>
      <c r="D11" s="264" t="str">
        <f>IF($C$11&lt;&gt;"","ppm","")</f>
        <v/>
      </c>
      <c r="E11" s="68"/>
      <c r="G11" s="53"/>
      <c r="H11" s="494" t="str">
        <f>IF(Information!$B$6=Tekst!$B$1,Tekst!$B$90,IF(Information!$B$6=Tekst!$C$1,Tekst!$C$90,""))</f>
        <v>10-er regelen</v>
      </c>
      <c r="I11" s="495"/>
      <c r="J11" s="55"/>
    </row>
    <row r="12" spans="1:10" ht="16" thickBot="1" x14ac:dyDescent="0.25">
      <c r="A12" s="98"/>
      <c r="B12" s="99"/>
      <c r="C12" s="99"/>
      <c r="D12" s="99"/>
      <c r="E12" s="100"/>
      <c r="G12" s="53"/>
      <c r="H12" s="511" t="str">
        <f>IF(Information!$B$6=Tekst!$B$1,Tekst!$B$106,IF(Information!$B$6=Tekst!$C$1,Tekst!$C$106,""))</f>
        <v>Ventilasjon</v>
      </c>
      <c r="I12" s="492" t="str">
        <f>IF(Information!$B$6=Tekst!$B$1,Tekst!$B$107,IF(Information!$B$6=Tekst!$C$1,Tekst!$C$107,""))</f>
        <v>Forventet fortynning av metningskonsentrasjon</v>
      </c>
      <c r="J12" s="55"/>
    </row>
    <row r="13" spans="1:10" ht="16" thickBot="1" x14ac:dyDescent="0.25">
      <c r="G13" s="53"/>
      <c r="H13" s="512"/>
      <c r="I13" s="493"/>
      <c r="J13" s="55"/>
    </row>
    <row r="14" spans="1:10" x14ac:dyDescent="0.2">
      <c r="A14" s="500" t="str">
        <f>IF(Information!$B$6=Tekst!$B$1,Tekst!$B$144,IF(Information!$B$6=Tekst!$C$1,Tekst!$C$144,""))</f>
        <v>!!! Viktig !!!</v>
      </c>
      <c r="B14" s="501"/>
      <c r="C14" s="501"/>
      <c r="D14" s="501"/>
      <c r="E14" s="502"/>
      <c r="G14" s="53"/>
      <c r="H14" s="263" t="str">
        <f>IF(Information!$B$6=Tekst!$B$1,Tekst!$B$97,IF(Information!$B$6=Tekst!$C$1,Tekst!$C$97,""))</f>
        <v>Tank / trangt rom uten ventilasjon</v>
      </c>
      <c r="I14" s="260">
        <v>0.1</v>
      </c>
      <c r="J14" s="55"/>
    </row>
    <row r="15" spans="1:10" x14ac:dyDescent="0.2">
      <c r="A15" s="503" t="str">
        <f>IF(Information!$B$6=Tekst!$B$1,Tekst!$B$96,IF(Information!$B$6=Tekst!$C$1,Tekst!$C$96,""))</f>
        <v>Kun ment som et estimat på eksponering og bør ikke betraktes som absolutt eksponeringsnivå</v>
      </c>
      <c r="B15" s="504"/>
      <c r="C15" s="504"/>
      <c r="D15" s="504"/>
      <c r="E15" s="505"/>
      <c r="G15" s="53"/>
      <c r="H15" s="4" t="str">
        <f>IF(Information!$B$6=Tekst!$B$1,Tekst!$B$98,IF(Information!$B$6=Tekst!$C$1,Tekst!$C$98,""))</f>
        <v>Dårlig ventilasjon</v>
      </c>
      <c r="I15" s="5">
        <v>0.01</v>
      </c>
      <c r="J15" s="55"/>
    </row>
    <row r="16" spans="1:10" ht="16" thickBot="1" x14ac:dyDescent="0.25">
      <c r="A16" s="506"/>
      <c r="B16" s="507"/>
      <c r="C16" s="507"/>
      <c r="D16" s="507"/>
      <c r="E16" s="508"/>
      <c r="G16" s="53"/>
      <c r="H16" s="4" t="str">
        <f>IF(Information!$B$6=Tekst!$B$1,Tekst!$B$99,IF(Information!$B$6=Tekst!$C$1,Tekst!$C$99,""))</f>
        <v>God allmennventilasjon (&gt; 6 luftutskiftinger per time)</v>
      </c>
      <c r="I16" s="5">
        <v>1E-3</v>
      </c>
      <c r="J16" s="55"/>
    </row>
    <row r="17" spans="1:10" x14ac:dyDescent="0.2">
      <c r="G17" s="53"/>
      <c r="H17" s="4" t="str">
        <f>IF(Information!$B$6=Tekst!$B$1,Tekst!$B$100,IF(Information!$B$6=Tekst!$C$1,Tekst!$C$100,""))</f>
        <v>Punktavsug</v>
      </c>
      <c r="I17" s="5">
        <v>1E-4</v>
      </c>
      <c r="J17" s="55"/>
    </row>
    <row r="18" spans="1:10" ht="16" thickBot="1" x14ac:dyDescent="0.25">
      <c r="G18" s="53"/>
      <c r="H18" s="47" t="str">
        <f>IF(Information!$B$6=Tekst!$B$1,Tekst!$B$101,IF(Information!$B$6=Tekst!$C$1,Tekst!$C$101,""))</f>
        <v>Lukket prosessanlegg</v>
      </c>
      <c r="I18" s="48">
        <v>1.0000000000000001E-5</v>
      </c>
      <c r="J18" s="55"/>
    </row>
    <row r="19" spans="1:10" ht="16" thickBot="1" x14ac:dyDescent="0.25">
      <c r="G19" s="49"/>
      <c r="H19" s="50"/>
      <c r="I19" s="50"/>
      <c r="J19" s="51"/>
    </row>
    <row r="20" spans="1:10" ht="16" thickBot="1" x14ac:dyDescent="0.25"/>
    <row r="21" spans="1:10" x14ac:dyDescent="0.2">
      <c r="A21" s="52"/>
      <c r="B21" s="487" t="str">
        <f>IF(Information!$B$6=Tekst!$B$1,"Nyttige eksponeringsmodeller",IF(Information!$B$6=Tekst!$C$1,"Useful exposure models",""))</f>
        <v>Nyttige eksponeringsmodeller</v>
      </c>
      <c r="C21" s="56" t="s">
        <v>1581</v>
      </c>
      <c r="D21" s="489" t="s">
        <v>1583</v>
      </c>
      <c r="E21" s="490"/>
      <c r="F21" s="490"/>
      <c r="G21" s="490"/>
      <c r="H21" s="490"/>
      <c r="I21" s="490"/>
      <c r="J21" s="54"/>
    </row>
    <row r="22" spans="1:10" ht="16" thickBot="1" x14ac:dyDescent="0.25">
      <c r="A22" s="49"/>
      <c r="B22" s="488"/>
      <c r="C22" s="50" t="s">
        <v>1582</v>
      </c>
      <c r="D22" s="491"/>
      <c r="E22" s="491"/>
      <c r="F22" s="491"/>
      <c r="G22" s="491"/>
      <c r="H22" s="491"/>
      <c r="I22" s="491"/>
      <c r="J22" s="51"/>
    </row>
  </sheetData>
  <sheetProtection sheet="1"/>
  <mergeCells count="10">
    <mergeCell ref="A1:J2"/>
    <mergeCell ref="B21:B22"/>
    <mergeCell ref="D21:I22"/>
    <mergeCell ref="I12:I13"/>
    <mergeCell ref="H11:I11"/>
    <mergeCell ref="C8:D10"/>
    <mergeCell ref="A14:E14"/>
    <mergeCell ref="A15:E16"/>
    <mergeCell ref="H9:I9"/>
    <mergeCell ref="H12:H13"/>
  </mergeCells>
  <conditionalFormatting sqref="C5:D6 C8">
    <cfRule type="containsBlanks" dxfId="45" priority="3">
      <formula>LEN(TRIM(C5))=0</formula>
    </cfRule>
  </conditionalFormatting>
  <conditionalFormatting sqref="C5:D6 C8:D10">
    <cfRule type="notContainsBlanks" dxfId="44" priority="1">
      <formula>LEN(TRIM(C5))&gt;0</formula>
    </cfRule>
  </conditionalFormatting>
  <conditionalFormatting sqref="D5:D6">
    <cfRule type="expression" dxfId="43" priority="2">
      <formula>AND($C5&lt;&gt;"",$D5="")</formula>
    </cfRule>
  </conditionalFormatting>
  <dataValidations count="1">
    <dataValidation type="list" allowBlank="1" showInputMessage="1" showErrorMessage="1" sqref="C8:D10" xr:uid="{F6137E67-64E3-4D40-A837-41BFF74FFD4C}">
      <formula1>$H$14:$H$18</formula1>
    </dataValidation>
  </dataValidations>
  <hyperlinks>
    <hyperlink ref="D21" r:id="rId1" xr:uid="{85F01BB6-3309-4F1F-B4D4-9C0A39D65A79}"/>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E3EB7B9-CBBD-4260-986A-7D6C68DAD3D3}">
          <x14:formula1>
            <xm:f>Tabeller!$I$14:$I$18</xm:f>
          </x14:formula1>
          <xm:sqref>D5:D6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23CB0-F5B4-49F4-96A4-1A62EC37806A}">
  <sheetPr>
    <tabColor theme="9" tint="0.59999389629810485"/>
  </sheetPr>
  <dimension ref="A1:AS1048574"/>
  <sheetViews>
    <sheetView showGridLines="0" zoomScaleNormal="100" workbookViewId="0">
      <selection activeCell="D11" sqref="D11"/>
    </sheetView>
  </sheetViews>
  <sheetFormatPr baseColWidth="10" defaultColWidth="0" defaultRowHeight="15" zeroHeight="1" x14ac:dyDescent="0.2"/>
  <cols>
    <col min="1" max="1" width="4.5" customWidth="1"/>
    <col min="2" max="2" width="27.83203125" customWidth="1"/>
    <col min="3" max="3" width="17.1640625" customWidth="1"/>
    <col min="4" max="4" width="12" customWidth="1"/>
    <col min="5" max="5" width="5.5" hidden="1" customWidth="1"/>
    <col min="6" max="6" width="11.6640625" hidden="1" customWidth="1"/>
    <col min="7" max="7" width="6.5" hidden="1" customWidth="1"/>
    <col min="8" max="8" width="15.83203125" customWidth="1"/>
    <col min="9" max="9" width="4.5" customWidth="1"/>
    <col min="10" max="11" width="3.5" customWidth="1"/>
    <col min="12" max="12" width="4.83203125" customWidth="1"/>
    <col min="13" max="13" width="11.83203125" customWidth="1"/>
    <col min="14" max="14" width="10.5" customWidth="1"/>
    <col min="15" max="15" width="13.5" customWidth="1"/>
    <col min="16" max="18" width="3.5" customWidth="1"/>
    <col min="19" max="19" width="11.5" customWidth="1"/>
    <col min="20" max="20" width="40.83203125" customWidth="1"/>
    <col min="21" max="21" width="22.83203125" customWidth="1"/>
    <col min="22" max="22" width="7.83203125" customWidth="1"/>
    <col min="23" max="23" width="14.1640625" customWidth="1"/>
    <col min="24" max="24" width="18.83203125" customWidth="1"/>
    <col min="25" max="25" width="17.5" customWidth="1"/>
    <col min="26" max="26" width="3.5" customWidth="1"/>
    <col min="27" max="27" width="14.83203125" customWidth="1"/>
    <col min="28" max="28" width="22.5" hidden="1" customWidth="1"/>
    <col min="29" max="29" width="11.5" hidden="1" customWidth="1"/>
    <col min="30" max="30" width="12.5" hidden="1" customWidth="1"/>
    <col min="31" max="36" width="0" hidden="1" customWidth="1"/>
    <col min="37" max="37" width="22.5" hidden="1" customWidth="1"/>
    <col min="38" max="38" width="11.5" hidden="1" customWidth="1"/>
    <col min="39" max="39" width="12.5" hidden="1" customWidth="1"/>
    <col min="40" max="45" width="0" hidden="1" customWidth="1"/>
    <col min="46" max="16384" width="11.5" hidden="1"/>
  </cols>
  <sheetData>
    <row r="1" spans="1:28" ht="15" customHeight="1" x14ac:dyDescent="0.2">
      <c r="A1" s="481" t="str" cm="1">
        <f t="array" ref="A1">UPPER(INDEX(Tekst!$B$1:$U$300,88,Tabeller!$C$28))</f>
        <v>SETT INN MÅLEVERDIER</v>
      </c>
      <c r="B1" s="482"/>
      <c r="C1" s="482"/>
      <c r="D1" s="482"/>
      <c r="E1" s="482"/>
      <c r="F1" s="482"/>
      <c r="G1" s="482"/>
      <c r="H1" s="482"/>
      <c r="I1" s="482"/>
      <c r="J1" s="482"/>
      <c r="K1" s="482"/>
      <c r="L1" s="482"/>
      <c r="M1" s="482"/>
      <c r="N1" s="482"/>
      <c r="O1" s="482"/>
      <c r="P1" s="482"/>
      <c r="Q1" s="482"/>
      <c r="R1" s="482"/>
      <c r="S1" s="482"/>
      <c r="T1" s="482"/>
      <c r="U1" s="482"/>
      <c r="V1" s="482"/>
      <c r="W1" s="482"/>
      <c r="X1" s="482"/>
      <c r="Y1" s="482"/>
      <c r="Z1" s="483"/>
    </row>
    <row r="2" spans="1:28" ht="15.75" customHeight="1" thickBot="1" x14ac:dyDescent="0.25">
      <c r="A2" s="484"/>
      <c r="B2" s="485"/>
      <c r="C2" s="485"/>
      <c r="D2" s="485"/>
      <c r="E2" s="485"/>
      <c r="F2" s="485"/>
      <c r="G2" s="485"/>
      <c r="H2" s="485"/>
      <c r="I2" s="485"/>
      <c r="J2" s="485"/>
      <c r="K2" s="485"/>
      <c r="L2" s="485"/>
      <c r="M2" s="485"/>
      <c r="N2" s="485"/>
      <c r="O2" s="485"/>
      <c r="P2" s="485"/>
      <c r="Q2" s="485"/>
      <c r="R2" s="485"/>
      <c r="S2" s="485"/>
      <c r="T2" s="485"/>
      <c r="U2" s="485"/>
      <c r="V2" s="485"/>
      <c r="W2" s="485"/>
      <c r="X2" s="485"/>
      <c r="Y2" s="485"/>
      <c r="Z2" s="486"/>
    </row>
    <row r="3" spans="1:28" ht="16" thickBot="1" x14ac:dyDescent="0.25">
      <c r="A3" s="62"/>
      <c r="B3" s="63"/>
      <c r="C3" s="63"/>
      <c r="D3" s="63"/>
      <c r="E3" s="63"/>
      <c r="F3" s="63"/>
      <c r="G3" s="63"/>
      <c r="H3" s="63"/>
      <c r="I3" s="64"/>
      <c r="K3" s="62"/>
      <c r="L3" s="63"/>
      <c r="M3" s="63"/>
      <c r="N3" s="63"/>
      <c r="O3" s="63"/>
      <c r="P3" s="64"/>
      <c r="R3" s="111"/>
      <c r="S3" s="137"/>
      <c r="T3" s="137"/>
      <c r="U3" s="137"/>
      <c r="V3" s="137"/>
      <c r="W3" s="137"/>
      <c r="X3" s="137"/>
      <c r="Y3" s="137"/>
      <c r="Z3" s="138"/>
    </row>
    <row r="4" spans="1:28" ht="17" thickBot="1" x14ac:dyDescent="0.25">
      <c r="A4" s="252" t="s">
        <v>1553</v>
      </c>
      <c r="B4" s="407" t="str" cm="1">
        <f t="array" ref="B4">INDEX(Tekst!$B$1:$U$300,31,Tabeller!$C$28)</f>
        <v>Angi eller velg grenseverdi (GV)</v>
      </c>
      <c r="C4" s="408"/>
      <c r="D4" s="408"/>
      <c r="E4" s="408"/>
      <c r="F4" s="408"/>
      <c r="G4" s="408"/>
      <c r="H4" s="409"/>
      <c r="I4" s="68"/>
      <c r="K4" s="252" t="str">
        <f>IF(ISNUMBER(MATCH(Information!$B$9,Tekst!$B$224:$U$224,0)),"3.","6.")</f>
        <v>6.</v>
      </c>
      <c r="L4" s="407" t="str" cm="1">
        <f t="array" ref="L4">IFERROR(INDEX(Tekst!$B$1:$U$300,10,Tabeller!$C$28),"")</f>
        <v>Målinger</v>
      </c>
      <c r="M4" s="408"/>
      <c r="N4" s="408"/>
      <c r="O4" s="409"/>
      <c r="P4" s="68"/>
      <c r="R4" s="251" t="s">
        <v>1557</v>
      </c>
      <c r="S4" s="269"/>
      <c r="T4" s="270" t="str" cm="1">
        <f t="array" ref="T4">IFERROR(INDEX(Tekst!$B$1:$U$300,248,Tabeller!$C$28),"")</f>
        <v xml:space="preserve">Velg fordeling:  </v>
      </c>
      <c r="U4" s="513" t="s">
        <v>1715</v>
      </c>
      <c r="V4" s="514"/>
      <c r="W4" s="82"/>
      <c r="X4" s="82"/>
      <c r="Y4" s="82"/>
      <c r="Z4" s="83"/>
    </row>
    <row r="5" spans="1:28" ht="33" thickBot="1" x14ac:dyDescent="0.25">
      <c r="A5" s="65"/>
      <c r="B5" s="282"/>
      <c r="C5" s="536" t="str" cm="1">
        <f t="array" ref="C5">INDEX(Tekst!$B$1:$U$300,4,Tabeller!$C$28)</f>
        <v>Fyll inn aktuell grenseverdi  (8 timer)</v>
      </c>
      <c r="D5" s="536"/>
      <c r="E5" s="536"/>
      <c r="F5" s="536"/>
      <c r="G5" s="536"/>
      <c r="H5" s="537"/>
      <c r="I5" s="68"/>
      <c r="K5" s="65"/>
      <c r="L5" s="139" t="s">
        <v>57</v>
      </c>
      <c r="M5" s="291" t="str" cm="1">
        <f t="array" ref="M5">_xlfn.CONCAT(IFERROR(INDEX(Tekst!$B$1:$U$300,27,Tabeller!$C$28),""),"
(",G12,")")</f>
        <v>Verdier
(ppm)</v>
      </c>
      <c r="N5" s="140" t="str" cm="1">
        <f t="array" ref="N5">IF($F$13=INDEX(Tekst!$B$1:$U$300,258,Tabeller!$C$28),IF(Information!B6=INDEX(Tekst!$B$1:$U$300,1,Tabeller!$C$28),INDEX(Tekst!$B$1:$U$300,30,Tabeller!$C$28),""),"")</f>
        <v/>
      </c>
      <c r="O5" s="141" t="str" cm="1">
        <f t="array" ref="O5">_xlfn.CONCAT(IFERROR(INDEX(Tekst!$B$1:$U$300,210,Tabeller!$C$28),""),"
(",$H$11,")")</f>
        <v>Brukte verdier
(ppm)</v>
      </c>
      <c r="P5" s="68"/>
      <c r="R5" s="81"/>
      <c r="S5" s="82"/>
      <c r="T5" s="82"/>
      <c r="U5" s="82"/>
      <c r="V5" s="82"/>
      <c r="W5" s="82"/>
      <c r="X5" s="82"/>
      <c r="Y5" s="82"/>
      <c r="Z5" s="83"/>
    </row>
    <row r="6" spans="1:28" ht="21" x14ac:dyDescent="0.2">
      <c r="A6" s="148"/>
      <c r="B6" s="8" t="str" cm="1">
        <f t="array" ref="B6">INDEX(Tekst!$B$1:$U$300,72,Tabeller!$C$28)</f>
        <v>Angi, eller:</v>
      </c>
      <c r="C6" s="551"/>
      <c r="D6" s="551"/>
      <c r="E6" s="551"/>
      <c r="F6" s="551"/>
      <c r="G6" s="551"/>
      <c r="H6" s="551"/>
      <c r="I6" s="167"/>
      <c r="K6" s="65"/>
      <c r="L6" s="143">
        <v>1</v>
      </c>
      <c r="M6" s="356">
        <v>21</v>
      </c>
      <c r="N6" s="46"/>
      <c r="O6" s="341">
        <f>Calc!G3</f>
        <v>21</v>
      </c>
      <c r="P6" s="68"/>
      <c r="R6" s="251" t="str">
        <f>IF(ISNUMBER(MATCH(Information!$B$9,Tekst!$B$224:$U$224,0)),"4.","8.")</f>
        <v>8.</v>
      </c>
      <c r="S6" s="533" t="str" cm="1">
        <f t="array" ref="S6">IF(Analysis!D5&gt;5,IFERROR(INDEX(Tekst!$B$1:$U$300,12,Tabeller!$C$28),""),IF(Analysis!D5&gt;2,IFERROR(INDEX(Tekst!$B$1:$U$300,11,Tabeller!$C$28),""),""))</f>
        <v>6 eller flere målinger</v>
      </c>
      <c r="T6" s="534"/>
      <c r="U6" s="534"/>
      <c r="V6" s="534"/>
      <c r="W6" s="534"/>
      <c r="X6" s="534"/>
      <c r="Y6" s="535"/>
      <c r="Z6" s="142"/>
    </row>
    <row r="7" spans="1:28" x14ac:dyDescent="0.2">
      <c r="A7" s="148"/>
      <c r="B7" s="8" t="str" cm="1">
        <f t="array" ref="B7">INDEX(Tekst!$B$1:$U$300,141,Tabeller!$C$28)</f>
        <v>Velg CAS-nr., eller:</v>
      </c>
      <c r="C7" s="551"/>
      <c r="D7" s="551"/>
      <c r="E7" s="551"/>
      <c r="F7" s="551"/>
      <c r="G7" s="551"/>
      <c r="H7" s="551"/>
      <c r="I7" s="167"/>
      <c r="J7" s="2"/>
      <c r="K7" s="65"/>
      <c r="L7" s="143">
        <v>2</v>
      </c>
      <c r="M7" s="356">
        <v>1.9</v>
      </c>
      <c r="N7" s="46"/>
      <c r="O7" s="341">
        <f>Calc!G4</f>
        <v>1.9</v>
      </c>
      <c r="P7" s="144"/>
      <c r="Q7" s="7"/>
      <c r="R7" s="81"/>
      <c r="S7" s="545" t="str" cm="1">
        <f t="array" ref="S7">IF(AND($U$9&lt;6,OR($D$31=Tabeller!$K$3,$D$31=Tabeller!$L$3),$H$31=""),IFERROR(INDEX(Tekst!$B$1:$U$300,136,Tabeller!$C$28),""),IF($U$9&lt;3,IF(COUNTIF($M$6:$M$55,"&gt;"&amp;0)&lt;3,IFERROR(INDEX(Tekst!$B$1:$U$300,142,Tabeller!$C$28),""),IFERROR(INDEX(Tekst!$B$1:$U$300,143,Tabeller!$C$28),"")),""))</f>
        <v/>
      </c>
      <c r="T7" s="546"/>
      <c r="U7" s="546"/>
      <c r="V7" s="546"/>
      <c r="W7" s="546"/>
      <c r="X7" s="546"/>
      <c r="Y7" s="547"/>
      <c r="Z7" s="83"/>
      <c r="AB7" s="7"/>
    </row>
    <row r="8" spans="1:28" x14ac:dyDescent="0.2">
      <c r="A8" s="148"/>
      <c r="B8" s="325" t="str" cm="1">
        <f t="array" ref="B8">INDEX(Tekst!$B$1:$U$300,77,Tabeller!$C$28)</f>
        <v>Velg navn:</v>
      </c>
      <c r="C8" s="553" t="s">
        <v>1998</v>
      </c>
      <c r="D8" s="553"/>
      <c r="E8" s="553"/>
      <c r="F8" s="553"/>
      <c r="G8" s="553"/>
      <c r="H8" s="554"/>
      <c r="I8" s="167"/>
      <c r="J8" s="2"/>
      <c r="K8" s="65"/>
      <c r="L8" s="143">
        <v>3</v>
      </c>
      <c r="M8" s="356">
        <v>5.8</v>
      </c>
      <c r="N8" s="46"/>
      <c r="O8" s="341">
        <f>Calc!G5</f>
        <v>5.8</v>
      </c>
      <c r="P8" s="144"/>
      <c r="Q8" s="7"/>
      <c r="R8" s="81"/>
      <c r="S8" s="548"/>
      <c r="T8" s="549"/>
      <c r="U8" s="549"/>
      <c r="V8" s="549"/>
      <c r="W8" s="549"/>
      <c r="X8" s="549"/>
      <c r="Y8" s="550"/>
      <c r="Z8" s="83"/>
    </row>
    <row r="9" spans="1:28" x14ac:dyDescent="0.2">
      <c r="A9" s="148"/>
      <c r="C9" s="576" t="str" cm="1">
        <f t="array" ref="C9">INDEX(Tekst!$B$1:$U$300,3,Tabeller!$C$28)</f>
        <v>Grenseverdi</v>
      </c>
      <c r="D9" s="562" t="str" cm="1">
        <f t="array" ref="D9">IF(AND(OR($D$31=Tabeller!$K$3,$D$31=Tabeller!$L$3),$H$31&lt;&gt;""),$B$31,IF(AND(OR($H$25&lt;&gt;1,$H$26&lt;&gt;1),$E$12&lt;&gt;""),IFERROR(INDEX(Tekst!$B$1:$U$300,28,Tabeller!$C$28),""),""))</f>
        <v/>
      </c>
      <c r="H9" s="574" t="str" cm="1">
        <f t="array" ref="H9">INDEX(Tekst!$B$1:$U$300,29,Tabeller!$C$28)</f>
        <v>Velg enhet</v>
      </c>
      <c r="I9" s="167"/>
      <c r="J9" s="2"/>
      <c r="K9" s="65"/>
      <c r="L9" s="143">
        <v>4</v>
      </c>
      <c r="M9" s="356">
        <v>17</v>
      </c>
      <c r="N9" s="46"/>
      <c r="O9" s="341">
        <f>Calc!G6</f>
        <v>17</v>
      </c>
      <c r="P9" s="144"/>
      <c r="Q9" s="146"/>
      <c r="R9" s="81"/>
      <c r="S9" s="532" t="str" cm="1">
        <f t="array" ref="S9">IFERROR(INDEX(Tekst!$B$1:$U$300,20,Tabeller!$C$28),"")</f>
        <v>Antall</v>
      </c>
      <c r="T9" s="340" t="str" cm="1">
        <f t="array" ref="T9">IFERROR(INDEX(Tekst!$B$1:$U$300,15,Tabeller!$C$28),"")</f>
        <v>Målinger (n)</v>
      </c>
      <c r="U9">
        <f>Analysis!$D$5</f>
        <v>8</v>
      </c>
      <c r="W9" s="538" t="str" cm="1">
        <f t="array" ref="W9">IF($W$10="","",IFERROR(INDEX(Tekst!$B$1:$U$300,14,Tabeller!$C$28),""))</f>
        <v>Vurderingskriterie</v>
      </c>
      <c r="X9" s="538"/>
      <c r="Y9" s="539"/>
      <c r="Z9" s="83"/>
    </row>
    <row r="10" spans="1:28" x14ac:dyDescent="0.2">
      <c r="A10" s="148"/>
      <c r="B10" s="544"/>
      <c r="C10" s="577"/>
      <c r="D10" s="563"/>
      <c r="E10" s="2"/>
      <c r="F10" s="2"/>
      <c r="G10" s="2"/>
      <c r="H10" s="575"/>
      <c r="I10" s="167"/>
      <c r="J10" s="2"/>
      <c r="K10" s="149"/>
      <c r="L10" s="143">
        <v>5</v>
      </c>
      <c r="M10" s="356">
        <v>1.7</v>
      </c>
      <c r="N10" s="46"/>
      <c r="O10" s="341">
        <f>Calc!G7</f>
        <v>1.7</v>
      </c>
      <c r="P10" s="150"/>
      <c r="Q10" s="84"/>
      <c r="R10" s="81"/>
      <c r="S10" s="532"/>
      <c r="T10" s="340" t="str" cm="1">
        <f t="array" ref="T10">IFERROR(INDEX(Tekst!$B$1:$U$300,16,Tabeller!$C$28),"")</f>
        <v>Målinger under DG (m)</v>
      </c>
      <c r="U10">
        <f>Analysis!$D$6</f>
        <v>0</v>
      </c>
      <c r="W10" s="557" t="str" cm="1">
        <f t="array" ref="W10">IF(AND(Analysis!$D$5&lt;6,Analysis!$D$5&gt;2),CONCATENATE(INDEX('Tables (statistics)'!$B$157:$D$159,MATCH(Analysis!$D$5,'Tables (statistics)'!$B$157:$B$159,0),3),IFERROR(INDEX(Tekst!$B$1:$U$300,13,Tabeller!$C$28),"")),IF(AND(Analysis!$D$5&lt;6,Analysis!$D$5&gt;2),IFERROR(INDEX(Tekst!$B$1:$U$300,42,Tabeller!$C$28),""),IF(Analysis!$D$5&gt;5,IFERROR(INDEX(Tekst!$B$1:$U$300,43,Tabeller!$C$28),""),"")))</f>
        <v>Øvre 70% konfidensgrense til 95%-il skal være under GV</v>
      </c>
      <c r="X10" s="557"/>
      <c r="Y10" s="558"/>
      <c r="Z10" s="83"/>
    </row>
    <row r="11" spans="1:28" x14ac:dyDescent="0.2">
      <c r="A11" s="65"/>
      <c r="B11" s="544"/>
      <c r="C11" s="163">
        <f>IFERROR(IF(AND($H$11&lt;&gt;"",$C$6="",$H$11&lt;&gt;Tabeller!$H$4,$H$11&lt;&gt;Tabeller!$H$6),IF($H$11=Tabeller!$H$3,$E$12*1000,IF($H$11=Tabeller!$H$5,$E$12*1000,"")),$E$12),"")</f>
        <v>25</v>
      </c>
      <c r="D11" s="345" t="str">
        <f>IF($D$9&lt;&gt;"",$E$11,"")</f>
        <v/>
      </c>
      <c r="E11" s="147">
        <f>IF(AND(OR($D$31=Tabeller!$K$3,$D$31=Tabeller!$L$3),$H$31&lt;&gt;""),$H$31,IF($H$25&lt;&gt;1,$H$25*$E$12,IF($H$26&lt;&gt;1,$H$26*$E$12,IF(ISNUMBER($E$12),$E$12,""))))</f>
        <v>25</v>
      </c>
      <c r="F11" s="146"/>
      <c r="G11" s="146"/>
      <c r="H11" s="299" t="s">
        <v>20</v>
      </c>
      <c r="I11" s="68"/>
      <c r="J11" s="2"/>
      <c r="K11" s="149"/>
      <c r="L11" s="143">
        <v>6</v>
      </c>
      <c r="M11" s="357">
        <v>2.7</v>
      </c>
      <c r="N11" s="46"/>
      <c r="O11" s="341">
        <f>Calc!G8</f>
        <v>2.7</v>
      </c>
      <c r="P11" s="150"/>
      <c r="Q11" s="84"/>
      <c r="R11" s="81"/>
      <c r="S11" s="116"/>
      <c r="T11" s="340"/>
      <c r="U11" s="327" t="str">
        <f>IF(Calc!X3&lt;&gt;0,"",IF(Information!B6=Tekst!$B$1,Tekst!B250,IF(Information!B6=Tekst!C1,Tekst!C250,"")))</f>
        <v/>
      </c>
      <c r="W11" s="557"/>
      <c r="X11" s="557"/>
      <c r="Y11" s="558"/>
      <c r="Z11" s="83"/>
      <c r="AB11" s="7"/>
    </row>
    <row r="12" spans="1:28" ht="16" thickBot="1" x14ac:dyDescent="0.25">
      <c r="A12" s="65"/>
      <c r="B12" s="47"/>
      <c r="C12" s="321"/>
      <c r="D12" s="326"/>
      <c r="E12" s="125">
        <f>IF(C6&lt;&gt;"",C6,IF(C7&lt;&gt;"",IFERROR(INDEX(Grenseverdier!$B$5:$K$626,MATCH($C$7,Grenseverdier!$B$5:$B$626,0),IF(OR($H$11=Tabeller!$H$3,$H$11=Tabeller!$H$4),3,IF(OR($H$11=Tabeller!$H$5,$H$11=Tabeller!$H$6),4,""))),""),IFERROR(INDEX(Grenseverdier!$B$5:$K$626,MATCH($C$8,Grenseverdier!$C$5:$C$626,0),IF(OR($H$11=Tabeller!$H$4,$H$11=Tabeller!$H$3),3,IF($H$11&lt;&gt;"",4,""))),"")))</f>
        <v>25</v>
      </c>
      <c r="F12" s="61"/>
      <c r="G12" s="385" t="str" cm="1">
        <f t="array" ref="G12">IF(Information!$B$9=INDEX(Tekst!$B$1:$U$300,224,Tabeller!$C$28),$H$11,$H$13)</f>
        <v>ppm</v>
      </c>
      <c r="H12" s="48"/>
      <c r="I12" s="68"/>
      <c r="J12" s="2"/>
      <c r="K12" s="149"/>
      <c r="L12" s="143">
        <v>7</v>
      </c>
      <c r="M12" s="355">
        <v>6.3</v>
      </c>
      <c r="N12" s="46"/>
      <c r="O12" s="341">
        <f>Calc!G9</f>
        <v>6.3</v>
      </c>
      <c r="P12" s="150"/>
      <c r="Q12" s="84"/>
      <c r="R12" s="81"/>
      <c r="S12" s="116"/>
      <c r="T12" s="340" t="str" cm="1">
        <f t="array" ref="T12">IF($U$9&lt;3,"",IFERROR(INDEX(Tekst!$B$1:$U$300,18,Tabeller!$C$28),""))</f>
        <v>Minste verdi (minimum)</v>
      </c>
      <c r="U12" s="346">
        <f>IF($G$12="","",IF(Calc!X3=0,"N/A",IFERROR(MIN(Calc!$X$5:$Y$5),"N/A")))</f>
        <v>1.7</v>
      </c>
      <c r="Y12" s="5"/>
      <c r="Z12" s="83"/>
      <c r="AB12" s="7"/>
    </row>
    <row r="13" spans="1:28" ht="16" thickBot="1" x14ac:dyDescent="0.25">
      <c r="A13" s="65"/>
      <c r="B13" s="169" t="str" cm="1">
        <f t="array" ref="B13">INDEX(Tekst!$B$1:$U$300,10,Tabeller!$C$28)</f>
        <v>Målinger</v>
      </c>
      <c r="C13" s="324" t="str">
        <f>IF(Information!$B$6=Tekst!$B$1,Tekst!$B$10,IF(Information!$B$6=Tekst!$C$1,Tekst!$C$10,""))</f>
        <v>Målinger</v>
      </c>
      <c r="D13" s="326" t="str" cm="1">
        <f t="array" ref="D13">IFERROR(IF(OR($G$13=0,ABS($G$13)=1),"",IF(AND(ISNUMBER($E$13),ISNUMBER($H$21)),"",CONCATENATE(IFERROR(INDEX(Tekst!$B$1:$U$300,68,Tabeller!$C$28),"")," H21"))),"")</f>
        <v/>
      </c>
      <c r="E13" s="321">
        <f>IFERROR(IF($G$13=0,1,IF(ABS($G$13)=1,IF($G$13=1,1000,0.001),IF(IF(ABS(INDEX(Tabeller!$G$3:$H$8,MATCH($G$12,Tabeller!$H$3:$H$8,0),1)-INDEX(Tabeller!$G$3:$H$8,MATCH($H$11,Tabeller!$H$3:$H$8,0),1))&gt;1,"JA","NEI")="JA",IF(G13=4,($E$20/$H$21)*1000,IF(G13=-4,($H$21/$E$20)/1000,IF(G13=3,$E$20/$H$21,IF(G13=-3,$H$21/$E$20,IF(G13=2,($E$20/$H$21)/1000,IF(G13=-2,($H$21/$E$20)*1000,"")))))),""))),"")</f>
        <v>1</v>
      </c>
      <c r="F13" s="125" t="str" cm="1">
        <f t="array" ref="F13">IF(OR($G$12=Tabeller!$H$8,$G$12=Tabeller!$H$7),INDEX(Tekst!$B$1:$U$300,258,Tabeller!$C$28),INDEX(Tekst!$B$1:$U$300,259,Tabeller!$C$28))</f>
        <v>Nei</v>
      </c>
      <c r="G13" s="321">
        <f>IFERROR(IF(INDEX(Tabeller!$G$3:$H$8,MATCH($G$12,Tabeller!$H$3:$H$8,0),1)&gt;6,(INDEX(Tabeller!$G$3:$H$8,MATCH($G$12,Tabeller!$H$3:$H$8,0),1)-3)-INDEX(Tabeller!$G$3:$H$8,MATCH($H$11,Tabeller!$H$3:$H$8,0),1),INDEX(Tabeller!$G$3:$H$8,MATCH($G$12,Tabeller!$H$3:$H$8,0),1)-INDEX(Tabeller!$G$3:$H$8,MATCH($H$11,Tabeller!$H$3:$H$8,0),1)),"")</f>
        <v>0</v>
      </c>
      <c r="H13" s="387" t="s">
        <v>20</v>
      </c>
      <c r="I13" s="145"/>
      <c r="J13" s="2"/>
      <c r="K13" s="149"/>
      <c r="L13" s="143">
        <v>8</v>
      </c>
      <c r="M13" s="355">
        <v>18.899999999999999</v>
      </c>
      <c r="N13" s="46"/>
      <c r="O13" s="341">
        <f>Calc!G10</f>
        <v>18.899999999999999</v>
      </c>
      <c r="P13" s="150"/>
      <c r="Q13" s="84"/>
      <c r="R13" s="81"/>
      <c r="S13" s="116"/>
      <c r="T13" s="340" t="str" cm="1">
        <f t="array" ref="T13">IF($U$9&lt;3,"",IFERROR(INDEX(Tekst!$B$1:$U$300,19,Tabeller!$C$28),""))</f>
        <v>Median</v>
      </c>
      <c r="U13" s="346">
        <f>IF(Calc!X3&lt;2,"N/A",Analysis!$D$11)</f>
        <v>6.05</v>
      </c>
      <c r="W13" s="538" t="str" cm="1">
        <f t="array" ref="W13">IFERROR(IF(AND($U$9&gt;5,Information!$B$9="Standard"),Analysis!$I$21,IF(U4&lt;&gt;INDEX(Tekst!$B$1:$U$300,201,Tabeller!$C$28),"",IF(AND(Analysis!$I$22&lt;&gt;"",Analysis!$I$22&lt;&gt;Tekst!$B$174,Analysis!$I$22&lt;&gt;Tekst!$C$174),Analysis!$I$21,""))),"")</f>
        <v>Antatt fordeling</v>
      </c>
      <c r="X13" s="538"/>
      <c r="Y13" s="539"/>
      <c r="Z13" s="83"/>
      <c r="AB13" s="84"/>
    </row>
    <row r="14" spans="1:28" ht="16" thickBot="1" x14ac:dyDescent="0.25">
      <c r="A14" s="65"/>
      <c r="B14" s="155"/>
      <c r="C14" s="155"/>
      <c r="D14" s="155"/>
      <c r="E14" s="155"/>
      <c r="F14" s="155"/>
      <c r="G14" s="155"/>
      <c r="H14" s="155"/>
      <c r="I14" s="145"/>
      <c r="K14" s="65"/>
      <c r="L14" s="143">
        <v>9</v>
      </c>
      <c r="M14" s="355"/>
      <c r="N14" s="46"/>
      <c r="O14" s="341" t="str">
        <f>Calc!G11</f>
        <v/>
      </c>
      <c r="P14" s="150"/>
      <c r="Q14" s="84"/>
      <c r="R14" s="81"/>
      <c r="S14" s="116"/>
      <c r="T14" s="340" t="str" cm="1">
        <f t="array" ref="T14">IF($U$9&lt;3,"",IFERROR(INDEX(Tekst!$B$1:$U$300,17,Tabeller!$C$28),""))</f>
        <v>Høyeste verdi (maksimum)</v>
      </c>
      <c r="U14" s="346" t="str">
        <f>IFERROR(IF(Calc!X3=0,"N/A",IFERROR(_xlfn.CONCAT(MAX(Calc!$X$7:$Y$7)," (",ROUND((MAX(Calc!$X$7:$Y$7)/$E$11)*100,0)," ",Tabeller!$B$54,")"),"N/A")),"")</f>
        <v>21 (84 % av GV)</v>
      </c>
      <c r="V14" s="348"/>
      <c r="W14" s="559" t="str" cm="1">
        <f t="array" ref="W14">IFERROR(IF(AND($U$9&gt;5,Information!$B$9=INDEX(Tekst!$B$1:$U$300,224,Tabeller!$C$28)),Analysis!$M$6,IF(U4&lt;&gt;INDEX(Tekst!$B$1:$U$300,201,Tabeller!$C$28),"",IF(AND(Analysis!$I$22&lt;&gt;"",Analysis!$I$22&lt;&gt;Tekst!$B$174,Analysis!$I$22&lt;&gt;Tekst!$C$174),IF(Analysis!$M$6&lt;&gt;"",Analysis!$M$6,IF(Analysis!$I$22&lt;&gt;"",Analysis!$I$22,"N/A")),""))),"")</f>
        <v>Hvis n ≤ 10 antas log-normalfordeling</v>
      </c>
      <c r="X14" s="559"/>
      <c r="Y14" s="560"/>
      <c r="Z14" s="83"/>
    </row>
    <row r="15" spans="1:28" ht="16" x14ac:dyDescent="0.2">
      <c r="A15" s="252" t="s">
        <v>1554</v>
      </c>
      <c r="B15" s="407" t="str" cm="1">
        <f t="array" ref="B15">IFERROR(INDEX(Tekst!$B$1:$U$300,193,Tabeller!$C$28),"")</f>
        <v>Håndtering av verdier under deteksjonsgrensen (DG)</v>
      </c>
      <c r="C15" s="408"/>
      <c r="D15" s="408"/>
      <c r="E15" s="408"/>
      <c r="F15" s="408"/>
      <c r="G15" s="408"/>
      <c r="H15" s="409"/>
      <c r="I15" s="148"/>
      <c r="K15" s="65"/>
      <c r="L15" s="143">
        <v>10</v>
      </c>
      <c r="M15" s="355"/>
      <c r="N15" s="46"/>
      <c r="O15" s="341" t="str">
        <f>Calc!G12</f>
        <v/>
      </c>
      <c r="P15" s="150"/>
      <c r="Q15" s="84"/>
      <c r="R15" s="81"/>
      <c r="S15" s="116"/>
      <c r="T15" s="340"/>
      <c r="W15" s="559"/>
      <c r="X15" s="559"/>
      <c r="Y15" s="560"/>
      <c r="Z15" s="83"/>
    </row>
    <row r="16" spans="1:28" ht="16" thickBot="1" x14ac:dyDescent="0.25">
      <c r="A16" s="151"/>
      <c r="B16" s="571" t="s">
        <v>181</v>
      </c>
      <c r="C16" s="572"/>
      <c r="D16" s="572"/>
      <c r="E16" s="572"/>
      <c r="F16" s="572"/>
      <c r="G16" s="572"/>
      <c r="H16" s="573"/>
      <c r="I16" s="152"/>
      <c r="K16" s="65"/>
      <c r="L16" s="143">
        <v>11</v>
      </c>
      <c r="M16" s="355"/>
      <c r="N16" s="46"/>
      <c r="O16" s="341" t="str">
        <f>Calc!G13</f>
        <v/>
      </c>
      <c r="P16" s="150"/>
      <c r="Q16" s="84"/>
      <c r="R16" s="81"/>
      <c r="S16" s="4"/>
      <c r="U16" s="552"/>
      <c r="V16" s="552"/>
      <c r="Y16" s="5"/>
      <c r="Z16" s="83"/>
    </row>
    <row r="17" spans="1:28" ht="16" thickBot="1" x14ac:dyDescent="0.25">
      <c r="A17" s="151"/>
      <c r="B17" s="63"/>
      <c r="C17" s="153"/>
      <c r="D17" s="63"/>
      <c r="E17" s="63"/>
      <c r="F17" s="63"/>
      <c r="G17" s="63"/>
      <c r="H17" s="63"/>
      <c r="I17" s="152"/>
      <c r="K17" s="65"/>
      <c r="L17" s="143">
        <v>12</v>
      </c>
      <c r="M17" s="355"/>
      <c r="N17" s="46"/>
      <c r="O17" s="341" t="str">
        <f>Calc!G14</f>
        <v/>
      </c>
      <c r="P17" s="150"/>
      <c r="Q17" s="84"/>
      <c r="R17" s="81"/>
      <c r="S17" s="347" t="str" cm="1">
        <f t="array" ref="S17">IF($U$9&lt;6,"",IFERROR(INDEX(Tekst!$B$1:$U$300,23,Tabeller!$C$28),""))</f>
        <v>Estimert</v>
      </c>
      <c r="T17" s="340" t="str" cm="1">
        <f t="array" ref="T17">IF($U$9&lt;6,"",IFERROR(INDEX(Tekst!$B$1:$U$300,25,Tabeller!$C$28),""))</f>
        <v>Estimert Øvre Konsentrasjon (EØK) - U_T(95%, 70%)</v>
      </c>
      <c r="U17" s="552" t="str">
        <f>IFERROR(IF($U$9&lt;6,"",IF($W$14='Stats - distribution'!$C$3,CONCATENATE(ROUND(Analysis!$K$17,2)," (",ROUND(Analysis!$K$17/$E$11*100,0)," ",Tabeller!$B$54,")"),IF($W$14='Stats - distribution'!$G$3,CONCATENATE(ROUND(Analysis!$J$17,2)," (",ROUND(Analysis!$J$17/$E$11*100,0)," ",Tabeller!$B$54,")"),IF(AND($U$9&lt;11,$U$9&gt;5),CONCATENATE(ROUND(IF(Analysis!$I$22="Log-normal",Analysis!$K$17,IF(Analysis!$I$22="Normal",Analysis!$J$17,0)),2)," (",ROUND(IF(Analysis!$I$22="Log-normal",Analysis!$K$17,IF(Analysis!$I$22="Normal",Analysis!$J$17,0))/$E$11*100,0)," ",Tabeller!$B$54,")"),IF(Information!$B$6=Tekst!$B$1,Tekst!$B$190,IF(Information!$B$6=Tekst!C1,Tekst!$C$190,"")))))),"")</f>
        <v>52,97 (212 % av GV)</v>
      </c>
      <c r="V17" s="552"/>
      <c r="W17" s="349"/>
      <c r="Y17" s="5"/>
      <c r="Z17" s="83"/>
      <c r="AB17" s="84"/>
    </row>
    <row r="18" spans="1:28" ht="16" x14ac:dyDescent="0.2">
      <c r="A18" s="253" t="s">
        <v>1555</v>
      </c>
      <c r="B18" s="407" t="str" cm="1">
        <f t="array" ref="B18">IFERROR(INDEX(Tekst!$B$1:$U$300,145,Tabeller!$C$28),"")</f>
        <v>Konverter konsentrasjon (volum-volum &lt;--&gt; masse-volum)</v>
      </c>
      <c r="C18" s="408"/>
      <c r="D18" s="408"/>
      <c r="E18" s="408"/>
      <c r="F18" s="408"/>
      <c r="G18" s="408"/>
      <c r="H18" s="409"/>
      <c r="I18" s="152"/>
      <c r="K18" s="65"/>
      <c r="L18" s="143">
        <v>13</v>
      </c>
      <c r="M18" s="297"/>
      <c r="N18" s="46"/>
      <c r="O18" s="341" t="str">
        <f>Calc!G15</f>
        <v/>
      </c>
      <c r="P18" s="150"/>
      <c r="Q18" s="84"/>
      <c r="R18" s="81"/>
      <c r="S18" s="4"/>
      <c r="Y18" s="5"/>
      <c r="Z18" s="83"/>
      <c r="AB18" s="84"/>
    </row>
    <row r="19" spans="1:28" x14ac:dyDescent="0.2">
      <c r="A19" s="65"/>
      <c r="B19" s="4"/>
      <c r="D19" s="33" t="s">
        <v>176</v>
      </c>
      <c r="H19" s="156"/>
      <c r="I19" s="154"/>
      <c r="K19" s="65"/>
      <c r="L19" s="143">
        <v>14</v>
      </c>
      <c r="M19" s="297"/>
      <c r="N19" s="46"/>
      <c r="O19" s="341" t="str">
        <f>Calc!G16</f>
        <v/>
      </c>
      <c r="P19" s="68"/>
      <c r="R19" s="77"/>
      <c r="S19" s="4"/>
      <c r="T19" s="157" t="str" cm="1">
        <f t="array" ref="T19">IFERROR(INDEX(Tekst!$B$1:$U$300,21,Tabeller!$C$28),"")</f>
        <v>Veiledende konklusjon</v>
      </c>
      <c r="U19" s="158"/>
      <c r="V19" s="561" t="str" cm="1">
        <f t="array" ref="V19">IFERROR(INDEX(Tekst!$B$1:$U$300,22,Tabeller!$C$28),"")</f>
        <v>Forslag - periodiske målinger</v>
      </c>
      <c r="W19" s="561"/>
      <c r="X19" s="561"/>
      <c r="Y19" s="5"/>
      <c r="Z19" s="159"/>
      <c r="AB19" s="84"/>
    </row>
    <row r="20" spans="1:28" x14ac:dyDescent="0.2">
      <c r="A20" s="65"/>
      <c r="B20" s="567" t="str" cm="1">
        <f t="array" ref="B20">IFERROR(INDEX(Tekst!$B$1:$U$300,146,Tabeller!$C$28),"")</f>
        <v>Molekylært volum (L)</v>
      </c>
      <c r="C20" s="568"/>
      <c r="D20" s="329">
        <v>24.45</v>
      </c>
      <c r="E20" s="163">
        <f>IF(ISNUMBER($H$20),$H$20,$D$20)</f>
        <v>24.45</v>
      </c>
      <c r="H20" s="330" t="str" cm="1">
        <f t="array" ref="H20">IFERROR(IF(AND($G$13&lt;&gt;0,ABS($G$13)&lt;&gt;1),IFERROR(INDEX(Tekst!$B$1:$U$300,69,Tabeller!$C$28),""),""),"")</f>
        <v/>
      </c>
      <c r="I20" s="154"/>
      <c r="K20" s="65"/>
      <c r="L20" s="143">
        <v>15</v>
      </c>
      <c r="M20" s="297"/>
      <c r="N20" s="46"/>
      <c r="O20" s="341" t="str">
        <f>Calc!G17</f>
        <v/>
      </c>
      <c r="P20" s="68"/>
      <c r="R20" s="112"/>
      <c r="S20" s="160"/>
      <c r="T20" s="565" t="str" cm="1">
        <f t="array" ref="T20">IFERROR(IF(Calc!$X$1=0,"",IF(Calc!$X$1&gt;5,IF(OR(Calc!$X$8=0,Calc!$X$3&lt;2),INDEX(Tekst!$B$1:$U$300,MATCH('Calc (W-test)'!$U$4,Tekst!$A$1:$A$300,0),Tabeller!$C$28),INDEX(Tekst!$B$1:$U$300,MATCH('Calc (W-test)'!$U$4,Tekst!$A$1:$A$300,0),Tabeller!$C$28)),IF(Calc!$X$3&lt;2,IFERROR(INDEX(Tekst!$B$1:$U$300,190,Tabeller!$C$28),""),INDEX(Tekst!$B$1:$U$300,MATCH('Calc (W-test)'!$U$3,Tekst!$A$1:$A$300,0),Tabeller!$C$28)))),"")</f>
        <v>Overeksponering kan ikke utelukkes. Tiltak nødvendig.</v>
      </c>
      <c r="U20" s="158"/>
      <c r="V20" s="564" t="str" cm="1">
        <f t="array" ref="V20">IFERROR(IF(Calc!$X$1=0,"",IF(OR(Calc!$X$8=0,Calc!$X$3&lt;3),IFERROR(INDEX(Tekst!$B$1:$U$300,50,Tabeller!$C$28),""),IF(AND('Calc (W-test)'!$T$4 ="Nei",'Calc (W-test)'!$T$5="Nei"),IFERROR(INDEX(Tekst!$B$1:$U$300,49,Tabeller!$C$28),""),IF(OR($U$9&lt;3,'Stats - distribution'!$L$4="A2",'Stats - distribution'!$L$4="K1"),IFERROR(INDEX(Tekst!$B$1:$U$300,190,Tabeller!$C$28),""),IF(Analysis!$S$8&lt;Tabeller!$B$63,Tabeller!$C$63,IF(Analysis!$S$8&lt;Tabeller!$B$64,Tabeller!$C$64,IF(Analysis!$S$8&lt;Tabeller!$B$65,Tabeller!$C$65,IF(Analysis!$S$8&lt;Tabeller!$B$66,Tabeller!$C$66,Tabeller!$C$67)))))))),"")</f>
        <v>etter implementring av risikoreduserende tiltak</v>
      </c>
      <c r="W20" s="564"/>
      <c r="X20" s="564"/>
      <c r="Y20" s="5"/>
      <c r="Z20" s="161"/>
      <c r="AB20" s="84"/>
    </row>
    <row r="21" spans="1:28" ht="16" thickBot="1" x14ac:dyDescent="0.25">
      <c r="A21" s="65"/>
      <c r="B21" s="569" t="str" cm="1">
        <f t="array" ref="B21">IFERROR(INDEX(Tekst!$B$1:$U$300,147,Tabeller!$C$28),"")</f>
        <v>Molekylær masse (g/mol)</v>
      </c>
      <c r="C21" s="570"/>
      <c r="D21" s="61"/>
      <c r="E21" s="321"/>
      <c r="F21" s="61"/>
      <c r="G21" s="61"/>
      <c r="H21" s="181"/>
      <c r="I21" s="154"/>
      <c r="K21" s="65"/>
      <c r="L21" s="143">
        <v>16</v>
      </c>
      <c r="M21" s="297"/>
      <c r="N21" s="46"/>
      <c r="O21" s="341" t="str">
        <f>Calc!G18</f>
        <v/>
      </c>
      <c r="P21" s="68"/>
      <c r="R21" s="81"/>
      <c r="S21" s="4"/>
      <c r="T21" s="566"/>
      <c r="U21" s="158"/>
      <c r="V21" s="565"/>
      <c r="W21" s="565"/>
      <c r="X21" s="565"/>
      <c r="Y21" s="5"/>
      <c r="Z21" s="83"/>
    </row>
    <row r="22" spans="1:28" ht="16" thickBot="1" x14ac:dyDescent="0.25">
      <c r="A22" s="65"/>
      <c r="B22" s="155"/>
      <c r="C22" s="155"/>
      <c r="D22" s="155"/>
      <c r="E22" s="155"/>
      <c r="F22" s="155"/>
      <c r="G22" s="155"/>
      <c r="H22" s="155"/>
      <c r="I22" s="154"/>
      <c r="K22" s="65"/>
      <c r="L22" s="143">
        <v>17</v>
      </c>
      <c r="M22" s="297"/>
      <c r="N22" s="46"/>
      <c r="O22" s="341" t="str">
        <f>Calc!G19</f>
        <v/>
      </c>
      <c r="P22" s="68"/>
      <c r="R22" s="81"/>
      <c r="S22" s="4"/>
      <c r="Y22" s="5"/>
      <c r="Z22" s="83"/>
    </row>
    <row r="23" spans="1:28" ht="17" thickBot="1" x14ac:dyDescent="0.25">
      <c r="A23" s="254" t="str">
        <f>IF(ISNUMBER(MATCH(Information!$B$9,Tekst!$B$224:$U$224,0)),"2.","4.")</f>
        <v>4.</v>
      </c>
      <c r="B23" s="407" t="str" cm="1">
        <f t="array" ref="B23">IFERROR(INDEX(Tekst!$B$1:$U$300,5,Tabeller!$C$28),"")</f>
        <v>Reduksjonsfaktor</v>
      </c>
      <c r="C23" s="408"/>
      <c r="D23" s="408"/>
      <c r="E23" s="408"/>
      <c r="F23" s="408"/>
      <c r="G23" s="408"/>
      <c r="H23" s="409"/>
      <c r="I23" s="68"/>
      <c r="K23" s="65"/>
      <c r="L23" s="143">
        <v>18</v>
      </c>
      <c r="M23" s="297"/>
      <c r="N23" s="46"/>
      <c r="O23" s="341" t="str">
        <f>Calc!G20</f>
        <v/>
      </c>
      <c r="P23" s="68"/>
      <c r="R23" s="92"/>
      <c r="S23" s="162"/>
      <c r="T23" s="162"/>
      <c r="U23" s="162"/>
      <c r="V23" s="162"/>
      <c r="W23" s="162"/>
      <c r="X23" s="162"/>
      <c r="Y23" s="162"/>
      <c r="Z23" s="94"/>
    </row>
    <row r="24" spans="1:28" ht="16" thickBot="1" x14ac:dyDescent="0.25">
      <c r="A24" s="65"/>
      <c r="B24" s="555" t="str" cm="1">
        <f t="array" ref="B24">IFERROR(INDEX(Tekst!$B$1:$U$300,6,Tabeller!$C$28),"")</f>
        <v>Arbeidstid</v>
      </c>
      <c r="C24" s="556"/>
      <c r="D24" s="556"/>
      <c r="E24" s="556"/>
      <c r="F24" s="556"/>
      <c r="G24" s="280"/>
      <c r="H24" s="156" t="str" cm="1">
        <f t="array" ref="H24">IFERROR(INDEX(Tekst!$B$1:$U$300,9,Tabeller!$C$28),"")</f>
        <v>Faktor</v>
      </c>
      <c r="I24" s="68"/>
      <c r="K24" s="65"/>
      <c r="L24" s="143">
        <v>19</v>
      </c>
      <c r="M24" s="297"/>
      <c r="N24" s="46"/>
      <c r="O24" s="341" t="str">
        <f>Calc!G21</f>
        <v/>
      </c>
      <c r="P24" s="68"/>
    </row>
    <row r="25" spans="1:28" ht="16" thickBot="1" x14ac:dyDescent="0.25">
      <c r="A25" s="65"/>
      <c r="B25" s="116" t="str" cm="1">
        <f t="array" ref="B25">IFERROR(INDEX(Tekst!$B$1:$U$300,7,Tabeller!$C$28),"")</f>
        <v>Daglig</v>
      </c>
      <c r="C25" s="45">
        <v>8</v>
      </c>
      <c r="D25" t="str" cm="1">
        <f t="array" ref="D25">IFERROR(INDEX(Tekst!$B$1:$U$300,26,Tabeller!$C$28),"")</f>
        <v>timer</v>
      </c>
      <c r="G25" s="163"/>
      <c r="H25" s="164">
        <f>IFERROR(IF(OR($D$27=Tabeller!$K$3,$D$27=Tabeller!$L$3),0.6,IF(C25&lt;7,"",8/$C$25*(24-$C$25)/16)),"")</f>
        <v>1</v>
      </c>
      <c r="I25" s="68"/>
      <c r="K25" s="65"/>
      <c r="L25" s="143">
        <v>20</v>
      </c>
      <c r="M25" s="297"/>
      <c r="N25" s="46"/>
      <c r="O25" s="341" t="str">
        <f>Calc!G22</f>
        <v/>
      </c>
      <c r="P25" s="68"/>
      <c r="R25" s="62"/>
      <c r="S25" s="63"/>
      <c r="T25" s="63"/>
      <c r="U25" s="63"/>
      <c r="V25" s="63"/>
      <c r="W25" s="63"/>
      <c r="X25" s="63"/>
      <c r="Y25" s="63"/>
      <c r="Z25" s="64"/>
    </row>
    <row r="26" spans="1:28" ht="16" x14ac:dyDescent="0.2">
      <c r="A26" s="65"/>
      <c r="B26" s="116" t="str" cm="1">
        <f t="array" ref="B26">IFERROR(INDEX(Tekst!$B$1:$U$300,8,Tabeller!$C$28),"")</f>
        <v>Ukentlig</v>
      </c>
      <c r="C26" s="45">
        <v>40</v>
      </c>
      <c r="D26" t="str" cm="1">
        <f t="array" ref="D26">IFERROR(INDEX(Tekst!$B$1:$U$300,26,Tabeller!$C$28),"")</f>
        <v>timer</v>
      </c>
      <c r="G26" s="163"/>
      <c r="H26" s="164">
        <f>IFERROR(IF(OR($D$27=Tabeller!$K$3,$D$27=Tabeller!$L$3),0.6,IF(C26&lt;40,"",40/$C$26*(168-$C$26)/128)),"")</f>
        <v>1</v>
      </c>
      <c r="I26" s="68"/>
      <c r="K26" s="65"/>
      <c r="L26" s="143">
        <v>21</v>
      </c>
      <c r="M26" s="297"/>
      <c r="N26" s="46"/>
      <c r="O26" s="341" t="str">
        <f>Calc!G23</f>
        <v/>
      </c>
      <c r="P26" s="68"/>
      <c r="R26" s="252" t="str">
        <f>IF(ISNUMBER(MATCH(Information!$B$9,Tekst!$B$224:$U$224,0)),"5.","9.")</f>
        <v>9.</v>
      </c>
      <c r="S26" s="515" t="str" cm="1">
        <f t="array" ref="S26">IFERROR(INDEX(Tekst!$B$1:$U$300,74,Tabeller!$C$28),"")</f>
        <v>Samlet vurdering</v>
      </c>
      <c r="T26" s="516"/>
      <c r="U26" s="516"/>
      <c r="V26" s="516"/>
      <c r="W26" s="516"/>
      <c r="X26" s="516"/>
      <c r="Y26" s="517"/>
      <c r="Z26" s="68"/>
    </row>
    <row r="27" spans="1:28" ht="16" thickBot="1" x14ac:dyDescent="0.25">
      <c r="A27" s="65"/>
      <c r="B27" s="281" t="str" cm="1">
        <f t="array" ref="B27">INDEX(Tekst!$B$1:$U$300,263,Tabeller!$C$28)</f>
        <v>Offshore</v>
      </c>
      <c r="D27" s="174" t="s">
        <v>53</v>
      </c>
      <c r="E27" s="146"/>
      <c r="F27" s="146"/>
      <c r="H27" s="165"/>
      <c r="I27" s="68"/>
      <c r="K27" s="65"/>
      <c r="L27" s="143">
        <v>22</v>
      </c>
      <c r="M27" s="297"/>
      <c r="N27" s="46"/>
      <c r="O27" s="341" t="str">
        <f>Calc!G24</f>
        <v/>
      </c>
      <c r="P27" s="68"/>
      <c r="R27" s="65"/>
      <c r="S27" s="519"/>
      <c r="T27" s="520"/>
      <c r="U27" s="520"/>
      <c r="V27" s="520"/>
      <c r="W27" s="520"/>
      <c r="X27" s="520"/>
      <c r="Y27" s="521"/>
      <c r="Z27" s="68"/>
    </row>
    <row r="28" spans="1:28" ht="16" thickBot="1" x14ac:dyDescent="0.25">
      <c r="A28" s="65"/>
      <c r="B28" s="215"/>
      <c r="C28" s="215"/>
      <c r="D28" s="215"/>
      <c r="E28" s="215"/>
      <c r="F28" s="215"/>
      <c r="G28" s="215"/>
      <c r="H28" s="215"/>
      <c r="I28" s="68"/>
      <c r="K28" s="65"/>
      <c r="L28" s="143">
        <v>23</v>
      </c>
      <c r="M28" s="297"/>
      <c r="N28" s="46"/>
      <c r="O28" s="341" t="str">
        <f>Calc!G25</f>
        <v/>
      </c>
      <c r="P28" s="68"/>
      <c r="R28" s="65"/>
      <c r="S28" s="522"/>
      <c r="T28" s="523"/>
      <c r="U28" s="523"/>
      <c r="V28" s="523"/>
      <c r="W28" s="523"/>
      <c r="X28" s="523"/>
      <c r="Y28" s="524"/>
      <c r="Z28" s="68"/>
    </row>
    <row r="29" spans="1:28" ht="16" x14ac:dyDescent="0.2">
      <c r="A29" s="254" t="s">
        <v>1556</v>
      </c>
      <c r="B29" s="407" t="str" cm="1">
        <f t="array" ref="B29">IFERROR(INDEX(Tekst!$B$1:$U$300,70,Tabeller!$C$28),"")</f>
        <v>Korttidseksponering</v>
      </c>
      <c r="C29" s="408"/>
      <c r="D29" s="408"/>
      <c r="E29" s="408"/>
      <c r="F29" s="408"/>
      <c r="G29" s="408"/>
      <c r="H29" s="409"/>
      <c r="I29" s="68"/>
      <c r="K29" s="65"/>
      <c r="L29" s="143">
        <v>24</v>
      </c>
      <c r="M29" s="297"/>
      <c r="N29" s="46"/>
      <c r="O29" s="341" t="str">
        <f>Calc!G26</f>
        <v/>
      </c>
      <c r="P29" s="68"/>
      <c r="R29" s="65"/>
      <c r="S29" s="522"/>
      <c r="T29" s="523"/>
      <c r="U29" s="523"/>
      <c r="V29" s="523"/>
      <c r="W29" s="523"/>
      <c r="X29" s="523"/>
      <c r="Y29" s="524"/>
      <c r="Z29" s="68"/>
    </row>
    <row r="30" spans="1:28" x14ac:dyDescent="0.2">
      <c r="A30" s="65"/>
      <c r="B30" s="128"/>
      <c r="C30" s="216"/>
      <c r="D30" s="216"/>
      <c r="E30" s="216"/>
      <c r="F30" s="216"/>
      <c r="G30" s="216"/>
      <c r="H30" s="283" t="str" cm="1">
        <f t="array" ref="H30">IF($H$31&lt;&gt;"",IFERROR(INDEX(Tekst!$B$1:$U$300,28,Tabeller!$C$28),""),"")</f>
        <v/>
      </c>
      <c r="I30" s="68"/>
      <c r="K30" s="65"/>
      <c r="L30" s="143">
        <v>25</v>
      </c>
      <c r="M30" s="297"/>
      <c r="N30" s="46"/>
      <c r="O30" s="341" t="str">
        <f>Calc!G27</f>
        <v/>
      </c>
      <c r="P30" s="68"/>
      <c r="R30" s="65"/>
      <c r="S30" s="522"/>
      <c r="T30" s="523"/>
      <c r="U30" s="523"/>
      <c r="V30" s="523"/>
      <c r="W30" s="523"/>
      <c r="X30" s="523"/>
      <c r="Y30" s="524"/>
      <c r="Z30" s="68"/>
    </row>
    <row r="31" spans="1:28" x14ac:dyDescent="0.2">
      <c r="A31" s="166"/>
      <c r="B31" s="116" t="str" cm="1">
        <f t="array" ref="B31">IFERROR(INDEX(Tekst!$B$1:$U$300,71,Tabeller!$C$28),"")</f>
        <v>Korttid (15 min)</v>
      </c>
      <c r="D31" s="174"/>
      <c r="G31" s="168" t="str" cm="1">
        <f t="array" ref="G31">IF(AND($D$31=INDEX(Tekst!$B$1:$U$300,258,Tabeller!$C$28),$D$32=INDEX(Tekst!$B$1:$U$300,258,Tabeller!$C$28)),IF($E$12&lt;=Tabeller!$E$18,Tabeller!$C$18,IF($E$12&lt;=Tabeller!$E$19,Tabeller!$C$19,IF($E$12&lt;=Tabeller!$E$20,Tabeller!$C$20,IF($E$12&lt;Tabeller!$E$21,Tabeller!$C$21,0)))),"")</f>
        <v/>
      </c>
      <c r="H31" s="5" t="str" cm="1">
        <f t="array" ref="H31">IFERROR(IF($D$31=INDEX(Tekst!$B$1:$U$300,258,Tabeller!$C$28),IF(AND($D$33&lt;&gt;"",$D$32=INDEX(Tekst!$B$1:$U$300,259,Tabeller!$C$28)),$D$33,$E$12+($E$12*$G$31)),""),"")</f>
        <v/>
      </c>
      <c r="I31" s="68"/>
      <c r="K31" s="65"/>
      <c r="L31" s="143">
        <v>26</v>
      </c>
      <c r="M31" s="297"/>
      <c r="N31" s="46"/>
      <c r="O31" s="341" t="str">
        <f>Calc!G28</f>
        <v/>
      </c>
      <c r="P31" s="68"/>
      <c r="R31" s="65"/>
      <c r="S31" s="522"/>
      <c r="T31" s="523"/>
      <c r="U31" s="523"/>
      <c r="V31" s="523"/>
      <c r="W31" s="523"/>
      <c r="X31" s="523"/>
      <c r="Y31" s="524"/>
      <c r="Z31" s="154"/>
    </row>
    <row r="32" spans="1:28" x14ac:dyDescent="0.2">
      <c r="A32" s="65"/>
      <c r="B32" s="116" t="str" cm="1">
        <f t="array" ref="B32">IF(OR($D$31&lt;&gt;INDEX(Tekst!$B$1:$U$300,258,Tabeller!$C$28),$D$31&lt;&gt;INDEX(Tekst!$B$1:$U$300,259,Tabeller!$C$28)),IFERROR(INDEX(Tekst!$B$1:$U$300,73,Tabeller!$C$28),""),"")</f>
        <v>Tommelfingerregel</v>
      </c>
      <c r="C32" s="8"/>
      <c r="D32" s="174"/>
      <c r="H32" s="17"/>
      <c r="I32" s="148"/>
      <c r="K32" s="65"/>
      <c r="L32" s="143">
        <v>27</v>
      </c>
      <c r="M32" s="297"/>
      <c r="N32" s="46"/>
      <c r="O32" s="341" t="str">
        <f>Calc!G29</f>
        <v/>
      </c>
      <c r="P32" s="68"/>
      <c r="R32" s="65"/>
      <c r="S32" s="522"/>
      <c r="T32" s="523"/>
      <c r="U32" s="523"/>
      <c r="V32" s="523"/>
      <c r="W32" s="523"/>
      <c r="X32" s="523"/>
      <c r="Y32" s="524"/>
      <c r="Z32" s="68"/>
      <c r="AA32" s="24"/>
    </row>
    <row r="33" spans="1:34" ht="16" thickBot="1" x14ac:dyDescent="0.25">
      <c r="A33" s="167"/>
      <c r="B33" s="169" t="str" cm="1">
        <f t="array" ref="B33">IF(OR($D$32&lt;&gt;INDEX(Tekst!$B$1:$U$300,258,Tabeller!$C$28),$D$32&lt;&gt;INDEX(Tekst!$B$1:$U$300,259,Tabeller!$C$28)),IFERROR(INDEX(Tekst!$B$1:$U$300,72,Tabeller!$C$28),""),"")</f>
        <v>Angi, eller:</v>
      </c>
      <c r="C33" s="61"/>
      <c r="D33" s="175"/>
      <c r="E33" s="61"/>
      <c r="F33" s="61"/>
      <c r="G33" s="61"/>
      <c r="H33" s="170"/>
      <c r="I33" s="167"/>
      <c r="K33" s="65"/>
      <c r="L33" s="143">
        <v>28</v>
      </c>
      <c r="M33" s="297"/>
      <c r="N33" s="46"/>
      <c r="O33" s="341" t="str">
        <f>Calc!G30</f>
        <v/>
      </c>
      <c r="P33" s="68"/>
      <c r="R33" s="65"/>
      <c r="S33" s="522"/>
      <c r="T33" s="523"/>
      <c r="U33" s="523"/>
      <c r="V33" s="523"/>
      <c r="W33" s="523"/>
      <c r="X33" s="523"/>
      <c r="Y33" s="524"/>
      <c r="Z33" s="68"/>
    </row>
    <row r="34" spans="1:34" ht="16" thickBot="1" x14ac:dyDescent="0.25">
      <c r="A34" s="98"/>
      <c r="B34" s="99"/>
      <c r="C34" s="99"/>
      <c r="D34" s="99"/>
      <c r="E34" s="99"/>
      <c r="F34" s="99"/>
      <c r="G34" s="99"/>
      <c r="H34" s="99"/>
      <c r="I34" s="100"/>
      <c r="K34" s="65"/>
      <c r="L34" s="143">
        <v>29</v>
      </c>
      <c r="M34" s="297"/>
      <c r="N34" s="46"/>
      <c r="O34" s="341" t="str">
        <f>Calc!G31</f>
        <v/>
      </c>
      <c r="P34" s="68"/>
      <c r="R34" s="171"/>
      <c r="S34" s="525"/>
      <c r="T34" s="526"/>
      <c r="U34" s="526"/>
      <c r="V34" s="526"/>
      <c r="W34" s="526"/>
      <c r="X34" s="526"/>
      <c r="Y34" s="527"/>
      <c r="Z34" s="68"/>
      <c r="AH34" s="84"/>
    </row>
    <row r="35" spans="1:34" ht="16" thickBot="1" x14ac:dyDescent="0.25">
      <c r="A35" s="133"/>
      <c r="B35" s="133"/>
      <c r="C35" s="133"/>
      <c r="D35" s="133"/>
      <c r="E35" s="133"/>
      <c r="F35" s="133"/>
      <c r="G35" s="133"/>
      <c r="H35" s="133"/>
      <c r="I35" s="133"/>
      <c r="K35" s="65"/>
      <c r="L35" s="143">
        <v>30</v>
      </c>
      <c r="M35" s="297"/>
      <c r="N35" s="46"/>
      <c r="O35" s="341" t="str">
        <f>Calc!G32</f>
        <v/>
      </c>
      <c r="P35" s="68"/>
      <c r="R35" s="98"/>
      <c r="S35" s="99"/>
      <c r="T35" s="99"/>
      <c r="U35" s="99"/>
      <c r="V35" s="99"/>
      <c r="W35" s="99"/>
      <c r="X35" s="99"/>
      <c r="Y35" s="99"/>
      <c r="Z35" s="100"/>
      <c r="AH35" s="84"/>
    </row>
    <row r="36" spans="1:34" ht="16" thickBot="1" x14ac:dyDescent="0.25">
      <c r="A36" s="52"/>
      <c r="B36" s="56"/>
      <c r="C36" s="56"/>
      <c r="D36" s="56"/>
      <c r="E36" s="56"/>
      <c r="F36" s="172"/>
      <c r="G36" s="172"/>
      <c r="H36" s="172"/>
      <c r="I36" s="54"/>
      <c r="K36" s="65"/>
      <c r="L36" s="143">
        <v>31</v>
      </c>
      <c r="M36" s="297"/>
      <c r="N36" s="46"/>
      <c r="O36" s="341" t="str">
        <f>Calc!G33</f>
        <v/>
      </c>
      <c r="P36" s="68"/>
      <c r="AH36" s="84"/>
    </row>
    <row r="37" spans="1:34" ht="16" thickBot="1" x14ac:dyDescent="0.25">
      <c r="A37" s="53"/>
      <c r="B37" s="407" t="str" cm="1">
        <f t="array" ref="B37">IFERROR(INDEX(Tekst!$B$1:$U$300,247,Tabeller!$C$28),"")</f>
        <v>!!! VIKTIG !!!</v>
      </c>
      <c r="C37" s="408"/>
      <c r="D37" s="408"/>
      <c r="E37" s="408"/>
      <c r="F37" s="408"/>
      <c r="G37" s="408"/>
      <c r="H37" s="409"/>
      <c r="I37" s="55"/>
      <c r="K37" s="65"/>
      <c r="L37" s="143">
        <v>32</v>
      </c>
      <c r="M37" s="297"/>
      <c r="N37" s="46"/>
      <c r="O37" s="341" t="str">
        <f>Calc!G34</f>
        <v/>
      </c>
      <c r="P37" s="68"/>
      <c r="R37" s="52"/>
      <c r="S37" s="255"/>
      <c r="T37" s="255"/>
      <c r="U37" s="255"/>
      <c r="V37" s="255"/>
      <c r="W37" s="255"/>
      <c r="X37" s="255"/>
      <c r="Y37" s="255"/>
      <c r="Z37" s="54"/>
    </row>
    <row r="38" spans="1:34" ht="16" thickBot="1" x14ac:dyDescent="0.25">
      <c r="A38" s="53"/>
      <c r="B38" s="472" t="str" cm="1">
        <f t="array" ref="B38">IFERROR(INDEX(Tekst!$B$1:$U$300,136,Tabeller!$C$28),"")</f>
        <v>Korttidsmålinger som vurderes opp mot korttidsverdi (referansetid 15 minutter) bør kun vurderes som indikative målinger når n ≤ 5 og som bakgrunnsinformasjon til "Innledende vurdering". For n ≥ 6 bør "Detaljert undersøkelse" benyttes.</v>
      </c>
      <c r="C38" s="473"/>
      <c r="D38" s="473"/>
      <c r="E38" s="473"/>
      <c r="F38" s="473"/>
      <c r="G38" s="473"/>
      <c r="H38" s="474"/>
      <c r="I38" s="55"/>
      <c r="K38" s="65"/>
      <c r="L38" s="143">
        <v>33</v>
      </c>
      <c r="M38" s="297"/>
      <c r="N38" s="46"/>
      <c r="O38" s="341" t="str">
        <f>Calc!G35</f>
        <v/>
      </c>
      <c r="P38" s="68"/>
      <c r="R38" s="53"/>
      <c r="S38" s="528" t="str" cm="1">
        <f t="array" ref="S38">IFERROR(INDEX(Tekst!$B$1:$U$300,168,Tabeller!$C$28),"")</f>
        <v>Brukerveiledning</v>
      </c>
      <c r="T38" s="529"/>
      <c r="U38" s="529"/>
      <c r="V38" s="529"/>
      <c r="W38" s="529"/>
      <c r="X38" s="529"/>
      <c r="Y38" s="530"/>
      <c r="Z38" s="191"/>
    </row>
    <row r="39" spans="1:34" x14ac:dyDescent="0.2">
      <c r="A39" s="53"/>
      <c r="B39" s="475"/>
      <c r="C39" s="476"/>
      <c r="D39" s="476"/>
      <c r="E39" s="476"/>
      <c r="F39" s="476"/>
      <c r="G39" s="476"/>
      <c r="H39" s="477"/>
      <c r="I39" s="55"/>
      <c r="K39" s="65"/>
      <c r="L39" s="143">
        <v>34</v>
      </c>
      <c r="M39" s="297"/>
      <c r="N39" s="46"/>
      <c r="O39" s="341" t="str">
        <f>Calc!G36</f>
        <v/>
      </c>
      <c r="P39" s="68"/>
      <c r="R39" s="53"/>
      <c r="S39" s="245">
        <v>1</v>
      </c>
      <c r="T39" s="531" t="str" cm="1">
        <f t="array" ref="T39">IFERROR(INDEX(Tekst!$B$1:$U$300,150,Tabeller!$C$28),"")</f>
        <v>Angi eller velg grenseverdi (GV)</v>
      </c>
      <c r="U39" s="531"/>
      <c r="V39" s="246">
        <v>5</v>
      </c>
      <c r="W39" s="247" t="str" cm="1">
        <f t="array" ref="W39">IFERROR(INDEX(Tekst!$B$1:$U$300,159,Tabeller!$C$28),"")</f>
        <v>Korttidseksponering</v>
      </c>
      <c r="X39" s="248"/>
      <c r="Y39" s="249"/>
      <c r="Z39" s="55"/>
    </row>
    <row r="40" spans="1:34" ht="15" customHeight="1" x14ac:dyDescent="0.2">
      <c r="A40" s="178"/>
      <c r="B40" s="475"/>
      <c r="C40" s="476"/>
      <c r="D40" s="476"/>
      <c r="E40" s="476"/>
      <c r="F40" s="476"/>
      <c r="G40" s="476"/>
      <c r="H40" s="477"/>
      <c r="I40" s="179"/>
      <c r="K40" s="65"/>
      <c r="L40" s="143">
        <v>35</v>
      </c>
      <c r="M40" s="297"/>
      <c r="N40" s="46"/>
      <c r="O40" s="341" t="str">
        <f>Calc!G37</f>
        <v/>
      </c>
      <c r="P40" s="68"/>
      <c r="R40" s="53"/>
      <c r="S40" s="4"/>
      <c r="T40" s="518" t="str" cm="1">
        <f t="array" ref="T40">IFERROR(INDEX(Tekst!$B$1:$U$300,151,Tabeller!$C$28),"")</f>
        <v>a. Registrer GV (ved å bruke agensnavn [C8] eller CAS-no. [C7]) eller registrer GV manuelt (MERK!!! Sett inn grenseverdi i henhold til antall timer per dag/uke som defineres i punkt 4. Korttidsverdi - se punkt 5)
b. Velg enhet for GV i celle H11
c. Velg enhet for måledata i celle H13
Dersom aktuelt, konvertering mellom volum-volum (ppm/ppb) &lt;--&gt; volum-masse (mgmˉ³/µgmˉ³) gjøres automatisk basert på input i område 3.</v>
      </c>
      <c r="U40" s="518"/>
      <c r="V40" s="242"/>
      <c r="W40" s="518" t="str" cm="1">
        <f t="array" ref="W40">IFERROR(INDEX(Tekst!$B$1:$U$300,160,Tabeller!$C$28),"")</f>
        <v>a. Velg om korttidsverdi skal benyttes i analysen i celle D31
b. Velg om tommelfingerregelen skal benyttes i celle D32
c. Dersom a er "Ja" og b er "Nei", sett korttidsverdi manuelt i celle D33</v>
      </c>
      <c r="X40" s="518"/>
      <c r="Y40" s="421"/>
      <c r="Z40" s="55"/>
    </row>
    <row r="41" spans="1:34" x14ac:dyDescent="0.2">
      <c r="A41" s="178"/>
      <c r="B41" s="475"/>
      <c r="C41" s="476"/>
      <c r="D41" s="476"/>
      <c r="E41" s="476"/>
      <c r="F41" s="476"/>
      <c r="G41" s="476"/>
      <c r="H41" s="477"/>
      <c r="I41" s="179"/>
      <c r="K41" s="65"/>
      <c r="L41" s="143">
        <v>36</v>
      </c>
      <c r="M41" s="297"/>
      <c r="N41" s="46"/>
      <c r="O41" s="341" t="str">
        <f>Calc!G38</f>
        <v/>
      </c>
      <c r="P41" s="68"/>
      <c r="R41" s="53"/>
      <c r="S41" s="4"/>
      <c r="T41" s="518"/>
      <c r="U41" s="518"/>
      <c r="V41" s="242"/>
      <c r="W41" s="518"/>
      <c r="X41" s="518"/>
      <c r="Y41" s="421"/>
      <c r="Z41" s="55"/>
    </row>
    <row r="42" spans="1:34" x14ac:dyDescent="0.2">
      <c r="A42" s="53"/>
      <c r="B42" s="475"/>
      <c r="C42" s="476"/>
      <c r="D42" s="476"/>
      <c r="E42" s="476"/>
      <c r="F42" s="476"/>
      <c r="G42" s="476"/>
      <c r="H42" s="477"/>
      <c r="I42" s="55"/>
      <c r="K42" s="65"/>
      <c r="L42" s="143">
        <v>37</v>
      </c>
      <c r="M42" s="297"/>
      <c r="N42" s="46"/>
      <c r="O42" s="341" t="str">
        <f>Calc!G39</f>
        <v/>
      </c>
      <c r="P42" s="68"/>
      <c r="R42" s="53"/>
      <c r="S42" s="4"/>
      <c r="T42" s="518"/>
      <c r="U42" s="518"/>
      <c r="V42" s="242"/>
      <c r="W42" s="518"/>
      <c r="X42" s="518"/>
      <c r="Y42" s="421"/>
      <c r="Z42" s="55"/>
    </row>
    <row r="43" spans="1:34" ht="16" thickBot="1" x14ac:dyDescent="0.25">
      <c r="A43" s="191"/>
      <c r="B43" s="478"/>
      <c r="C43" s="479"/>
      <c r="D43" s="479"/>
      <c r="E43" s="479"/>
      <c r="F43" s="479"/>
      <c r="G43" s="479"/>
      <c r="H43" s="480"/>
      <c r="I43" s="191"/>
      <c r="K43" s="65"/>
      <c r="L43" s="143">
        <v>38</v>
      </c>
      <c r="M43" s="297"/>
      <c r="N43" s="46"/>
      <c r="O43" s="341" t="str">
        <f>Calc!G40</f>
        <v/>
      </c>
      <c r="P43" s="68"/>
      <c r="R43" s="53"/>
      <c r="S43" s="4"/>
      <c r="T43" s="518"/>
      <c r="U43" s="518"/>
      <c r="V43" s="242"/>
      <c r="W43" s="518"/>
      <c r="X43" s="518"/>
      <c r="Y43" s="421"/>
      <c r="Z43" s="55"/>
    </row>
    <row r="44" spans="1:34" ht="16" thickBot="1" x14ac:dyDescent="0.25">
      <c r="A44" s="49"/>
      <c r="B44" s="50"/>
      <c r="C44" s="50"/>
      <c r="D44" s="50"/>
      <c r="E44" s="50"/>
      <c r="F44" s="50"/>
      <c r="G44" s="50"/>
      <c r="H44" s="50"/>
      <c r="I44" s="51"/>
      <c r="K44" s="65"/>
      <c r="L44" s="143">
        <v>39</v>
      </c>
      <c r="M44" s="297"/>
      <c r="N44" s="46"/>
      <c r="O44" s="341" t="str">
        <f>Calc!G41</f>
        <v/>
      </c>
      <c r="P44" s="68"/>
      <c r="R44" s="53"/>
      <c r="S44" s="4"/>
      <c r="T44" s="518"/>
      <c r="U44" s="518"/>
      <c r="W44" s="518"/>
      <c r="X44" s="518"/>
      <c r="Y44" s="421"/>
      <c r="Z44" s="55"/>
    </row>
    <row r="45" spans="1:34" x14ac:dyDescent="0.2">
      <c r="K45" s="65"/>
      <c r="L45" s="143">
        <v>40</v>
      </c>
      <c r="M45" s="297"/>
      <c r="N45" s="46"/>
      <c r="O45" s="341" t="str">
        <f>Calc!G42</f>
        <v/>
      </c>
      <c r="P45" s="68"/>
      <c r="R45" s="53"/>
      <c r="S45" s="4"/>
      <c r="T45" s="518"/>
      <c r="U45" s="518"/>
      <c r="W45" s="518"/>
      <c r="X45" s="518"/>
      <c r="Y45" s="421"/>
      <c r="Z45" s="55"/>
    </row>
    <row r="46" spans="1:34" x14ac:dyDescent="0.2">
      <c r="K46" s="65"/>
      <c r="L46" s="143">
        <v>41</v>
      </c>
      <c r="M46" s="297"/>
      <c r="N46" s="46"/>
      <c r="O46" s="341" t="str">
        <f>Calc!G43</f>
        <v/>
      </c>
      <c r="P46" s="68"/>
      <c r="R46" s="53"/>
      <c r="S46" s="4"/>
      <c r="T46" s="518"/>
      <c r="U46" s="518"/>
      <c r="V46" s="59"/>
      <c r="W46" s="59"/>
      <c r="X46" s="59"/>
      <c r="Y46" s="60"/>
      <c r="Z46" s="55"/>
    </row>
    <row r="47" spans="1:34" x14ac:dyDescent="0.2">
      <c r="K47" s="65"/>
      <c r="L47" s="143">
        <v>42</v>
      </c>
      <c r="M47" s="297"/>
      <c r="N47" s="46"/>
      <c r="O47" s="341" t="str">
        <f>Calc!G44</f>
        <v/>
      </c>
      <c r="P47" s="68"/>
      <c r="R47" s="53"/>
      <c r="S47" s="4"/>
      <c r="T47" s="518"/>
      <c r="U47" s="518"/>
      <c r="V47" s="241">
        <f>IF(ISNUMBER(MATCH(Information!$B$9,Tekst!$B$224:$U$224,0)),3,6)</f>
        <v>6</v>
      </c>
      <c r="W47" s="1" t="str" cm="1">
        <f t="array" ref="W47">IFERROR(INDEX(Tekst!$B$1:$U$300,161,Tabeller!$C$28),"")</f>
        <v>Målinger</v>
      </c>
      <c r="Y47" s="5"/>
      <c r="Z47" s="55"/>
    </row>
    <row r="48" spans="1:34" ht="15" customHeight="1" x14ac:dyDescent="0.2">
      <c r="K48" s="65"/>
      <c r="L48" s="143">
        <v>43</v>
      </c>
      <c r="M48" s="297"/>
      <c r="N48" s="46"/>
      <c r="O48" s="341" t="str">
        <f>Calc!G45</f>
        <v/>
      </c>
      <c r="P48" s="68"/>
      <c r="R48" s="53"/>
      <c r="S48" s="4"/>
      <c r="T48" s="518"/>
      <c r="U48" s="518"/>
      <c r="W48" s="518" t="str" cm="1">
        <f t="array" ref="W48">IFERROR(INDEX(Tekst!$B$1:$U$300,163,Tabeller!$C$28),"")</f>
        <v>a. Input måledata i cellene M6:M55
b. Viss relevant, for å konvertere masse til masse-volum, input volum i celler N6:N55
c. Kolonne O - Verdier benyttet i beregninger hvor verdier under deteksjonsgrense er kalkulert basert på valgt metode i seksjon 2.</v>
      </c>
      <c r="X48" s="518"/>
      <c r="Y48" s="421"/>
      <c r="Z48" s="55"/>
    </row>
    <row r="49" spans="11:26" x14ac:dyDescent="0.2">
      <c r="K49" s="65"/>
      <c r="L49" s="143">
        <v>44</v>
      </c>
      <c r="M49" s="297"/>
      <c r="N49" s="46"/>
      <c r="O49" s="341" t="str">
        <f>Calc!G46</f>
        <v/>
      </c>
      <c r="P49" s="68"/>
      <c r="R49" s="53"/>
      <c r="S49" s="4"/>
      <c r="T49" s="518"/>
      <c r="U49" s="518"/>
      <c r="V49" s="242"/>
      <c r="W49" s="518"/>
      <c r="X49" s="518"/>
      <c r="Y49" s="421"/>
      <c r="Z49" s="55"/>
    </row>
    <row r="50" spans="11:26" x14ac:dyDescent="0.2">
      <c r="K50" s="65"/>
      <c r="L50" s="143">
        <v>45</v>
      </c>
      <c r="M50" s="297"/>
      <c r="N50" s="46"/>
      <c r="O50" s="341" t="str">
        <f>Calc!G47</f>
        <v/>
      </c>
      <c r="P50" s="68"/>
      <c r="R50" s="53"/>
      <c r="S50" s="4"/>
      <c r="V50" s="242"/>
      <c r="W50" s="518"/>
      <c r="X50" s="518"/>
      <c r="Y50" s="421"/>
      <c r="Z50" s="55"/>
    </row>
    <row r="51" spans="11:26" x14ac:dyDescent="0.2">
      <c r="K51" s="65"/>
      <c r="L51" s="143">
        <v>46</v>
      </c>
      <c r="M51" s="297"/>
      <c r="N51" s="46"/>
      <c r="O51" s="341" t="str">
        <f>Calc!G48</f>
        <v/>
      </c>
      <c r="P51" s="68"/>
      <c r="R51" s="53"/>
      <c r="S51" s="250">
        <v>2</v>
      </c>
      <c r="T51" s="542" t="str" cm="1">
        <f t="array" ref="T51">IFERROR(INDEX(Tekst!$B$1:$U$300,152,Tabeller!$C$28),"")</f>
        <v>Håndtering av verdier under deteksjonsgrensen (DG)</v>
      </c>
      <c r="U51" s="542"/>
      <c r="V51" s="242"/>
      <c r="W51" s="518"/>
      <c r="X51" s="518"/>
      <c r="Y51" s="421"/>
      <c r="Z51" s="55"/>
    </row>
    <row r="52" spans="11:26" x14ac:dyDescent="0.2">
      <c r="K52" s="65"/>
      <c r="L52" s="143">
        <v>47</v>
      </c>
      <c r="M52" s="297"/>
      <c r="N52" s="46"/>
      <c r="O52" s="341" t="str">
        <f>Calc!G49</f>
        <v/>
      </c>
      <c r="P52" s="68"/>
      <c r="R52" s="53"/>
      <c r="S52" s="4"/>
      <c r="T52" s="59" t="str" cm="1">
        <f t="array" ref="T52">IFERROR(INDEX(Tekst!$B$1:$U$300,153,Tabeller!$C$28),"")</f>
        <v>Velg metodikk for håndtering av verdier under deteksjonsgrensen</v>
      </c>
      <c r="U52" s="242"/>
      <c r="W52" s="518"/>
      <c r="X52" s="518"/>
      <c r="Y52" s="421"/>
      <c r="Z52" s="55"/>
    </row>
    <row r="53" spans="11:26" x14ac:dyDescent="0.2">
      <c r="K53" s="65"/>
      <c r="L53" s="143">
        <v>48</v>
      </c>
      <c r="M53" s="297"/>
      <c r="N53" s="46"/>
      <c r="O53" s="341" t="str">
        <f>Calc!G50</f>
        <v/>
      </c>
      <c r="P53" s="68"/>
      <c r="R53" s="53"/>
      <c r="S53" s="4"/>
      <c r="W53" s="518"/>
      <c r="X53" s="518"/>
      <c r="Y53" s="421"/>
      <c r="Z53" s="55"/>
    </row>
    <row r="54" spans="11:26" x14ac:dyDescent="0.2">
      <c r="K54" s="65"/>
      <c r="L54" s="143">
        <v>49</v>
      </c>
      <c r="M54" s="297"/>
      <c r="N54" s="46"/>
      <c r="O54" s="341" t="str">
        <f>Calc!G51</f>
        <v/>
      </c>
      <c r="P54" s="68"/>
      <c r="R54" s="53"/>
      <c r="S54" s="250">
        <v>3</v>
      </c>
      <c r="T54" s="437" t="str" cm="1">
        <f t="array" ref="T54">IFERROR(INDEX(Tekst!$B$1:$U$300,154,Tabeller!$C$28),"")</f>
        <v>Konverter konsentrasjon (volum-volum &lt;--&gt; masse-volum)</v>
      </c>
      <c r="U54" s="437"/>
      <c r="Y54" s="5"/>
      <c r="Z54" s="55"/>
    </row>
    <row r="55" spans="11:26" ht="16" thickBot="1" x14ac:dyDescent="0.25">
      <c r="K55" s="65"/>
      <c r="L55" s="173">
        <v>50</v>
      </c>
      <c r="M55" s="298"/>
      <c r="N55" s="256"/>
      <c r="O55" s="342" t="str">
        <f>Calc!G52</f>
        <v/>
      </c>
      <c r="P55" s="68"/>
      <c r="R55" s="53"/>
      <c r="S55" s="4"/>
      <c r="T55" s="518" t="str" cm="1">
        <f t="array" ref="T55">IFERROR(INDEX(Tekst!$B$1:$U$300,156,Tabeller!$C$28),"")</f>
        <v>Bruk dersom det er nødvendig å konvertere konsentrasjon
a. Input verdi i H21 (molekylær masse for agensen som analyseres)
b. Dersom aktuelt, juster molekylært volum (L) i celle H20</v>
      </c>
      <c r="U55" s="518"/>
      <c r="W55" s="540" t="str" cm="1">
        <f t="array" ref="W55">IFERROR(INDEX(Tekst!$B$1:$U$300,162,Tabeller!$C$28),"")</f>
        <v>(Kolonne for volum vil kun vise dersom det er aktuelt)</v>
      </c>
      <c r="X55" s="540"/>
      <c r="Y55" s="541"/>
      <c r="Z55" s="55"/>
    </row>
    <row r="56" spans="11:26" ht="16" thickBot="1" x14ac:dyDescent="0.25">
      <c r="K56" s="98"/>
      <c r="L56" s="99"/>
      <c r="M56" s="99"/>
      <c r="N56" s="99"/>
      <c r="O56" s="99"/>
      <c r="P56" s="100"/>
      <c r="R56" s="53"/>
      <c r="S56" s="4"/>
      <c r="T56" s="518"/>
      <c r="U56" s="518"/>
      <c r="Y56" s="5"/>
      <c r="Z56" s="55"/>
    </row>
    <row r="57" spans="11:26" x14ac:dyDescent="0.2">
      <c r="R57" s="53"/>
      <c r="S57" s="4"/>
      <c r="T57" s="518"/>
      <c r="U57" s="518"/>
      <c r="V57" s="241">
        <v>7</v>
      </c>
      <c r="W57" s="1" t="str" cm="1">
        <f t="array" ref="W57">IFERROR(INDEX(Tekst!$B$1:$U$300,205,Tabeller!$C$28),"")</f>
        <v>Fordeling</v>
      </c>
      <c r="Y57" s="5"/>
      <c r="Z57" s="55"/>
    </row>
    <row r="58" spans="11:26" x14ac:dyDescent="0.2">
      <c r="R58" s="53"/>
      <c r="S58" s="4"/>
      <c r="T58" s="543" t="str" cm="1">
        <f t="array" ref="T58">IFERROR(INDEX(Tekst!$B$1:$U$300,254,Tabeller!$C$28),"")</f>
        <v>(Relevante celler viser når de er relevante)</v>
      </c>
      <c r="U58" s="543"/>
      <c r="W58" s="518" t="str" cm="1">
        <f t="array" ref="W58">IFERROR(INDEX(Tekst!$B$1:$U$300,206,Tabeller!$C$28),"")</f>
        <v>Hvis relevant, definer fordeling manuelt. Sett til YH-hjelp dersom estimert fordeling skal brukes.</v>
      </c>
      <c r="X58" s="518"/>
      <c r="Y58" s="421"/>
      <c r="Z58" s="55"/>
    </row>
    <row r="59" spans="11:26" x14ac:dyDescent="0.2">
      <c r="R59" s="53"/>
      <c r="S59" s="4"/>
      <c r="W59" s="518"/>
      <c r="X59" s="518"/>
      <c r="Y59" s="421"/>
      <c r="Z59" s="55"/>
    </row>
    <row r="60" spans="11:26" x14ac:dyDescent="0.2">
      <c r="R60" s="53"/>
      <c r="S60" s="250">
        <f>IF(ISNUMBER(MATCH(Information!$B$9,Tekst!$B$224:$U$224,0)),2,4)</f>
        <v>4</v>
      </c>
      <c r="T60" s="1" t="str" cm="1">
        <f t="array" ref="T60">IFERROR(INDEX(Tekst!$B$1:$U$300,157,Tabeller!$C$28),"")</f>
        <v>Reduksjonsfaktor</v>
      </c>
      <c r="Y60" s="5"/>
      <c r="Z60" s="55"/>
    </row>
    <row r="61" spans="11:26" ht="16" x14ac:dyDescent="0.2">
      <c r="R61" s="53"/>
      <c r="S61" s="4"/>
      <c r="T61" s="518" t="str" cm="1">
        <f t="array" ref="T61">IFERROR(INDEX(Tekst!$B$1:$U$300,158,Tabeller!$C$28),"")</f>
        <v>Juster GV baser på arbeidsdag (C25), arbeidsuke (C26) eller norsk offshore regelverk (D27) [ref. Aktivitetsforskriften §36]</v>
      </c>
      <c r="U61" s="518"/>
      <c r="V61" s="241">
        <f>IF(ISNUMBER(MATCH(Information!$B$9,Tekst!$B$224:$U$224,0)),4,8)</f>
        <v>8</v>
      </c>
      <c r="W61" s="244" t="str" cm="1">
        <f t="array" ref="W61">IFERROR(INDEX(Tekst!$B$1:$U$300,164,Tabeller!$C$28),"")</f>
        <v>Resultater</v>
      </c>
      <c r="X61" s="242"/>
      <c r="Y61" s="193"/>
      <c r="Z61" s="55"/>
    </row>
    <row r="62" spans="11:26" x14ac:dyDescent="0.2">
      <c r="R62" s="53"/>
      <c r="S62" s="4"/>
      <c r="T62" s="518"/>
      <c r="U62" s="518"/>
      <c r="W62" s="518" t="str" cm="1">
        <f t="array" ref="W62">IFERROR(INDEX(Tekst!$B$1:$U$300,165,Tabeller!$C$28),"")</f>
        <v>Resultater fra analysen presenteres i dette området</v>
      </c>
      <c r="X62" s="518"/>
      <c r="Y62" s="421"/>
      <c r="Z62" s="55"/>
    </row>
    <row r="63" spans="11:26" x14ac:dyDescent="0.2">
      <c r="R63" s="178"/>
      <c r="S63" s="4"/>
      <c r="W63" s="518"/>
      <c r="X63" s="518"/>
      <c r="Y63" s="421"/>
      <c r="Z63" s="179"/>
    </row>
    <row r="64" spans="11:26" x14ac:dyDescent="0.2">
      <c r="R64" s="289"/>
      <c r="V64" s="241">
        <f>IF(ISNUMBER(MATCH(Information!$B$9,Tekst!$B$224:$U$224,0)),5,9)</f>
        <v>9</v>
      </c>
      <c r="W64" s="1" t="str" cm="1">
        <f t="array" ref="W64">IFERROR(INDEX(Tekst!$B$1:$U$300,166,Tabeller!$C$28),"")</f>
        <v>Samlet vurdering</v>
      </c>
      <c r="Z64" s="289"/>
    </row>
    <row r="65" spans="18:26" x14ac:dyDescent="0.2">
      <c r="R65" s="289"/>
      <c r="W65" s="183" t="str" cm="1">
        <f t="array" ref="W65">IFERROR(INDEX(Tekst!$B$1:$U$300,167,Tabeller!$C$28),"")</f>
        <v>Legg til samlet vurdering etter behov</v>
      </c>
      <c r="X65" s="183"/>
      <c r="Y65" s="183"/>
      <c r="Z65" s="289"/>
    </row>
    <row r="66" spans="18:26" ht="16" thickBot="1" x14ac:dyDescent="0.25">
      <c r="R66" s="289"/>
      <c r="S66" s="61"/>
      <c r="T66" s="61"/>
      <c r="U66" s="61"/>
      <c r="V66" s="61"/>
      <c r="W66" s="61"/>
      <c r="X66" s="61"/>
      <c r="Y66" s="61"/>
      <c r="Z66" s="289"/>
    </row>
    <row r="67" spans="18:26" ht="16" thickBot="1" x14ac:dyDescent="0.25">
      <c r="R67" s="49"/>
      <c r="S67" s="50"/>
      <c r="T67" s="50"/>
      <c r="U67" s="50"/>
      <c r="V67" s="50"/>
      <c r="W67" s="50"/>
      <c r="X67" s="50"/>
      <c r="Y67" s="50"/>
      <c r="Z67" s="51"/>
    </row>
    <row r="68" spans="18:26" x14ac:dyDescent="0.2"/>
    <row r="80" spans="18:26" x14ac:dyDescent="0.2"/>
    <row r="1048570" ht="1.5" hidden="1" customHeight="1" x14ac:dyDescent="0.2"/>
    <row r="1048571" ht="10" hidden="1" customHeight="1" x14ac:dyDescent="0.2"/>
    <row r="1048574" ht="78.75" hidden="1" customHeight="1" x14ac:dyDescent="0.2"/>
  </sheetData>
  <sheetProtection algorithmName="SHA-512" hashValue="EcPM1JoLL3UJ6SNBo0/CC1J4c5hf24OGI2ugeIcCaLTucgynOuIyGJHH7X3pVEFDRRiEXdH9TWy5bhRQk1p0Jg==" saltValue="dGtELuKqFpOVXKGFGBPK1Q==" spinCount="100000" sheet="1" objects="1" scenarios="1"/>
  <mergeCells count="49">
    <mergeCell ref="B23:H23"/>
    <mergeCell ref="V19:X19"/>
    <mergeCell ref="B18:H18"/>
    <mergeCell ref="D9:D10"/>
    <mergeCell ref="V20:X21"/>
    <mergeCell ref="T20:T21"/>
    <mergeCell ref="B20:C20"/>
    <mergeCell ref="B21:C21"/>
    <mergeCell ref="B16:H16"/>
    <mergeCell ref="H9:H10"/>
    <mergeCell ref="C9:C10"/>
    <mergeCell ref="T40:U49"/>
    <mergeCell ref="W48:Y53"/>
    <mergeCell ref="B10:B11"/>
    <mergeCell ref="S7:Y8"/>
    <mergeCell ref="C6:H6"/>
    <mergeCell ref="C7:H7"/>
    <mergeCell ref="U17:V17"/>
    <mergeCell ref="U16:V16"/>
    <mergeCell ref="C8:H8"/>
    <mergeCell ref="B38:H43"/>
    <mergeCell ref="B37:H37"/>
    <mergeCell ref="B29:H29"/>
    <mergeCell ref="B24:F24"/>
    <mergeCell ref="W10:Y11"/>
    <mergeCell ref="W13:Y13"/>
    <mergeCell ref="W14:Y15"/>
    <mergeCell ref="T55:U57"/>
    <mergeCell ref="W55:Y55"/>
    <mergeCell ref="T51:U51"/>
    <mergeCell ref="T54:U54"/>
    <mergeCell ref="W58:Y59"/>
    <mergeCell ref="T58:U58"/>
    <mergeCell ref="U4:V4"/>
    <mergeCell ref="A1:Z2"/>
    <mergeCell ref="L4:O4"/>
    <mergeCell ref="S26:Y26"/>
    <mergeCell ref="T61:U62"/>
    <mergeCell ref="W40:Y45"/>
    <mergeCell ref="W62:Y63"/>
    <mergeCell ref="S27:Y34"/>
    <mergeCell ref="S38:Y38"/>
    <mergeCell ref="T39:U39"/>
    <mergeCell ref="S9:S10"/>
    <mergeCell ref="S6:Y6"/>
    <mergeCell ref="C5:H5"/>
    <mergeCell ref="B15:H15"/>
    <mergeCell ref="B4:H4"/>
    <mergeCell ref="W9:Y9"/>
  </mergeCells>
  <conditionalFormatting sqref="B16">
    <cfRule type="containsBlanks" dxfId="40" priority="23">
      <formula>LEN(TRIM(B16))=0</formula>
    </cfRule>
    <cfRule type="notContainsBlanks" dxfId="39" priority="18">
      <formula>LEN(TRIM(B16))&gt;0</formula>
    </cfRule>
  </conditionalFormatting>
  <conditionalFormatting sqref="C25:C26 D31:D33 H13 D27 C6:H8 H11">
    <cfRule type="notContainsBlanks" dxfId="34" priority="25">
      <formula>LEN(TRIM(C6))&gt;0</formula>
    </cfRule>
  </conditionalFormatting>
  <conditionalFormatting sqref="C6:H8">
    <cfRule type="expression" dxfId="33" priority="28">
      <formula>AND($C$6="",$C$7="",$C$8="")</formula>
    </cfRule>
  </conditionalFormatting>
  <conditionalFormatting sqref="D19:D21">
    <cfRule type="expression" dxfId="32" priority="17">
      <formula>$H$20=""</formula>
    </cfRule>
  </conditionalFormatting>
  <conditionalFormatting sqref="H11 H13 C25:C26 D27 D31">
    <cfRule type="containsBlanks" dxfId="28" priority="31">
      <formula>LEN(TRIM(C11))=0</formula>
    </cfRule>
  </conditionalFormatting>
  <conditionalFormatting sqref="H21">
    <cfRule type="expression" dxfId="27" priority="14">
      <formula>$D$13&lt;&gt;""</formula>
    </cfRule>
    <cfRule type="notContainsBlanks" dxfId="26" priority="13">
      <formula>LEN(TRIM(H21))&gt;0</formula>
    </cfRule>
  </conditionalFormatting>
  <conditionalFormatting sqref="N6:N54">
    <cfRule type="expression" dxfId="25" priority="87">
      <formula>$N$5=""</formula>
    </cfRule>
  </conditionalFormatting>
  <conditionalFormatting sqref="N6:N55">
    <cfRule type="expression" dxfId="24" priority="88">
      <formula>AND($M6&lt;&gt;"",$N6="")</formula>
    </cfRule>
  </conditionalFormatting>
  <conditionalFormatting sqref="N9">
    <cfRule type="expression" dxfId="23" priority="90">
      <formula>AND($M11&lt;&gt;"",$N9="")</formula>
    </cfRule>
  </conditionalFormatting>
  <conditionalFormatting sqref="N11">
    <cfRule type="expression" dxfId="22" priority="91">
      <formula>AND(#REF!&lt;&gt;"",$N11="")</formula>
    </cfRule>
  </conditionalFormatting>
  <conditionalFormatting sqref="S7:Y8">
    <cfRule type="notContainsBlanks" dxfId="20" priority="40">
      <formula>LEN(TRIM(S7))&gt;0</formula>
    </cfRule>
  </conditionalFormatting>
  <conditionalFormatting sqref="T19:T21 V19:X21">
    <cfRule type="expression" dxfId="18" priority="11">
      <formula>OR($C$11="",AND($C$6="",$C$7="",$C$8="",$D$33=""))</formula>
    </cfRule>
  </conditionalFormatting>
  <conditionalFormatting sqref="U4:V4">
    <cfRule type="notContainsBlanks" dxfId="17" priority="21">
      <formula>LEN(TRIM(U4))&gt;0</formula>
    </cfRule>
  </conditionalFormatting>
  <conditionalFormatting sqref="W9:Y9">
    <cfRule type="expression" dxfId="15" priority="15">
      <formula>$W$10=""</formula>
    </cfRule>
  </conditionalFormatting>
  <conditionalFormatting sqref="W13:Y15">
    <cfRule type="containsBlanks" dxfId="14" priority="24">
      <formula>LEN(TRIM(W13))=0</formula>
    </cfRule>
  </conditionalFormatting>
  <dataValidations count="7">
    <dataValidation type="list" allowBlank="1" showInputMessage="1" sqref="C7:H7" xr:uid="{CB723EED-45CA-4B13-A712-B9052E4D6BB9}">
      <formula1>Validation_CAS</formula1>
    </dataValidation>
    <dataValidation type="list" allowBlank="1" showInputMessage="1" sqref="C8:H8" xr:uid="{3E2C516B-25E8-4AE8-BE77-A3FDF587C010}">
      <formula1>Validation_name</formula1>
    </dataValidation>
    <dataValidation type="custom" operator="greaterThan" allowBlank="1" showInputMessage="1" showErrorMessage="1" sqref="M6:M8 M10:M55" xr:uid="{67517F02-82F1-45CB-9C59-6FADA158B734}">
      <formula1>OR($M6="?*",$M6&gt;0)</formula1>
    </dataValidation>
    <dataValidation type="list" allowBlank="1" showInputMessage="1" showErrorMessage="1" sqref="D31 D27" xr:uid="{3D893902-41F0-44E9-B518-AD2511BB1B60}">
      <formula1>lAnswers</formula1>
    </dataValidation>
    <dataValidation type="list" allowBlank="1" showInputMessage="1" showErrorMessage="1" sqref="D32" xr:uid="{98CCC9BB-A9D2-4AA4-9537-F9E08FC890B8}">
      <formula1>IF($B$32&lt;&gt;"",lAnswers,"")</formula1>
    </dataValidation>
    <dataValidation type="list" allowBlank="1" showInputMessage="1" showErrorMessage="1" sqref="U4" xr:uid="{3B15FED4-23B8-4B95-BF31-D514A43C86AB}">
      <formula1>lDistribution</formula1>
    </dataValidation>
    <dataValidation type="list" allowBlank="1" showInputMessage="1" showErrorMessage="1" sqref="B16:H16" xr:uid="{687C144D-C480-429F-BB09-EF3D1229648C}">
      <formula1>lStatistikkMetode</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8" id="{97E97C60-0A61-49BA-A623-967F68055D35}">
            <xm:f>Information!$B$9=INDEX(Tekst!$B$1:$U$300,224,Tabeller!$C$28)</xm:f>
            <x14:dxf>
              <font>
                <color theme="9" tint="0.59996337778862885"/>
              </font>
            </x14:dxf>
          </x14:cfRule>
          <xm:sqref>A18</xm:sqref>
        </x14:conditionalFormatting>
        <x14:conditionalFormatting xmlns:xm="http://schemas.microsoft.com/office/excel/2006/main">
          <x14:cfRule type="expression" priority="10" id="{4E2F2CC0-F562-4DF6-9386-49B36007EFE3}">
            <xm:f>ISNUMBER(MATCH(Information!$B$9,Tekst!$B$224:$U$224,0))</xm:f>
            <x14:dxf>
              <font>
                <color theme="9" tint="0.59996337778862885"/>
              </font>
              <fill>
                <patternFill>
                  <bgColor theme="9" tint="0.59996337778862885"/>
                </patternFill>
              </fill>
              <border>
                <right/>
                <top/>
                <bottom/>
                <vertical/>
                <horizontal/>
              </border>
            </x14:dxf>
          </x14:cfRule>
          <xm:sqref>A15:H21 A29:H33</xm:sqref>
        </x14:conditionalFormatting>
        <x14:conditionalFormatting xmlns:xm="http://schemas.microsoft.com/office/excel/2006/main">
          <x14:cfRule type="expression" priority="22" id="{41F83E09-3CE1-4723-9626-39C6F6787BD5}">
            <xm:f>ISNUMBER(MATCH(Information!$B$9,Tekst!$B$224:$U$224,0))</xm:f>
            <x14:dxf>
              <font>
                <color theme="0"/>
              </font>
              <fill>
                <patternFill>
                  <bgColor theme="0"/>
                </patternFill>
              </fill>
            </x14:dxf>
          </x14:cfRule>
          <xm:sqref>B24:F26 H26 V39:Y45 S51:U55 T55:U57 S56:S58 V57:Y59 T58</xm:sqref>
        </x14:conditionalFormatting>
        <x14:conditionalFormatting xmlns:xm="http://schemas.microsoft.com/office/excel/2006/main">
          <x14:cfRule type="expression" priority="5" id="{2D717B11-846A-4033-A6D1-2F00146CE257}">
            <xm:f>Information!$B$9&lt;&gt;INDEX(Tekst!$B$1:$U$300,224,Tabeller!$C$28)</xm:f>
            <x14:dxf>
              <border>
                <top style="dashDotDot">
                  <color auto="1"/>
                </top>
                <vertical/>
                <horizontal/>
              </border>
            </x14:dxf>
          </x14:cfRule>
          <x14:cfRule type="expression" priority="7" id="{463D0EC5-4096-433D-A12F-F7C580B83714}">
            <xm:f>Information!$B$9=INDEX(Tekst!$B$1:$U$300,224,Tabeller!$C$28)</xm:f>
            <x14:dxf>
              <font>
                <color theme="9" tint="0.59996337778862885"/>
              </font>
              <fill>
                <patternFill>
                  <bgColor theme="9" tint="0.59996337778862885"/>
                </patternFill>
              </fill>
              <border>
                <left/>
                <right/>
                <bottom/>
                <vertical/>
                <horizontal/>
              </border>
            </x14:dxf>
          </x14:cfRule>
          <xm:sqref>B13:H13</xm:sqref>
        </x14:conditionalFormatting>
        <x14:conditionalFormatting xmlns:xm="http://schemas.microsoft.com/office/excel/2006/main">
          <x14:cfRule type="expression" priority="2" id="{6E552BD6-E42B-453A-A0C0-B476E8CFDE13}">
            <xm:f>AND($B$16&lt;&gt;INDEX(Tekst!$B$1:$U$300,194,Tabeller!$C$28),$B$16&lt;&gt;INDEX(Tekst!$B$1:$U$300,195,Tabeller!$C$28),$B$16&lt;&gt;INDEX(Tekst!$B$1:$U$300,196,Tabeller!$C$28),$B$16&lt;&gt;INDEX(Tekst!$B$1:$U$300,197,Tabeller!$C$28),$B$16&lt;&gt;INDEX(Tekst!$B$1:$U$300,198,Tabeller!$C$28))</xm:f>
            <x14:dxf>
              <font>
                <color theme="0"/>
              </font>
              <fill>
                <patternFill>
                  <bgColor rgb="FFFF0000"/>
                </patternFill>
              </fill>
            </x14:dxf>
          </x14:cfRule>
          <xm:sqref>B16:H16</xm:sqref>
        </x14:conditionalFormatting>
        <x14:conditionalFormatting xmlns:xm="http://schemas.microsoft.com/office/excel/2006/main">
          <x14:cfRule type="expression" priority="1" id="{4D2638E2-6342-4A50-9B5E-67861276E271}">
            <xm:f>AND($D27&lt;&gt;INDEX(Tekst!$B$1:$U$300,258,Tabeller!$C$28),$D27&lt;&gt;INDEX(Tekst!$B$1:$U$300,259,Tabeller!$C$28),$D27&lt;&gt;"")</xm:f>
            <x14:dxf>
              <font>
                <color theme="0"/>
              </font>
              <fill>
                <patternFill>
                  <bgColor rgb="FFFF0000"/>
                </patternFill>
              </fill>
            </x14:dxf>
          </x14:cfRule>
          <xm:sqref>D27 D31:D32</xm:sqref>
        </x14:conditionalFormatting>
        <x14:conditionalFormatting xmlns:xm="http://schemas.microsoft.com/office/excel/2006/main">
          <x14:cfRule type="expression" priority="30" id="{00000000-000E-0000-0200-000017000000}">
            <xm:f>AND($D$31=INDEX(Tekst!$B$1:$U$300,258,Tabeller!$C$28),$D$32="")</xm:f>
            <x14:dxf>
              <fill>
                <patternFill>
                  <bgColor rgb="FFFFC000"/>
                </patternFill>
              </fill>
            </x14:dxf>
          </x14:cfRule>
          <xm:sqref>D32</xm:sqref>
        </x14:conditionalFormatting>
        <x14:conditionalFormatting xmlns:xm="http://schemas.microsoft.com/office/excel/2006/main">
          <x14:cfRule type="expression" priority="29" id="{00000000-000E-0000-0200-000016000000}">
            <xm:f>AND($D$32=INDEX(Tekst!$B$1:$U$300,259,Tabeller!$C$28),$D$31=INDEX(Tekst!$B$1:$U$300,258,Tabeller!$C$28))</xm:f>
            <x14:dxf>
              <fill>
                <patternFill>
                  <bgColor rgb="FFFFC000"/>
                </patternFill>
              </fill>
            </x14:dxf>
          </x14:cfRule>
          <xm:sqref>D33</xm:sqref>
        </x14:conditionalFormatting>
        <x14:conditionalFormatting xmlns:xm="http://schemas.microsoft.com/office/excel/2006/main">
          <x14:cfRule type="expression" priority="4" id="{ED66B2EE-C607-4115-85D6-5281C0FF02BC}">
            <xm:f>ISNUMBER(MATCH(Information!$B$9,Tekst!$B$224:$U$224,0))</xm:f>
            <x14:dxf>
              <font>
                <color theme="5" tint="0.59996337778862885"/>
              </font>
              <fill>
                <patternFill>
                  <bgColor theme="5" tint="0.59996337778862885"/>
                </patternFill>
              </fill>
              <border>
                <right/>
                <top/>
                <bottom/>
                <vertical/>
                <horizontal/>
              </border>
            </x14:dxf>
          </x14:cfRule>
          <xm:sqref>R4:V4</xm:sqref>
        </x14:conditionalFormatting>
        <x14:conditionalFormatting xmlns:xm="http://schemas.microsoft.com/office/excel/2006/main">
          <x14:cfRule type="expression" priority="41" id="{1000FF64-4E29-41DB-BC25-86F3EACAC7D5}">
            <xm:f>OR(AND($U$9&lt;6,$D$31=INDEX(Tekst!$B$1:$U$300,258,Tabeller!$C$28),$H$31=""),$U$9&lt;3)</xm:f>
            <x14:dxf>
              <font>
                <color theme="0"/>
              </font>
              <fill>
                <patternFill>
                  <bgColor theme="0"/>
                </patternFill>
              </fill>
            </x14:dxf>
          </x14:cfRule>
          <xm:sqref>S9:Y15 U16 W16:Y17 S17:U17 S18:Y22</xm:sqref>
        </x14:conditionalFormatting>
        <x14:conditionalFormatting xmlns:xm="http://schemas.microsoft.com/office/excel/2006/main">
          <x14:cfRule type="expression" priority="20" id="{9D9534E5-BF96-48EA-B849-E1F7A8DC70B8}">
            <xm:f>AND($U$4&lt;&gt;INDEX(Tekst!$B$1:$U$300,201,Tabeller!$C$28),$U$4&lt;&gt;INDEX(Tekst!$B$1:$U$300,202,Tabeller!$C$28),$U$4&lt;&gt;INDEX(Tekst!$B$1:$U$300,203,Tabeller!$C$28))</xm:f>
            <x14:dxf>
              <font>
                <color theme="0"/>
              </font>
              <fill>
                <patternFill>
                  <bgColor rgb="FFFF0000"/>
                </patternFill>
              </fill>
            </x14:dxf>
          </x14:cfRule>
          <xm:sqref>U4:V4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9E31AAC7-0365-484C-A5BB-653087F3A5DF}">
          <x14:formula1>
            <xm:f>Tabeller!$D$3:$D$6</xm:f>
          </x14:formula1>
          <xm:sqref>H11</xm:sqref>
        </x14:dataValidation>
        <x14:dataValidation type="list" allowBlank="1" showInputMessage="1" showErrorMessage="1" xr:uid="{CB6A507B-B15E-4AA5-B52A-EE9730B413F0}">
          <x14:formula1>
            <xm:f>Tabeller!$H$3:$H$8</xm:f>
          </x14:formula1>
          <xm:sqref>G12 H13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1DE20-8402-4D11-A08E-2F1BD05EA9F6}">
  <sheetPr>
    <tabColor theme="5" tint="0.59999389629810485"/>
  </sheetPr>
  <dimension ref="A1:X79"/>
  <sheetViews>
    <sheetView showGridLines="0" zoomScaleNormal="100" workbookViewId="0">
      <selection activeCell="J17" sqref="J17"/>
    </sheetView>
  </sheetViews>
  <sheetFormatPr baseColWidth="10" defaultColWidth="0" defaultRowHeight="15" zeroHeight="1" x14ac:dyDescent="0.2"/>
  <cols>
    <col min="1" max="1" width="4.5" customWidth="1"/>
    <col min="2" max="2" width="19" bestFit="1" customWidth="1"/>
    <col min="3" max="3" width="32" customWidth="1"/>
    <col min="4" max="4" width="11.5" customWidth="1"/>
    <col min="5" max="5" width="9.5" customWidth="1"/>
    <col min="6" max="6" width="5.83203125" customWidth="1"/>
    <col min="7" max="8" width="3.5" customWidth="1"/>
    <col min="9" max="9" width="21.5" customWidth="1"/>
    <col min="10" max="10" width="11.5" customWidth="1"/>
    <col min="11" max="11" width="12" bestFit="1" customWidth="1"/>
    <col min="12" max="12" width="3.5" customWidth="1"/>
    <col min="13" max="14" width="13.5" customWidth="1"/>
    <col min="15" max="16" width="3.5" customWidth="1"/>
    <col min="17" max="17" width="22.5" customWidth="1"/>
    <col min="18" max="18" width="3.5" customWidth="1"/>
    <col min="19" max="19" width="26.83203125" customWidth="1"/>
    <col min="20" max="20" width="3.5" customWidth="1"/>
    <col min="21" max="21" width="11.5" customWidth="1"/>
    <col min="22" max="25" width="11.5" hidden="1" customWidth="1"/>
    <col min="26" max="16384" width="11.5" hidden="1"/>
  </cols>
  <sheetData>
    <row r="1" spans="1:24" x14ac:dyDescent="0.2">
      <c r="A1" s="481" t="str" cm="1">
        <f t="array" ref="A1">IFERROR(UPPER(INDEX(Tekst!$B$1:$U$300,87,Tabeller!$C$28)),"")</f>
        <v>ANALYSE</v>
      </c>
      <c r="B1" s="482"/>
      <c r="C1" s="482"/>
      <c r="D1" s="482"/>
      <c r="E1" s="482"/>
      <c r="F1" s="482"/>
      <c r="G1" s="482"/>
      <c r="H1" s="482"/>
      <c r="I1" s="482"/>
      <c r="J1" s="482"/>
      <c r="K1" s="482"/>
      <c r="L1" s="482"/>
      <c r="M1" s="482"/>
      <c r="N1" s="482"/>
      <c r="O1" s="482"/>
      <c r="P1" s="482"/>
      <c r="Q1" s="482"/>
      <c r="R1" s="482"/>
      <c r="S1" s="482"/>
      <c r="T1" s="483"/>
      <c r="W1" s="407" t="str">
        <f>IF(Information!B6=Tekst!$B$1,Tekst!$B$210,IF(Information!B6=Tekst!C1,Tekst!$C$210,""))</f>
        <v>Brukte verdier</v>
      </c>
      <c r="X1" s="409"/>
    </row>
    <row r="2" spans="1:24" ht="16" thickBot="1" x14ac:dyDescent="0.25">
      <c r="A2" s="484"/>
      <c r="B2" s="485"/>
      <c r="C2" s="485"/>
      <c r="D2" s="485"/>
      <c r="E2" s="485"/>
      <c r="F2" s="485"/>
      <c r="G2" s="485"/>
      <c r="H2" s="485"/>
      <c r="I2" s="485"/>
      <c r="J2" s="485"/>
      <c r="K2" s="485"/>
      <c r="L2" s="485"/>
      <c r="M2" s="485"/>
      <c r="N2" s="485"/>
      <c r="O2" s="485"/>
      <c r="P2" s="485"/>
      <c r="Q2" s="485"/>
      <c r="R2" s="485"/>
      <c r="S2" s="485"/>
      <c r="T2" s="486"/>
      <c r="W2" s="311" t="str">
        <f>IF('Tables (statistics)'!$H$149=4,IF(Information!B6=Tekst!$B$1,Tekst!B211,IF(Information!B6=Tekst!C1,Tekst!C211,"")),"")</f>
        <v>Aritmetisk</v>
      </c>
      <c r="X2" s="312" t="str">
        <f>IF('Tables (statistics)'!$H$149=4,IF(Information!B6=Tekst!$B$1,Tekst!B212,IF(Information!B6=Tekst!C1,Tekst!C212,"")),"")</f>
        <v>Geometrisk</v>
      </c>
    </row>
    <row r="3" spans="1:24" ht="16" thickBot="1" x14ac:dyDescent="0.25">
      <c r="A3" s="112"/>
      <c r="B3" s="82"/>
      <c r="C3" s="82"/>
      <c r="D3" s="82"/>
      <c r="E3" s="82"/>
      <c r="F3" s="82"/>
      <c r="G3" s="113"/>
      <c r="H3" s="82"/>
      <c r="I3" s="82"/>
      <c r="J3" s="82"/>
      <c r="K3" s="82"/>
      <c r="L3" s="82"/>
      <c r="M3" s="82"/>
      <c r="N3" s="82"/>
      <c r="O3" s="82"/>
      <c r="P3" s="82"/>
      <c r="Q3" s="82"/>
      <c r="R3" s="82"/>
      <c r="S3" s="82"/>
      <c r="T3" s="83"/>
      <c r="W3" s="313">
        <f>Survey!O6</f>
        <v>21</v>
      </c>
      <c r="X3" s="314">
        <f>IF('Tables (statistics)'!$H$149=4,Calc!N3,"")</f>
        <v>21</v>
      </c>
    </row>
    <row r="4" spans="1:24" ht="15" customHeight="1" thickBot="1" x14ac:dyDescent="0.25">
      <c r="A4" s="112"/>
      <c r="B4" s="515" t="str" cm="1">
        <f t="array" ref="B4">IFERROR(INDEX(Tekst!$B$1:$U$300,32,Tabeller!$C$28),"")</f>
        <v>Beskrivende statistikk (utvalg)</v>
      </c>
      <c r="C4" s="516"/>
      <c r="D4" s="516"/>
      <c r="E4" s="517"/>
      <c r="F4" s="292"/>
      <c r="G4" s="115"/>
      <c r="H4" s="82"/>
      <c r="I4" s="596" t="str" cm="1">
        <f t="array" ref="I4">IFERROR(INDEX(Tekst!$B$1:$U$300,48,Tabeller!$C$28),"")</f>
        <v>Statistisk analyse (av eksponeringen for SEG)</v>
      </c>
      <c r="J4" s="597"/>
      <c r="K4" s="597"/>
      <c r="L4" s="597"/>
      <c r="M4" s="597"/>
      <c r="N4" s="597"/>
      <c r="O4" s="597"/>
      <c r="P4" s="597"/>
      <c r="Q4" s="597"/>
      <c r="R4" s="597"/>
      <c r="S4" s="598"/>
      <c r="T4" s="83"/>
      <c r="W4" s="315">
        <f>Survey!O7</f>
        <v>1.9</v>
      </c>
      <c r="X4" s="316">
        <f>IF('Tables (statistics)'!$H$149=4,Calc!N4,"")</f>
        <v>1.9</v>
      </c>
    </row>
    <row r="5" spans="1:24" ht="16" thickBot="1" x14ac:dyDescent="0.25">
      <c r="A5" s="112"/>
      <c r="B5" s="601" t="str" cm="1">
        <f t="array" ref="B5">IFERROR(INDEX(Tekst!$B$1:$U$300,20,Tabeller!$C$28),"")</f>
        <v>Antall</v>
      </c>
      <c r="C5" s="216" t="str" cm="1">
        <f t="array" ref="C5">IFERROR(INDEX(Tekst!$B$1:$U$300,15,Tabeller!$C$28),"")</f>
        <v>Målinger (n)</v>
      </c>
      <c r="D5" s="599">
        <f>Calc!X1</f>
        <v>8</v>
      </c>
      <c r="E5" s="600"/>
      <c r="F5" s="82"/>
      <c r="G5" s="115"/>
      <c r="H5" s="82"/>
      <c r="I5" s="82"/>
      <c r="J5" s="82"/>
      <c r="K5" s="82"/>
      <c r="L5" s="82"/>
      <c r="M5" s="87"/>
      <c r="N5" s="87"/>
      <c r="O5" s="82"/>
      <c r="P5" s="113"/>
      <c r="Q5" s="82"/>
      <c r="R5" s="82"/>
      <c r="S5" s="82"/>
      <c r="T5" s="83"/>
      <c r="W5" s="315">
        <f>Survey!O8</f>
        <v>5.8</v>
      </c>
      <c r="X5" s="316">
        <f>IF('Tables (statistics)'!$H$149=4,Calc!N5,"")</f>
        <v>5.8</v>
      </c>
    </row>
    <row r="6" spans="1:24" x14ac:dyDescent="0.2">
      <c r="A6" s="112"/>
      <c r="B6" s="532"/>
      <c r="C6" t="str" cm="1">
        <f t="array" ref="C6">IFERROR(INDEX(Tekst!$B$1:$U$300,16,Tabeller!$C$28),"")</f>
        <v>Målinger under DG (m)</v>
      </c>
      <c r="D6" s="604">
        <f>Calc!X2</f>
        <v>0</v>
      </c>
      <c r="E6" s="605"/>
      <c r="F6" s="82"/>
      <c r="G6" s="115"/>
      <c r="H6" s="82"/>
      <c r="I6" s="407" t="str" cm="1">
        <f t="array" ref="I6">IFERROR(INDEX(Tekst!$B$1:$U$300,40,Tabeller!$C$28),"")</f>
        <v>Fordeling - test (n &gt; 2, k &gt; 1)</v>
      </c>
      <c r="J6" s="408"/>
      <c r="K6" s="409"/>
      <c r="L6" s="82"/>
      <c r="M6" s="590" t="str" cm="1">
        <f t="array" ref="M6">IF($D$5&lt;11,IFERROR(INDEX(Tekst!$B$1:$U$300,39,Tabeller!$C$28),""),"")</f>
        <v>Hvis n ≤ 10 antas log-normalfordeling</v>
      </c>
      <c r="N6" s="591"/>
      <c r="O6" s="114"/>
      <c r="P6" s="115"/>
      <c r="Q6" s="407" t="str" cm="1">
        <f t="array" ref="Q6">IFERROR(INDEX(Tekst!$B$1:$U$300,22,Tabeller!$C$28),"")</f>
        <v>Forslag - periodiske målinger</v>
      </c>
      <c r="R6" s="408"/>
      <c r="S6" s="409"/>
      <c r="T6" s="83"/>
      <c r="W6" s="315">
        <f>Survey!O9</f>
        <v>17</v>
      </c>
      <c r="X6" s="316">
        <f>IF('Tables (statistics)'!$H$149=4,Calc!N6,"")</f>
        <v>17</v>
      </c>
    </row>
    <row r="7" spans="1:24" ht="16" thickBot="1" x14ac:dyDescent="0.25">
      <c r="A7" s="112"/>
      <c r="B7" s="589"/>
      <c r="C7" s="61" t="str" cm="1">
        <f t="array" ref="C7">IFERROR(INDEX(Tekst!$B$1:$U$300,249,Tabeller!$C$28),"")</f>
        <v>Målinger over DL (k)</v>
      </c>
      <c r="D7" s="602">
        <f>Calc!X3</f>
        <v>8</v>
      </c>
      <c r="E7" s="603"/>
      <c r="F7" s="82"/>
      <c r="G7" s="115"/>
      <c r="H7" s="82"/>
      <c r="I7" s="117"/>
      <c r="J7" s="118" t="str" cm="1">
        <f t="array" ref="J7">INDEX(Tekst!$B$1:$U$300,34,Tabeller!$C$28)</f>
        <v>Normal</v>
      </c>
      <c r="K7" s="119" t="str" cm="1">
        <f t="array" ref="K7">INDEX(Tekst!$B$1:$U$300,35,Tabeller!$C$28)</f>
        <v>Log-normal</v>
      </c>
      <c r="L7" s="81"/>
      <c r="M7" s="587"/>
      <c r="N7" s="592"/>
      <c r="O7" s="114"/>
      <c r="P7" s="115"/>
      <c r="Q7" s="4"/>
      <c r="S7" s="5"/>
      <c r="T7" s="83"/>
      <c r="W7" s="315">
        <f>Survey!O10</f>
        <v>1.7</v>
      </c>
      <c r="X7" s="316">
        <f>IF('Tables (statistics)'!$H$149=4,Calc!N7,"")</f>
        <v>1.7</v>
      </c>
    </row>
    <row r="8" spans="1:24" ht="16" thickBot="1" x14ac:dyDescent="0.25">
      <c r="A8" s="81"/>
      <c r="B8" s="4"/>
      <c r="E8" s="5"/>
      <c r="F8" s="82"/>
      <c r="G8" s="115"/>
      <c r="H8" s="82"/>
      <c r="I8" s="120" t="s">
        <v>120</v>
      </c>
      <c r="J8" s="121">
        <f>IFERROR(IF(OR($D$13=0,$D$5&lt;3,$D$7&lt;2),"N/A",'Calc (W-test)'!$C$5),"")</f>
        <v>0.82343295612087408</v>
      </c>
      <c r="K8" s="122">
        <f>IFERROR(IF(OR($D$13=0,$D$5&lt;3,$D$7&lt;2),"N/A",'Calc (W-test)'!$C$6),"")</f>
        <v>0.88115970935373888</v>
      </c>
      <c r="L8" s="81"/>
      <c r="M8" s="588"/>
      <c r="N8" s="593"/>
      <c r="O8" s="114"/>
      <c r="P8" s="115"/>
      <c r="Q8" s="116" t="str" cm="1">
        <f t="array" ref="Q8">IFERROR(INDEX(Tekst!$B$1:$U$300,251,Tabeller!$C$28),"")</f>
        <v>Nye målinger</v>
      </c>
      <c r="R8" t="s">
        <v>200</v>
      </c>
      <c r="S8" s="123">
        <f>IF(Calc!X3=0,"N/A",IFERROR(ROUND(IF($I$22=Tekst!$B$202,EXP(LN($K$17)-LN(Survey!$E$11)),IF($I$22=Tekst!$B$203,$J$17/Survey!$E$11,IF($K$8&gt;$J$8,EXP(LN($K$17)-LN(Survey!$E$11)),$J$17/Survey!$E$11))),2),""))</f>
        <v>2.12</v>
      </c>
      <c r="T8" s="83"/>
      <c r="W8" s="315">
        <f>Survey!O11</f>
        <v>2.7</v>
      </c>
      <c r="X8" s="316">
        <f>IF('Tables (statistics)'!$H$149=4,Calc!N8,"")</f>
        <v>2.7</v>
      </c>
    </row>
    <row r="9" spans="1:24" ht="15" customHeight="1" thickBot="1" x14ac:dyDescent="0.25">
      <c r="A9" s="112"/>
      <c r="B9" s="116"/>
      <c r="C9" s="1"/>
      <c r="D9" s="257" t="str" cm="1">
        <f t="array" ref="D9">IFERROR(INDEX(Tekst!$B$1:$U$300,149,Tabeller!$C$28),"")</f>
        <v>≥ DG</v>
      </c>
      <c r="E9" s="258" t="str" cm="1">
        <f t="array" ref="E9">IFERROR(INDEX(Tekst!$B$1:$U$300,148,Tabeller!$C$28),"")</f>
        <v>DG just.</v>
      </c>
      <c r="F9" s="293"/>
      <c r="G9" s="115"/>
      <c r="H9" s="83"/>
      <c r="I9" s="124" t="s">
        <v>119</v>
      </c>
      <c r="J9" s="125" t="str">
        <f>IFERROR(IF(Information!$B$6=Tekst!$B$1,'Calc (W-test)'!$T$3,INDEX(Tabeller!$K$3:$L$4,MATCH('Calc (W-test)'!$T$3,Tabeller!$K$3:$K$4,0),2)),"")</f>
        <v>Ja</v>
      </c>
      <c r="K9" s="126" t="str">
        <f>IFERROR(IF(Information!$B$6=Tekst!$B$1,'Calc (W-test)'!$T$4,INDEX(Tabeller!$K$3:$L$4,MATCH('Calc (W-test)'!$T$4,Tabeller!$K$3:$K$4,0),2)),"")</f>
        <v>Ja</v>
      </c>
      <c r="L9" s="82"/>
      <c r="M9" s="127"/>
      <c r="N9" s="127"/>
      <c r="O9" s="82"/>
      <c r="P9" s="115"/>
      <c r="Q9" s="47"/>
      <c r="R9" s="61"/>
      <c r="S9" s="48"/>
      <c r="T9" s="83"/>
      <c r="W9" s="315">
        <f>Survey!O12</f>
        <v>6.3</v>
      </c>
      <c r="X9" s="316">
        <f>IF('Tables (statistics)'!$H$149=4,Calc!N9,"")</f>
        <v>6.3</v>
      </c>
    </row>
    <row r="10" spans="1:24" ht="16" thickBot="1" x14ac:dyDescent="0.25">
      <c r="A10" s="112"/>
      <c r="B10" s="116"/>
      <c r="C10" t="str" cm="1">
        <f t="array" ref="C10">IFERROR(INDEX(Tekst!$B$1:$U$300,18,Tabeller!$C$28),"")</f>
        <v>Minste verdi (minimum)</v>
      </c>
      <c r="D10" s="360">
        <f>IFERROR(ROUND(Calc!X5,3),"")</f>
        <v>1.7</v>
      </c>
      <c r="E10" s="363">
        <f>IFERROR(ROUND(Calc!Y5,3),"")</f>
        <v>1.7</v>
      </c>
      <c r="F10" s="293" t="str">
        <f>IF($D$5-$D$6&lt;=0,"","")</f>
        <v/>
      </c>
      <c r="G10" s="115"/>
      <c r="H10" s="82"/>
      <c r="I10" s="82"/>
      <c r="J10" s="82"/>
      <c r="K10" s="82"/>
      <c r="L10" s="82"/>
      <c r="M10" s="594" t="str" cm="1">
        <f t="array" ref="M10">IF($M$11&lt;&gt;"",IF($D$5&lt;6,IFERROR(INDEX(Tekst!$B$1:$U$300,44,Tabeller!$C$28),""),IF($D$5&gt;5,IFERROR(INDEX(Tekst!$B$1:$U$300,67,Tabeller!$C$28),""),"")),"")</f>
        <v>Kriterier (n ≥ 6)</v>
      </c>
      <c r="N10" s="595"/>
      <c r="O10" s="82"/>
      <c r="P10" s="115"/>
      <c r="Q10" s="82"/>
      <c r="R10" s="82"/>
      <c r="S10" s="82"/>
      <c r="T10" s="83"/>
      <c r="W10" s="315">
        <f>Survey!O13</f>
        <v>18.899999999999999</v>
      </c>
      <c r="X10" s="316">
        <f>IF('Tables (statistics)'!$H$149=4,Calc!N10,"")</f>
        <v>18.899999999999999</v>
      </c>
    </row>
    <row r="11" spans="1:24" x14ac:dyDescent="0.2">
      <c r="A11" s="112"/>
      <c r="B11" s="116"/>
      <c r="C11" t="str" cm="1">
        <f t="array" ref="C11">IFERROR(INDEX(Tekst!$B$1:$U$300,19,Tabeller!$C$28),"")</f>
        <v>Median</v>
      </c>
      <c r="D11" s="361">
        <f>IFERROR(ROUND(Calc!X6,3),"")</f>
        <v>6.05</v>
      </c>
      <c r="E11" s="364">
        <f>IFERROR(ROUND(Calc!Y6,3),"")</f>
        <v>6.05</v>
      </c>
      <c r="F11" s="293"/>
      <c r="G11" s="115"/>
      <c r="H11" s="82"/>
      <c r="I11" s="407" t="str" cm="1">
        <f t="array" ref="I11">IFERROR(INDEX(Tekst!$B$1:$U$300,65,Tabeller!$C$28),"")</f>
        <v>Fordeling - statistikk (n &gt; 2, k &gt; 1)</v>
      </c>
      <c r="J11" s="408"/>
      <c r="K11" s="409"/>
      <c r="L11" s="82"/>
      <c r="M11" s="587" t="str" cm="1">
        <f t="array" ref="M11">IF(AND($D$5&lt;6,$D$5&gt;2),IFERROR(INDEX(Tekst!$B$1:$U$300,42,Tabeller!$C$28),""),IF($D$5&gt;5,IFERROR(INDEX(Tekst!$B$1:$U$300,43,Tabeller!$C$28),""),""))</f>
        <v>Øvre 70% konfidensgrense til 95%-il skal være under GV</v>
      </c>
      <c r="N11" s="592"/>
      <c r="O11" s="82"/>
      <c r="P11" s="115"/>
      <c r="Q11" s="581" t="str" cm="1">
        <f t="array" ref="Q11">IFERROR(INDEX(Tekst!$B$1:$U$300,252,Tabeller!$C$28),"")</f>
        <v>Foreslått vurdering av "J"</v>
      </c>
      <c r="R11" s="582"/>
      <c r="S11" s="583"/>
      <c r="T11" s="83"/>
      <c r="W11" s="315" t="str">
        <f>Survey!O14</f>
        <v/>
      </c>
      <c r="X11" s="316" t="str">
        <f>IF('Tables (statistics)'!$H$149=4,Calc!N11,"")</f>
        <v/>
      </c>
    </row>
    <row r="12" spans="1:24" x14ac:dyDescent="0.2">
      <c r="A12" s="112"/>
      <c r="B12" s="116"/>
      <c r="C12" t="str" cm="1">
        <f t="array" ref="C12">IFERROR(INDEX(Tekst!$B$1:$U$300,17,Tabeller!$C$28),"")</f>
        <v>Høyeste verdi (maksimum)</v>
      </c>
      <c r="D12" s="361">
        <f>IFERROR(ROUND(Calc!X7,3),"")</f>
        <v>21</v>
      </c>
      <c r="E12" s="364">
        <f>IFERROR(ROUND(Calc!Y7,3),"")</f>
        <v>21</v>
      </c>
      <c r="F12" s="293"/>
      <c r="G12" s="115"/>
      <c r="H12" s="82"/>
      <c r="I12" s="128"/>
      <c r="J12" s="129" t="str" cm="1">
        <f t="array" ref="J12">INDEX(Tekst!$B$1:$U$300,34,Tabeller!$C$28)</f>
        <v>Normal</v>
      </c>
      <c r="K12" s="130" t="str" cm="1">
        <f t="array" ref="K12">INDEX(Tekst!$B$1:$U$300,35,Tabeller!$C$28)</f>
        <v>Log-normal</v>
      </c>
      <c r="L12" s="82"/>
      <c r="M12" s="587"/>
      <c r="N12" s="592"/>
      <c r="O12" s="82"/>
      <c r="P12" s="115"/>
      <c r="Q12" s="328" t="s">
        <v>259</v>
      </c>
      <c r="R12" s="614" t="str">
        <f>IF(Information!$B$6=Tekst!$B$1,Tabeller!$D$63,IF(Information!$B$6=Tekst!$C$1,Tabeller!$E$63,IF(Information!$B$6=Tekst!$D$1,Tabeller!$F$63,"")))</f>
        <v>vurder om nødvendig</v>
      </c>
      <c r="S12" s="615"/>
      <c r="T12" s="83"/>
      <c r="V12" s="1"/>
      <c r="W12" s="315" t="str">
        <f>Survey!O15</f>
        <v/>
      </c>
      <c r="X12" s="316" t="str">
        <f>IF('Tables (statistics)'!$H$149=4,Calc!N12,"")</f>
        <v/>
      </c>
    </row>
    <row r="13" spans="1:24" ht="16" thickBot="1" x14ac:dyDescent="0.25">
      <c r="A13" s="112"/>
      <c r="B13" s="116"/>
      <c r="C13" t="str" cm="1">
        <f t="array" ref="C13">IFERROR(INDEX(Tekst!$B$1:$U$300,33,Tabeller!$C$28),"")</f>
        <v>Variasjonsbredde (spredning)</v>
      </c>
      <c r="D13" s="361">
        <f>IFERROR(ROUND(Calc!X8,3),"")</f>
        <v>19.3</v>
      </c>
      <c r="E13" s="364">
        <f>IFERROR(ROUND(Calc!Y8,3),"")</f>
        <v>19.3</v>
      </c>
      <c r="F13" s="82"/>
      <c r="G13" s="115"/>
      <c r="H13" s="82"/>
      <c r="I13" s="331" t="s">
        <v>227</v>
      </c>
      <c r="J13" s="121"/>
      <c r="K13" s="122">
        <f>IFERROR(IF(OR($D$13=0,$D$5&lt;3,$D$7&lt;2),"N/A",'Stats - distribution'!$D$19),"")</f>
        <v>9.6828720587525439</v>
      </c>
      <c r="L13" s="82"/>
      <c r="M13" s="588"/>
      <c r="N13" s="593"/>
      <c r="O13" s="82"/>
      <c r="P13" s="115"/>
      <c r="Q13" s="295" t="s">
        <v>1617</v>
      </c>
      <c r="R13" s="614" t="str">
        <f>IF(Information!$B$6=Tekst!$B$1,Tabeller!$D$64,IF(Information!$B$6=Tekst!$C$1,Tabeller!$E$64,IF(Information!$B$6=Tekst!$D$1,Tabeller!$F$64,"")))</f>
        <v>innen 36 måneder</v>
      </c>
      <c r="S13" s="615"/>
      <c r="T13" s="83"/>
      <c r="W13" s="315" t="str">
        <f>Survey!O16</f>
        <v/>
      </c>
      <c r="X13" s="316" t="str">
        <f>IF('Tables (statistics)'!$H$149=4,Calc!N13,"")</f>
        <v/>
      </c>
    </row>
    <row r="14" spans="1:24" ht="15" customHeight="1" thickBot="1" x14ac:dyDescent="0.25">
      <c r="A14" s="81"/>
      <c r="B14" s="343"/>
      <c r="C14" s="344" t="str">
        <f>IF(Information!$B$6=Tekst!$B$1,CONCATENATE(Tekst!$B$66," ",Tekst!$B$3),IF(Information!$B$6=Tekst!$C$1,CONCATENATE(Tekst!$C$66," ",Tekst!$C$3),""))</f>
        <v>Prosent over Grenseverdi</v>
      </c>
      <c r="D14" s="362">
        <f>Calc!X9</f>
        <v>0</v>
      </c>
      <c r="E14" s="365">
        <f>Calc!Y9</f>
        <v>0</v>
      </c>
      <c r="F14" s="82"/>
      <c r="G14" s="115"/>
      <c r="H14" s="82"/>
      <c r="I14" s="331" t="s">
        <v>98</v>
      </c>
      <c r="J14" s="121">
        <f>IFERROR(IF(OR($D$13=0,$D$5&lt;3,$D$7&lt;2),"N/A",'Stats - distribution'!$H$5),"")</f>
        <v>9.4125000000000014</v>
      </c>
      <c r="K14" s="122"/>
      <c r="L14" s="82"/>
      <c r="M14" s="131"/>
      <c r="N14" s="131"/>
      <c r="O14" s="82"/>
      <c r="P14" s="115"/>
      <c r="Q14" s="295" t="s">
        <v>1618</v>
      </c>
      <c r="R14" s="614" t="str">
        <f>IF(Information!$B$6=Tekst!$B$1,Tabeller!$D$65,IF(Information!$B$6=Tekst!$C$1,Tabeller!$E$65,IF(Information!$B$6=Tekst!$D$1,Tabeller!$F$65,"")))</f>
        <v>innen 24 måneder</v>
      </c>
      <c r="S14" s="615"/>
      <c r="T14" s="83"/>
      <c r="W14" s="315" t="str">
        <f>Survey!O17</f>
        <v/>
      </c>
      <c r="X14" s="316" t="str">
        <f>IF('Tables (statistics)'!$H$149=4,Calc!N14,"")</f>
        <v/>
      </c>
    </row>
    <row r="15" spans="1:24" ht="15" customHeight="1" x14ac:dyDescent="0.2">
      <c r="A15" s="112"/>
      <c r="B15" s="4"/>
      <c r="D15" s="361"/>
      <c r="E15" s="366"/>
      <c r="F15" s="293"/>
      <c r="G15" s="115"/>
      <c r="H15" s="82"/>
      <c r="I15" s="332"/>
      <c r="J15" s="121"/>
      <c r="K15" s="122"/>
      <c r="L15" s="82"/>
      <c r="M15" s="629" t="str" cm="1">
        <f t="array" ref="M15">IFERROR(INDEX(Tekst!$B$1:$U$300,231,Tabeller!$C$28),"")</f>
        <v>Håndtering  av verdier &lt; DG</v>
      </c>
      <c r="N15" s="630"/>
      <c r="O15" s="82"/>
      <c r="P15" s="115"/>
      <c r="Q15" s="295" t="s">
        <v>1619</v>
      </c>
      <c r="R15" s="614" t="str">
        <f>IF(Information!$B$6=Tekst!$B$1,Tabeller!$D$66,IF(Information!$B$6=Tekst!$C$1,Tabeller!$E$66,IF(Information!$B$6=Tekst!$D$1,Tabeller!$F$66,"")))</f>
        <v>innen 12 måneder</v>
      </c>
      <c r="S15" s="615"/>
      <c r="T15" s="83"/>
      <c r="W15" s="315" t="str">
        <f>Survey!O18</f>
        <v/>
      </c>
      <c r="X15" s="316" t="str">
        <f>IF('Tables (statistics)'!$H$149=4,Calc!N15,"")</f>
        <v/>
      </c>
    </row>
    <row r="16" spans="1:24" x14ac:dyDescent="0.2">
      <c r="A16" s="112"/>
      <c r="B16" s="532" t="str" cm="1">
        <f t="array" ref="B16">IFERROR(INDEX(Tekst!$B$1:$U$300,34,Tabeller!$C$28),"")</f>
        <v>Normal</v>
      </c>
      <c r="C16" t="str" cm="1">
        <f t="array" ref="C16">IFERROR(INDEX(Tekst!$B$1:$U$300,24,Tabeller!$C$28),"")</f>
        <v>Aritmetisk middelverdi (AM)</v>
      </c>
      <c r="D16" s="361">
        <f>IFERROR(ROUND(Calc!X11,3),"")</f>
        <v>9.4130000000000003</v>
      </c>
      <c r="E16" s="364">
        <f>IFERROR(ROUND(Calc!Y11,3),"")</f>
        <v>9.4130000000000003</v>
      </c>
      <c r="F16" s="293"/>
      <c r="G16" s="115"/>
      <c r="H16" s="82"/>
      <c r="I16" s="331" t="str" cm="1">
        <f t="array" ref="I16">IFERROR(INDEX(Tekst!$B$1:$U$300,255,Tabeller!$C$28),"")</f>
        <v>95%-il (estimat -z)</v>
      </c>
      <c r="J16" s="121">
        <f>IFERROR(IF(OR($D$13=0,$D$5&lt;3,$D$7&lt;2),"N/A",IF(Calc!AC2&lt;&gt;4,E16+E17*1.645,Beta!R18)),"")</f>
        <v>22.827974999999999</v>
      </c>
      <c r="K16" s="122">
        <f>IFERROR(IF(OR($D$13=0,$D$5&lt;3,$D$7&lt;2),"N/A",IF(Calc!AC2&lt;&gt;4,E19*E20^1.645,Beta!Q18)),"")</f>
        <v>34.037425582807302</v>
      </c>
      <c r="L16" s="82"/>
      <c r="M16" s="587" t="str">
        <f>IF(OR(LEFT(Calc!$AB$2,1)="0",Information!$B$9=Tekst!$B$224),IF(OR($D$5&lt;3,$D$7&lt;=2),CONCATENATE("n &lt; 3 or k ≤ 2
",IF(Information!B6=Tekst!$B$1,Tekst!$B$45,IF(Information!B6=Tekst!C1,Tekst!C45,""))),IF(AND($D$5&gt;=3,$D$7&gt;2),CONCATENATE("n ≥ 3 &amp; k &gt; 2
",IF(Information!B6=Tekst!$B$1,Tekst!B46,IF(Information!B6=Tekst!C1,Tekst!C46,""))),"")),_xlfn.CONCAT(IF(Information!$B$6=Tekst!$B$1,Tekst!$B$230,IF(Information!$B$6=Tekst!C1,Tekst!$C$230,""))," 
",INDEX('Tables (statistics)'!$B$148:$C$153,MATCH(LEFT(Calc!$AB$2,1)*1,'Tables (statistics)'!$B$148:$B$153,0),2)))</f>
        <v>n ≥ 3 &amp; k &gt; 2
Beta metode er brukt</v>
      </c>
      <c r="N16" s="592"/>
      <c r="O16" s="82"/>
      <c r="P16" s="115"/>
      <c r="Q16" s="587" t="s">
        <v>1630</v>
      </c>
      <c r="R16" s="625" t="str">
        <f>IF(Information!$B$6=Tekst!$B$1,Tabeller!$D$67,IF(Information!$B$6=Tekst!$C$1,Tabeller!$E$67,IF(Information!$B$6=Tekst!$D$1,Tabeller!$F$67,"")))</f>
        <v>etter implementring av risikoreduserende tiltak</v>
      </c>
      <c r="S16" s="626"/>
      <c r="T16" s="83"/>
      <c r="W16" s="315" t="str">
        <f>Survey!O19</f>
        <v/>
      </c>
      <c r="X16" s="316" t="str">
        <f>IF('Tables (statistics)'!$H$149=4,Calc!N16,"")</f>
        <v/>
      </c>
    </row>
    <row r="17" spans="1:24" ht="16" thickBot="1" x14ac:dyDescent="0.25">
      <c r="A17" s="112"/>
      <c r="B17" s="532"/>
      <c r="C17" t="str">
        <f>IFERROR(_xlfn.CONCAT(INDEX(Tekst!$B$1:$U$300,37,Tabeller!$C$28)," (SD)"),"")</f>
        <v>Standardavvik (SD)</v>
      </c>
      <c r="D17" s="361">
        <f>IFERROR(ROUND(Calc!X12,3),"")</f>
        <v>8.1549999999999994</v>
      </c>
      <c r="E17" s="364">
        <f>IFERROR(ROUND(Calc!Y12,3),"")</f>
        <v>8.1549999999999994</v>
      </c>
      <c r="F17" s="82"/>
      <c r="G17" s="115"/>
      <c r="H17" s="82"/>
      <c r="I17" s="333" t="str" cm="1">
        <f t="array" ref="I17">IFERROR(INDEX(Tekst!$B$1:$U$300,256,Tabeller!$C$28),"")</f>
        <v>U_T (EØK 95%, 70%)</v>
      </c>
      <c r="J17" s="121">
        <f>IFERROR(IF(OR($D$13=0,$D$5&lt;3,$D$7&lt;2),"N/A",IF('Tables (statistics)'!$H$149&lt;&gt;4,E16+E17*'Stats - distribution'!D23,Beta!R19)),"")</f>
        <v>26.310396354280311</v>
      </c>
      <c r="K17" s="122">
        <f>IFERROR(IF(OR($D$13=0,$D$5&lt;3,$D$7&lt;2),"N/A",IF('Tables (statistics)'!$H$149&lt;&gt;4,E19*E20^'Stats - distribution'!D23,Beta!Q19)),"")</f>
        <v>52.971738036210645</v>
      </c>
      <c r="L17" s="82"/>
      <c r="M17" s="588"/>
      <c r="N17" s="593"/>
      <c r="O17" s="82"/>
      <c r="P17" s="115"/>
      <c r="Q17" s="588"/>
      <c r="R17" s="627"/>
      <c r="S17" s="628"/>
      <c r="T17" s="83"/>
      <c r="W17" s="315" t="str">
        <f>Survey!O20</f>
        <v/>
      </c>
      <c r="X17" s="316" t="str">
        <f>IF('Tables (statistics)'!$H$149=4,Calc!N17,"")</f>
        <v/>
      </c>
    </row>
    <row r="18" spans="1:24" ht="15" customHeight="1" thickBot="1" x14ac:dyDescent="0.25">
      <c r="A18" s="112"/>
      <c r="B18" s="282"/>
      <c r="D18" s="361"/>
      <c r="E18" s="364"/>
      <c r="F18" s="293"/>
      <c r="G18" s="115"/>
      <c r="H18" s="82"/>
      <c r="I18" s="332"/>
      <c r="J18" s="121"/>
      <c r="K18" s="122"/>
      <c r="L18" s="82"/>
      <c r="M18" s="82"/>
      <c r="N18" s="82"/>
      <c r="O18" s="82"/>
      <c r="P18" s="115"/>
      <c r="Q18" s="82"/>
      <c r="R18" s="82"/>
      <c r="S18" s="82"/>
      <c r="T18" s="83"/>
      <c r="W18" s="315" t="str">
        <f>Survey!O21</f>
        <v/>
      </c>
      <c r="X18" s="316" t="str">
        <f>IF('Tables (statistics)'!$H$149=4,Calc!N18,"")</f>
        <v/>
      </c>
    </row>
    <row r="19" spans="1:24" ht="15" customHeight="1" thickBot="1" x14ac:dyDescent="0.25">
      <c r="A19" s="112"/>
      <c r="B19" s="532" t="str" cm="1">
        <f t="array" ref="B19">IFERROR(INDEX(Tekst!$B$1:$U$300,35,Tabeller!$C$28),"")</f>
        <v>Log-normal</v>
      </c>
      <c r="C19" t="str">
        <f>IFERROR(_xlfn.CONCAT(INDEX(Tekst!$B$1:$U$300,212,Tabeller!$C$28)," mean (GM)"),"")</f>
        <v>Geometrisk mean (GM)</v>
      </c>
      <c r="D19" s="361">
        <f>IFERROR(ROUND(Calc!X14,3),"")</f>
        <v>6.1879999999999997</v>
      </c>
      <c r="E19" s="366">
        <f>IFERROR(ROUND(Calc!Y14,3),"")</f>
        <v>6.1879999999999997</v>
      </c>
      <c r="F19" s="293"/>
      <c r="G19" s="115"/>
      <c r="H19" s="82"/>
      <c r="I19" s="334" t="str" cm="1">
        <f t="array" ref="I19">IFERROR(CONCATENATE(INDEX(Tekst!$B$1:$U$300,66,Tabeller!$C$28)," ",INDEX(Tekst!$B$1:$U$300,3,Tabeller!$C$28)),"")</f>
        <v>Prosent over Grenseverdi</v>
      </c>
      <c r="J19" s="381">
        <f>IFERROR(IF(OR($D$13=0,$D$5&lt;3,$D$7&lt;2),"N/A",100*(1-NORMDIST(Survey!$E$11,$J$13,STDEV(Calc!$G$3:$G$52),TRUE()))),"")</f>
        <v>0.10866396772724052</v>
      </c>
      <c r="K19" s="382">
        <f>IFERROR(IF(OR($D$13=0,$D$5&lt;3,$D$7&lt;2),"N/A",100*(1-LOGNORMDIST(Survey!$E$11,AVERAGE(Calc!$P$3:$P$52),_xlfn.STDEV.S(Calc!$P$3:$P$52)))),"")</f>
        <v>8.8927185923717396</v>
      </c>
      <c r="L19" s="82"/>
      <c r="M19" s="584" t="str" cm="1">
        <f t="array" ref="M19">IFERROR(INDEX(Tekst!$B$1:$U$300,21,Tabeller!$C$28),"")</f>
        <v>Veiledende konklusjon</v>
      </c>
      <c r="N19" s="586"/>
      <c r="O19" s="82"/>
      <c r="P19" s="115"/>
      <c r="Q19" s="622" t="str" cm="1">
        <f t="array" ref="Q19">IFERROR(INDEX(Tekst!$B$1:$U$300,64,Tabeller!$C$28),"")</f>
        <v>Anbefalt ny kartlegging</v>
      </c>
      <c r="R19" s="623"/>
      <c r="S19" s="624"/>
      <c r="T19" s="83"/>
      <c r="W19" s="315" t="str">
        <f>Survey!O22</f>
        <v/>
      </c>
      <c r="X19" s="316" t="str">
        <f>IF('Tables (statistics)'!$H$149=4,Calc!N19,"")</f>
        <v/>
      </c>
    </row>
    <row r="20" spans="1:24" ht="16" thickBot="1" x14ac:dyDescent="0.25">
      <c r="A20" s="112"/>
      <c r="B20" s="589"/>
      <c r="C20" t="str">
        <f>IFERROR(_xlfn.CONCAT(INDEX(Tekst!$B$1:$U$300,212,Tabeller!$C$28)," standard deviation (GSD)"),"")</f>
        <v>Geometrisk standard deviation (GSD)</v>
      </c>
      <c r="D20" s="361">
        <f>IFERROR(ROUND(Calc!X15,3),"")</f>
        <v>2.819</v>
      </c>
      <c r="E20" s="366">
        <f>IFERROR(ROUND(Calc!Y15,3),"")</f>
        <v>2.819</v>
      </c>
      <c r="F20" s="82"/>
      <c r="G20" s="115"/>
      <c r="H20" s="82"/>
      <c r="I20" s="82"/>
      <c r="J20" s="82"/>
      <c r="K20" s="82"/>
      <c r="L20" s="82"/>
      <c r="M20" s="616" t="str" cm="1">
        <f t="array" ref="M20">IFERROR(IF($D$5=0,"",IF($D$5&gt;5,IF($D$5&lt;6,"N/A",IF(OR($D$13=0,$D$7&lt;=2),INDEX(Tekst!$B$1:$U$300,MATCH('Calc (W-test)'!$U$4,Tekst!$A$1:$A$300,0),Tabeller!$C$28),INDEX(Tekst!$B$1:$U$300,MATCH('Calc (W-test)'!$U$4,Tekst!$A$1:$A$300,0),Tabeller!$C$28))),IF($D$5-$D$6&lt;2,IFERROR(INDEX(Tekst!$B$1:$U$300,190,Tabeller!$C$28),""),INDEX(Tekst!$B$1:$U$300,MATCH('Calc (W-test)'!$U$3,Tekst!$A$1:$A$300,0),Tabeller!$C$28)))),"")</f>
        <v>Overeksponering kan ikke utelukkes. Tiltak nødvendig.</v>
      </c>
      <c r="N20" s="617"/>
      <c r="O20" s="82"/>
      <c r="P20" s="115"/>
      <c r="Q20" s="608" t="str" cm="1">
        <f t="array" ref="Q20">IF(Analysis!$D$5=0,"",IF(OR(Analysis!$D$13=0,Analysis!$D$5-Analysis!$D$6&lt;3),IFERROR(INDEX(Tekst!$B$1:$U$300,50,Tabeller!$C$28),""),IF(AND('Calc (W-test)'!$T$4 ="Nei",'Calc (W-test)'!$T$5="Nei"),IFERROR(INDEX(Tekst!$B$1:$U$300,49,Tabeller!$C$28),""),IF(Analysis!$S$8&lt;Tabeller!$B$63,Tabeller!$C$63,IF(Analysis!$S$8&lt;Tabeller!$B$64,Tabeller!$C$64,IF(Analysis!$S$8&lt;Tabeller!$B$65,Tabeller!$C$65,IF(Analysis!$S$8&lt;Tabeller!$B$66,Tabeller!$C$66,Tabeller!$C$67)))))))</f>
        <v>etter implementring av risikoreduserende tiltak</v>
      </c>
      <c r="R20" s="609"/>
      <c r="S20" s="610"/>
      <c r="T20" s="83"/>
      <c r="W20" s="315" t="str">
        <f>Survey!O23</f>
        <v/>
      </c>
      <c r="X20" s="316" t="str">
        <f>IF('Tables (statistics)'!$H$149=4,Calc!N20,"")</f>
        <v/>
      </c>
    </row>
    <row r="21" spans="1:24" ht="15.75" customHeight="1" thickBot="1" x14ac:dyDescent="0.25">
      <c r="A21" s="112"/>
      <c r="B21" s="273"/>
      <c r="C21" s="273"/>
      <c r="D21" s="273"/>
      <c r="E21" s="339"/>
      <c r="F21" s="293"/>
      <c r="G21" s="115"/>
      <c r="H21" s="82"/>
      <c r="I21" s="584" t="str" cm="1">
        <f t="array" ref="I21">IFERROR(INDEX(Tekst!$B$1:$U$300,47,Tabeller!$C$28),"")</f>
        <v>Antatt fordeling</v>
      </c>
      <c r="J21" s="585"/>
      <c r="K21" s="586"/>
      <c r="L21" s="82"/>
      <c r="M21" s="618"/>
      <c r="N21" s="619"/>
      <c r="O21" s="82"/>
      <c r="P21" s="115"/>
      <c r="Q21" s="611"/>
      <c r="R21" s="612"/>
      <c r="S21" s="613"/>
      <c r="T21" s="83"/>
      <c r="W21" s="315" t="str">
        <f>Survey!O24</f>
        <v/>
      </c>
      <c r="X21" s="316" t="str">
        <f>IF('Tables (statistics)'!$H$149=4,Calc!N21,"")</f>
        <v/>
      </c>
    </row>
    <row r="22" spans="1:24" ht="16" thickBot="1" x14ac:dyDescent="0.25">
      <c r="A22" s="112"/>
      <c r="B22" s="278"/>
      <c r="C22" s="274"/>
      <c r="D22" s="275"/>
      <c r="E22" s="275"/>
      <c r="F22" s="293"/>
      <c r="G22" s="115"/>
      <c r="H22" s="82"/>
      <c r="I22" s="578" t="str" cm="1">
        <f t="array" ref="I22">IFERROR(INDEX(Tekst!$B$1:$U$300,MATCH('Stats - distribution'!$L$4,Tekst!$A$1:$A$300,0),Tabeller!$C$28),"")</f>
        <v>Log-normal</v>
      </c>
      <c r="J22" s="579"/>
      <c r="K22" s="580"/>
      <c r="L22" s="132"/>
      <c r="M22" s="618"/>
      <c r="N22" s="619"/>
      <c r="O22" s="82"/>
      <c r="P22" s="115"/>
      <c r="Q22" s="82"/>
      <c r="R22" s="82"/>
      <c r="S22" s="82"/>
      <c r="T22" s="83"/>
      <c r="W22" s="315" t="str">
        <f>Survey!O25</f>
        <v/>
      </c>
      <c r="X22" s="316" t="str">
        <f>IF('Tables (statistics)'!$H$149=4,Calc!N22,"")</f>
        <v/>
      </c>
    </row>
    <row r="23" spans="1:24" ht="16" thickBot="1" x14ac:dyDescent="0.25">
      <c r="A23" s="112"/>
      <c r="B23" s="278"/>
      <c r="C23" s="274"/>
      <c r="D23" s="275"/>
      <c r="E23" s="275"/>
      <c r="F23" s="82"/>
      <c r="G23" s="115"/>
      <c r="H23" s="82"/>
      <c r="I23" s="82"/>
      <c r="J23" s="82"/>
      <c r="K23" s="82"/>
      <c r="L23" s="131"/>
      <c r="M23" s="620"/>
      <c r="N23" s="621"/>
      <c r="O23" s="82"/>
      <c r="P23" s="115"/>
      <c r="Q23" s="82"/>
      <c r="R23" s="82"/>
      <c r="S23" s="82"/>
      <c r="T23" s="83"/>
      <c r="W23" s="315" t="str">
        <f>Survey!O26</f>
        <v/>
      </c>
      <c r="X23" s="316" t="str">
        <f>IF('Tables (statistics)'!$H$149=4,Calc!N23,"")</f>
        <v/>
      </c>
    </row>
    <row r="24" spans="1:24" ht="16" thickBot="1" x14ac:dyDescent="0.25">
      <c r="A24" s="77"/>
      <c r="B24" s="306"/>
      <c r="C24" s="306"/>
      <c r="D24" s="306"/>
      <c r="E24" s="306"/>
      <c r="F24" s="306"/>
      <c r="G24" s="307"/>
      <c r="H24" s="306"/>
      <c r="I24" s="306"/>
      <c r="J24" s="306"/>
      <c r="K24" s="306"/>
      <c r="L24" s="306"/>
      <c r="M24" s="306"/>
      <c r="N24" s="306"/>
      <c r="O24" s="306"/>
      <c r="P24" s="307"/>
      <c r="Q24" s="82"/>
      <c r="R24" s="82"/>
      <c r="S24" s="82"/>
      <c r="T24" s="78"/>
      <c r="W24" s="315" t="str">
        <f>Survey!O27</f>
        <v/>
      </c>
      <c r="X24" s="316" t="str">
        <f>IF('Tables (statistics)'!$H$149=4,Calc!N24,"")</f>
        <v/>
      </c>
    </row>
    <row r="25" spans="1:24" x14ac:dyDescent="0.2">
      <c r="A25" s="81"/>
      <c r="B25" s="274"/>
      <c r="C25" s="274"/>
      <c r="D25" s="274"/>
      <c r="E25" s="274"/>
      <c r="F25" s="82"/>
      <c r="G25" s="115"/>
      <c r="H25" s="82"/>
      <c r="I25" s="407" t="str" cm="1">
        <f t="array" ref="I25">IFERROR(INDEX(Tekst!$B$1:$U$300,62,Tabeller!$C$28),"")</f>
        <v>Andel av normalfordeling mindre enn null</v>
      </c>
      <c r="J25" s="408"/>
      <c r="K25" s="408"/>
      <c r="L25" s="408"/>
      <c r="M25" s="409"/>
      <c r="N25" s="82"/>
      <c r="O25" s="82"/>
      <c r="P25" s="115"/>
      <c r="Q25" s="82"/>
      <c r="R25" s="82"/>
      <c r="S25" s="82"/>
      <c r="T25" s="83"/>
      <c r="W25" s="315" t="str">
        <f>Survey!O28</f>
        <v/>
      </c>
      <c r="X25" s="316" t="str">
        <f>IF('Tables (statistics)'!$H$149=4,Calc!N25,"")</f>
        <v/>
      </c>
    </row>
    <row r="26" spans="1:24" ht="15.75" customHeight="1" thickBot="1" x14ac:dyDescent="0.25">
      <c r="A26" s="81"/>
      <c r="B26" s="294"/>
      <c r="C26" s="82"/>
      <c r="D26" s="82"/>
      <c r="E26" s="82"/>
      <c r="F26" s="82"/>
      <c r="G26" s="115"/>
      <c r="H26" s="82"/>
      <c r="I26" s="606" t="str" cm="1">
        <f t="array" ref="I26">IFERROR(INDEX(Tekst!$B$1:$U$300,63,Tabeller!$C$28),"")</f>
        <v>Prosent av normalfordeling under null</v>
      </c>
      <c r="J26" s="607"/>
      <c r="K26" s="607"/>
      <c r="L26" s="607"/>
      <c r="M26" s="134">
        <f>IFERROR(IF(OR($D$13=0,$D$5&lt;3,$D$7&lt;2),"N/A",ROUND(100*_xlfn.NORM.S.DIST((0-$D$16)/$D$17,TRUE),1)),"")</f>
        <v>12.4</v>
      </c>
      <c r="N26" s="82"/>
      <c r="O26" s="82"/>
      <c r="P26" s="115"/>
      <c r="Q26" s="82"/>
      <c r="R26" s="82"/>
      <c r="S26" s="82"/>
      <c r="T26" s="83"/>
      <c r="W26" s="315" t="str">
        <f>Survey!O29</f>
        <v/>
      </c>
      <c r="X26" s="316" t="str">
        <f>IF('Tables (statistics)'!$H$149=4,Calc!N26,"")</f>
        <v/>
      </c>
    </row>
    <row r="27" spans="1:24" ht="16" thickBot="1" x14ac:dyDescent="0.25">
      <c r="A27" s="92"/>
      <c r="B27" s="93"/>
      <c r="C27" s="93"/>
      <c r="D27" s="93"/>
      <c r="E27" s="93"/>
      <c r="F27" s="93"/>
      <c r="G27" s="135"/>
      <c r="H27" s="93"/>
      <c r="I27" s="93"/>
      <c r="J27" s="93"/>
      <c r="K27" s="93"/>
      <c r="L27" s="93"/>
      <c r="M27" s="93"/>
      <c r="N27" s="93"/>
      <c r="O27" s="93"/>
      <c r="P27" s="135"/>
      <c r="Q27" s="93"/>
      <c r="R27" s="93"/>
      <c r="S27" s="93"/>
      <c r="T27" s="94"/>
      <c r="W27" s="315" t="str">
        <f>Survey!O30</f>
        <v/>
      </c>
      <c r="X27" s="316" t="str">
        <f>IF('Tables (statistics)'!$H$149=4,Calc!N27,"")</f>
        <v/>
      </c>
    </row>
    <row r="28" spans="1:24" x14ac:dyDescent="0.2">
      <c r="W28" s="315" t="str">
        <f>Survey!O31</f>
        <v/>
      </c>
      <c r="X28" s="316" t="str">
        <f>IF('Tables (statistics)'!$H$149=4,Calc!N28,"")</f>
        <v/>
      </c>
    </row>
    <row r="29" spans="1:24" x14ac:dyDescent="0.2">
      <c r="W29" s="315" t="str">
        <f>Survey!O32</f>
        <v/>
      </c>
      <c r="X29" s="316" t="str">
        <f>IF('Tables (statistics)'!$H$149=4,Calc!N29,"")</f>
        <v/>
      </c>
    </row>
    <row r="30" spans="1:24" x14ac:dyDescent="0.2">
      <c r="W30" s="315" t="str">
        <f>Survey!O33</f>
        <v/>
      </c>
      <c r="X30" s="316" t="str">
        <f>IF('Tables (statistics)'!$H$149=4,Calc!N30,"")</f>
        <v/>
      </c>
    </row>
    <row r="31" spans="1:24" x14ac:dyDescent="0.2">
      <c r="W31" s="315" t="str">
        <f>Survey!O34</f>
        <v/>
      </c>
      <c r="X31" s="316" t="str">
        <f>IF('Tables (statistics)'!$H$149=4,Calc!N31,"")</f>
        <v/>
      </c>
    </row>
    <row r="32" spans="1:24" x14ac:dyDescent="0.2">
      <c r="W32" s="315" t="str">
        <f>Survey!O35</f>
        <v/>
      </c>
      <c r="X32" s="316" t="str">
        <f>IF('Tables (statistics)'!$H$149=4,Calc!N32,"")</f>
        <v/>
      </c>
    </row>
    <row r="33" spans="2:24" x14ac:dyDescent="0.2">
      <c r="W33" s="315" t="str">
        <f>Survey!O36</f>
        <v/>
      </c>
      <c r="X33" s="316" t="str">
        <f>IF('Tables (statistics)'!$H$149=4,Calc!N33,"")</f>
        <v/>
      </c>
    </row>
    <row r="34" spans="2:24" x14ac:dyDescent="0.2">
      <c r="W34" s="315" t="str">
        <f>Survey!O37</f>
        <v/>
      </c>
      <c r="X34" s="316" t="str">
        <f>IF('Tables (statistics)'!$H$149=4,Calc!N34,"")</f>
        <v/>
      </c>
    </row>
    <row r="35" spans="2:24" x14ac:dyDescent="0.2">
      <c r="W35" s="315" t="str">
        <f>Survey!O38</f>
        <v/>
      </c>
      <c r="X35" s="316" t="str">
        <f>IF('Tables (statistics)'!$H$149=4,Calc!N35,"")</f>
        <v/>
      </c>
    </row>
    <row r="36" spans="2:24" x14ac:dyDescent="0.2">
      <c r="W36" s="315" t="str">
        <f>Survey!O39</f>
        <v/>
      </c>
      <c r="X36" s="316" t="str">
        <f>IF('Tables (statistics)'!$H$149=4,Calc!N36,"")</f>
        <v/>
      </c>
    </row>
    <row r="37" spans="2:24" x14ac:dyDescent="0.2">
      <c r="B37" s="136"/>
      <c r="C37" s="136"/>
      <c r="D37" s="136"/>
      <c r="E37" s="136"/>
      <c r="W37" s="315" t="str">
        <f>Survey!O40</f>
        <v/>
      </c>
      <c r="X37" s="316" t="str">
        <f>IF('Tables (statistics)'!$H$149=4,Calc!N37,"")</f>
        <v/>
      </c>
    </row>
    <row r="38" spans="2:24" x14ac:dyDescent="0.2">
      <c r="W38" s="315" t="str">
        <f>Survey!O41</f>
        <v/>
      </c>
      <c r="X38" s="316" t="str">
        <f>IF('Tables (statistics)'!$H$149=4,Calc!N38,"")</f>
        <v/>
      </c>
    </row>
    <row r="39" spans="2:24" x14ac:dyDescent="0.2">
      <c r="W39" s="315" t="str">
        <f>Survey!O42</f>
        <v/>
      </c>
      <c r="X39" s="316" t="str">
        <f>IF('Tables (statistics)'!$H$149=4,Calc!N39,"")</f>
        <v/>
      </c>
    </row>
    <row r="40" spans="2:24" x14ac:dyDescent="0.2">
      <c r="W40" s="315" t="str">
        <f>Survey!O43</f>
        <v/>
      </c>
      <c r="X40" s="316" t="str">
        <f>IF('Tables (statistics)'!$H$149=4,Calc!N40,"")</f>
        <v/>
      </c>
    </row>
    <row r="41" spans="2:24" x14ac:dyDescent="0.2">
      <c r="W41" s="315" t="str">
        <f>Survey!O44</f>
        <v/>
      </c>
      <c r="X41" s="316" t="str">
        <f>IF('Tables (statistics)'!$H$149=4,Calc!N41,"")</f>
        <v/>
      </c>
    </row>
    <row r="42" spans="2:24" x14ac:dyDescent="0.2">
      <c r="W42" s="315" t="str">
        <f>Survey!O45</f>
        <v/>
      </c>
      <c r="X42" s="316" t="str">
        <f>IF('Tables (statistics)'!$H$149=4,Calc!N42,"")</f>
        <v/>
      </c>
    </row>
    <row r="43" spans="2:24" x14ac:dyDescent="0.2">
      <c r="W43" s="315" t="str">
        <f>Survey!O46</f>
        <v/>
      </c>
      <c r="X43" s="316" t="str">
        <f>IF('Tables (statistics)'!$H$149=4,Calc!N43,"")</f>
        <v/>
      </c>
    </row>
    <row r="44" spans="2:24" x14ac:dyDescent="0.2">
      <c r="W44" s="315" t="str">
        <f>Survey!O47</f>
        <v/>
      </c>
      <c r="X44" s="316" t="str">
        <f>IF('Tables (statistics)'!$H$149=4,Calc!N44,"")</f>
        <v/>
      </c>
    </row>
    <row r="45" spans="2:24" x14ac:dyDescent="0.2">
      <c r="W45" s="315" t="str">
        <f>Survey!O48</f>
        <v/>
      </c>
      <c r="X45" s="316" t="str">
        <f>IF('Tables (statistics)'!$H$149=4,Calc!N45,"")</f>
        <v/>
      </c>
    </row>
    <row r="46" spans="2:24" x14ac:dyDescent="0.2">
      <c r="W46" s="315" t="str">
        <f>Survey!O49</f>
        <v/>
      </c>
      <c r="X46" s="316" t="str">
        <f>IF('Tables (statistics)'!$H$149=4,Calc!N46,"")</f>
        <v/>
      </c>
    </row>
    <row r="47" spans="2:24" x14ac:dyDescent="0.2">
      <c r="W47" s="315" t="str">
        <f>Survey!O50</f>
        <v/>
      </c>
      <c r="X47" s="316" t="str">
        <f>IF('Tables (statistics)'!$H$149=4,Calc!N47,"")</f>
        <v/>
      </c>
    </row>
    <row r="48" spans="2:24" x14ac:dyDescent="0.2">
      <c r="W48" s="315" t="str">
        <f>Survey!O51</f>
        <v/>
      </c>
      <c r="X48" s="316" t="str">
        <f>IF('Tables (statistics)'!$H$149=4,Calc!N48,"")</f>
        <v/>
      </c>
    </row>
    <row r="49" spans="23:24" x14ac:dyDescent="0.2">
      <c r="W49" s="315" t="str">
        <f>Survey!O52</f>
        <v/>
      </c>
      <c r="X49" s="316" t="str">
        <f>IF('Tables (statistics)'!$H$149=4,Calc!N49,"")</f>
        <v/>
      </c>
    </row>
    <row r="50" spans="23:24" x14ac:dyDescent="0.2">
      <c r="W50" s="315" t="str">
        <f>Survey!O53</f>
        <v/>
      </c>
      <c r="X50" s="316" t="str">
        <f>IF('Tables (statistics)'!$H$149=4,Calc!N50,"")</f>
        <v/>
      </c>
    </row>
    <row r="51" spans="23:24" x14ac:dyDescent="0.2">
      <c r="W51" s="315" t="str">
        <f>Survey!O54</f>
        <v/>
      </c>
      <c r="X51" s="316" t="str">
        <f>IF('Tables (statistics)'!$H$149=4,Calc!N51,"")</f>
        <v/>
      </c>
    </row>
    <row r="52" spans="23:24" ht="16" thickBot="1" x14ac:dyDescent="0.25">
      <c r="W52" s="317" t="str">
        <f>Survey!O55</f>
        <v/>
      </c>
      <c r="X52" s="318" t="str">
        <f>IF('Tables (statistics)'!$H$149=4,Calc!N52,"")</f>
        <v/>
      </c>
    </row>
    <row r="53" spans="23:24" x14ac:dyDescent="0.2">
      <c r="W53" s="290"/>
    </row>
    <row r="54" spans="23:24" x14ac:dyDescent="0.2"/>
    <row r="55" spans="23:24" x14ac:dyDescent="0.2"/>
    <row r="56" spans="23:24" x14ac:dyDescent="0.2"/>
    <row r="57" spans="23:24" x14ac:dyDescent="0.2"/>
    <row r="58" spans="23:24" x14ac:dyDescent="0.2"/>
    <row r="59" spans="23:24" x14ac:dyDescent="0.2"/>
    <row r="60" spans="23:24" x14ac:dyDescent="0.2"/>
    <row r="61" spans="23:24" x14ac:dyDescent="0.2"/>
    <row r="62" spans="23:24" x14ac:dyDescent="0.2"/>
    <row r="63" spans="23:24" x14ac:dyDescent="0.2"/>
    <row r="64" spans="23:24"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sheetData>
  <sheetProtection algorithmName="SHA-512" hashValue="N8uX7rAFNQbnxNOYGxDOhIWndAKoYr6K9h5dbep7O2gbjiBTtVgkciAEsWHbfhtt2I4SHn0RbWYSPtM2TL4zQg==" saltValue="wR2AkH12T9un3VTYyGmoBA==" spinCount="100000" sheet="1" scenarios="1" selectLockedCells="1" selectUnlockedCells="1"/>
  <mergeCells count="33">
    <mergeCell ref="I26:L26"/>
    <mergeCell ref="Q20:S21"/>
    <mergeCell ref="R12:S12"/>
    <mergeCell ref="R13:S13"/>
    <mergeCell ref="R14:S14"/>
    <mergeCell ref="R15:S15"/>
    <mergeCell ref="M19:N19"/>
    <mergeCell ref="M20:N23"/>
    <mergeCell ref="M16:N17"/>
    <mergeCell ref="Q19:S19"/>
    <mergeCell ref="I25:M25"/>
    <mergeCell ref="R16:S17"/>
    <mergeCell ref="M15:N15"/>
    <mergeCell ref="W1:X1"/>
    <mergeCell ref="A1:T2"/>
    <mergeCell ref="I11:K11"/>
    <mergeCell ref="Q6:S6"/>
    <mergeCell ref="M6:N8"/>
    <mergeCell ref="M10:N10"/>
    <mergeCell ref="I6:K6"/>
    <mergeCell ref="I4:S4"/>
    <mergeCell ref="D5:E5"/>
    <mergeCell ref="B5:B7"/>
    <mergeCell ref="D7:E7"/>
    <mergeCell ref="D6:E6"/>
    <mergeCell ref="B4:E4"/>
    <mergeCell ref="M11:N13"/>
    <mergeCell ref="B16:B17"/>
    <mergeCell ref="I22:K22"/>
    <mergeCell ref="Q11:S11"/>
    <mergeCell ref="I21:K21"/>
    <mergeCell ref="Q16:Q17"/>
    <mergeCell ref="B19:B20"/>
  </mergeCells>
  <conditionalFormatting sqref="B8:E8">
    <cfRule type="expression" dxfId="13" priority="4">
      <formula>$D$5&gt;2</formula>
    </cfRule>
  </conditionalFormatting>
  <conditionalFormatting sqref="B8:E20">
    <cfRule type="expression" dxfId="12" priority="5">
      <formula>$D$5&lt;3</formula>
    </cfRule>
  </conditionalFormatting>
  <conditionalFormatting sqref="I6:K9 Q6:S9 I11:K19 M15:N17 Q19:S21 M19:N23 I25:M26">
    <cfRule type="expression" dxfId="11" priority="6">
      <formula>$D$5&lt;3</formula>
    </cfRule>
  </conditionalFormatting>
  <conditionalFormatting sqref="M6:N8 I21:K22">
    <cfRule type="expression" dxfId="10" priority="13">
      <formula>$I$22="N/A"</formula>
    </cfRule>
  </conditionalFormatting>
  <conditionalFormatting sqref="M6:N8 M10:N13">
    <cfRule type="containsBlanks" dxfId="9" priority="15">
      <formula>LEN(TRIM(M6))=0</formula>
    </cfRule>
  </conditionalFormatting>
  <conditionalFormatting sqref="M16:N17">
    <cfRule type="containsBlanks" dxfId="8" priority="10">
      <formula>LEN(TRIM(M16))=0</formula>
    </cfRule>
  </conditionalFormatting>
  <conditionalFormatting sqref="M19:N23">
    <cfRule type="expression" dxfId="7" priority="8">
      <formula>$M$20=""</formula>
    </cfRule>
  </conditionalFormatting>
  <conditionalFormatting sqref="Q11:S17">
    <cfRule type="expression" dxfId="6" priority="2">
      <formula>$D$5&lt;3</formula>
    </cfRule>
  </conditionalFormatting>
  <conditionalFormatting sqref="Q19:S21">
    <cfRule type="expression" dxfId="4" priority="7">
      <formula>$Q$20=""</formula>
    </cfRule>
  </conditionalFormatting>
  <conditionalFormatting sqref="W1:X52">
    <cfRule type="expression" dxfId="3" priority="3">
      <formula>$D$5&lt;3</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9817CBA0-4671-4C72-9A25-7BE6518F0C5A}">
            <xm:f>OR(Survey!$C$11="",AND(Survey!$C$6="",Survey!$C$7="",Survey!$C$8="",Survey!$D$33=""))</xm:f>
            <x14:dxf>
              <font>
                <color theme="5" tint="0.59996337778862885"/>
              </font>
              <fill>
                <patternFill>
                  <bgColor theme="5" tint="0.59996337778862885"/>
                </patternFill>
              </fill>
              <border>
                <left/>
                <right/>
                <top/>
                <bottom/>
                <vertical/>
                <horizontal/>
              </border>
            </x14:dxf>
          </x14:cfRule>
          <xm:sqref>Q19:S21 M19:N23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9AA93-6F60-446D-A36E-07A059971540}">
  <sheetPr>
    <tabColor theme="9" tint="0.59999389629810485"/>
  </sheetPr>
  <dimension ref="A1:AB37"/>
  <sheetViews>
    <sheetView showGridLines="0" workbookViewId="0">
      <selection activeCell="G24" sqref="G24"/>
    </sheetView>
  </sheetViews>
  <sheetFormatPr baseColWidth="10" defaultColWidth="0" defaultRowHeight="15" zeroHeight="1" x14ac:dyDescent="0.2"/>
  <cols>
    <col min="1" max="1" width="3.5" customWidth="1"/>
    <col min="2" max="2" width="31" customWidth="1"/>
    <col min="3" max="3" width="6.1640625" customWidth="1"/>
    <col min="4" max="4" width="26.5" customWidth="1"/>
    <col min="5" max="5" width="5.1640625" customWidth="1"/>
    <col min="6" max="6" width="14.1640625" customWidth="1"/>
    <col min="7" max="7" width="15.5" customWidth="1"/>
    <col min="8" max="8" width="12.83203125" bestFit="1" customWidth="1"/>
    <col min="9" max="11" width="3.5" customWidth="1"/>
    <col min="12" max="12" width="8.1640625" customWidth="1"/>
    <col min="13" max="13" width="9.5" customWidth="1"/>
    <col min="14" max="14" width="3.5" customWidth="1"/>
    <col min="15" max="15" width="8.5" customWidth="1"/>
    <col min="16" max="28" width="0" hidden="1" customWidth="1"/>
    <col min="29" max="16384" width="11.5" hidden="1"/>
  </cols>
  <sheetData>
    <row r="1" spans="1:14" x14ac:dyDescent="0.2">
      <c r="A1" s="481" t="str">
        <f>IF(Information!$B$6=Tekst!$B$1,UPPER(Tekst!$B$89),IF(Information!$B$6=Tekst!$C$1,UPPER(Tekst!$C$89),""))</f>
        <v>FLERE EKSPONERINGER</v>
      </c>
      <c r="B1" s="482"/>
      <c r="C1" s="482"/>
      <c r="D1" s="482"/>
      <c r="E1" s="482"/>
      <c r="F1" s="482"/>
      <c r="G1" s="482"/>
      <c r="H1" s="482"/>
      <c r="I1" s="482"/>
      <c r="J1" s="482"/>
      <c r="K1" s="482"/>
      <c r="L1" s="482"/>
      <c r="M1" s="482"/>
      <c r="N1" s="483"/>
    </row>
    <row r="2" spans="1:14" ht="16" thickBot="1" x14ac:dyDescent="0.25">
      <c r="A2" s="484"/>
      <c r="B2" s="485"/>
      <c r="C2" s="485"/>
      <c r="D2" s="485"/>
      <c r="E2" s="485"/>
      <c r="F2" s="485"/>
      <c r="G2" s="485"/>
      <c r="H2" s="485"/>
      <c r="I2" s="485"/>
      <c r="J2" s="485"/>
      <c r="K2" s="485"/>
      <c r="L2" s="485"/>
      <c r="M2" s="485"/>
      <c r="N2" s="486"/>
    </row>
    <row r="3" spans="1:14" ht="16" thickBot="1" x14ac:dyDescent="0.25">
      <c r="A3" s="53"/>
      <c r="B3" s="16"/>
      <c r="C3" s="16"/>
      <c r="D3" s="16"/>
      <c r="E3" s="16"/>
      <c r="F3" s="16"/>
      <c r="G3" s="16"/>
      <c r="H3" s="16"/>
      <c r="I3" s="55"/>
      <c r="K3" s="52"/>
      <c r="L3" s="56"/>
      <c r="M3" s="56"/>
      <c r="N3" s="54"/>
    </row>
    <row r="4" spans="1:14" x14ac:dyDescent="0.2">
      <c r="A4" s="53"/>
      <c r="B4" s="636" t="str">
        <f>IF(Information!$B$6=Tekst!$B$1,Tekst!$B$112,IF(Information!$B$6=Tekst!$C$1,Tekst!$C$112,""))</f>
        <v>Eksponering for flere kjemiske agenser</v>
      </c>
      <c r="C4" s="637"/>
      <c r="D4" s="637"/>
      <c r="E4" s="637"/>
      <c r="F4" s="637"/>
      <c r="G4" s="637"/>
      <c r="H4" s="638"/>
      <c r="I4" s="55"/>
      <c r="K4" s="53"/>
      <c r="L4" s="649" t="str">
        <f>IF(Information!$B$6=Tekst!$B$1,Tekst!$B$109,IF(Information!$B$6=Tekst!$C$1,Tekst!$C$109,""))</f>
        <v>Kriterier ved bruk av</v>
      </c>
      <c r="M4" s="650"/>
      <c r="N4" s="55"/>
    </row>
    <row r="5" spans="1:14" x14ac:dyDescent="0.2">
      <c r="A5" s="53"/>
      <c r="B5" s="639"/>
      <c r="C5" s="640"/>
      <c r="D5" s="640"/>
      <c r="E5" s="640"/>
      <c r="F5" s="640"/>
      <c r="G5" s="640"/>
      <c r="H5" s="641"/>
      <c r="I5" s="55"/>
      <c r="K5" s="53"/>
      <c r="L5" s="651"/>
      <c r="M5" s="652"/>
      <c r="N5" s="55"/>
    </row>
    <row r="6" spans="1:14" ht="15" customHeight="1" x14ac:dyDescent="0.2">
      <c r="A6" s="53"/>
      <c r="B6" s="653" t="str">
        <f>IF(Information!$B$6=Tekst!$B$1,Tekst!$B$83,IF(Information!$B$6=Tekst!$C$1,Tekst!$C$83,""))</f>
        <v>Nivå 1
(Eksponeringsindeks)</v>
      </c>
      <c r="C6" s="58" t="s">
        <v>289</v>
      </c>
      <c r="D6" s="645" t="str">
        <f>IF(Information!$B$6=Tekst!$B$1,Tekst!$B$85,IF(Information!$B$6=Tekst!$C$1,Tekst!$C$85,""))</f>
        <v>Summen av eksponering delt på de respektive GV</v>
      </c>
      <c r="E6" s="645"/>
      <c r="F6" s="645"/>
      <c r="G6" s="645"/>
      <c r="H6" s="646"/>
      <c r="I6" s="55"/>
      <c r="K6" s="180"/>
      <c r="L6" s="654" t="str">
        <f>IF(Information!$B$6=Tekst!$B$1,Tekst!$B$110,IF(Information!$B$6=Tekst!$C$1,Tekst!$C$110,""))</f>
        <v>Forenklet undersøkelse</v>
      </c>
      <c r="M6" s="655"/>
      <c r="N6" s="180"/>
    </row>
    <row r="7" spans="1:14" x14ac:dyDescent="0.2">
      <c r="A7" s="53"/>
      <c r="B7" s="420"/>
      <c r="C7" s="58"/>
      <c r="D7" s="183"/>
      <c r="E7" s="183"/>
      <c r="F7" s="183"/>
      <c r="G7" s="183"/>
      <c r="H7" s="184"/>
      <c r="I7" s="55"/>
      <c r="K7" s="53"/>
      <c r="L7" s="192">
        <v>3</v>
      </c>
      <c r="M7" s="60" t="s">
        <v>354</v>
      </c>
      <c r="N7" s="55"/>
    </row>
    <row r="8" spans="1:14" ht="16" x14ac:dyDescent="0.2">
      <c r="A8" s="53"/>
      <c r="B8" s="4"/>
      <c r="D8" s="59"/>
      <c r="E8" s="59"/>
      <c r="F8" s="59"/>
      <c r="G8" s="59"/>
      <c r="H8" s="60"/>
      <c r="I8" s="55"/>
      <c r="K8" s="53"/>
      <c r="L8" s="192">
        <v>4</v>
      </c>
      <c r="M8" s="193" t="s">
        <v>353</v>
      </c>
      <c r="N8" s="55"/>
    </row>
    <row r="9" spans="1:14" ht="18" customHeight="1" x14ac:dyDescent="0.2">
      <c r="A9" s="53"/>
      <c r="B9" s="420" t="str">
        <f>IF(Information!$B$6=Tekst!$B$1,Tekst!$B$84,IF(Information!$B$6=Tekst!$C$1,Tekst!$C$84,""))</f>
        <v>Nivå 2
(Additiv effekt)</v>
      </c>
      <c r="C9" s="2" t="s">
        <v>304</v>
      </c>
      <c r="D9" s="518" t="str">
        <f>IF(Information!$B$6=Tekst!$B$1,Tekst!$B$86,IF(Information!$B$6=Tekst!$C$1,Tekst!$C$86,""))</f>
        <v>Summen av eksponering som har liknende effekt eller påvirker det samme organet delt på respektive GV</v>
      </c>
      <c r="E9" s="518"/>
      <c r="F9" s="518"/>
      <c r="G9" s="518"/>
      <c r="H9" s="421"/>
      <c r="I9" s="55"/>
      <c r="K9" s="187"/>
      <c r="L9" s="189">
        <v>5</v>
      </c>
      <c r="M9" s="185" t="s">
        <v>351</v>
      </c>
      <c r="N9" s="55"/>
    </row>
    <row r="10" spans="1:14" ht="16.5" customHeight="1" thickBot="1" x14ac:dyDescent="0.25">
      <c r="A10" s="53"/>
      <c r="B10" s="644"/>
      <c r="C10" s="61"/>
      <c r="D10" s="642"/>
      <c r="E10" s="642"/>
      <c r="F10" s="642"/>
      <c r="G10" s="642"/>
      <c r="H10" s="643"/>
      <c r="I10" s="55"/>
      <c r="K10" s="191"/>
      <c r="L10" s="631" t="str">
        <f>IF(Information!$B$6=Tekst!$B$1,Tekst!$B$111,IF(Information!$B$6=Tekst!$C$1,Tekst!$C$111,""))</f>
        <v>Detaljert undersøkelse</v>
      </c>
      <c r="M10" s="632"/>
      <c r="N10" s="191"/>
    </row>
    <row r="11" spans="1:14" ht="17" thickBot="1" x14ac:dyDescent="0.25">
      <c r="A11" s="49"/>
      <c r="B11" s="50"/>
      <c r="C11" s="50"/>
      <c r="D11" s="50"/>
      <c r="E11" s="50"/>
      <c r="F11" s="50"/>
      <c r="G11" s="50"/>
      <c r="H11" s="50"/>
      <c r="I11" s="51"/>
      <c r="K11" s="53"/>
      <c r="L11" s="190" t="s">
        <v>355</v>
      </c>
      <c r="M11" s="186" t="s">
        <v>352</v>
      </c>
      <c r="N11" s="55"/>
    </row>
    <row r="12" spans="1:14" ht="16" thickBot="1" x14ac:dyDescent="0.25">
      <c r="K12" s="188"/>
      <c r="L12" s="50"/>
      <c r="M12" s="50"/>
      <c r="N12" s="51"/>
    </row>
    <row r="13" spans="1:14" ht="16" thickBot="1" x14ac:dyDescent="0.25">
      <c r="A13" s="62"/>
      <c r="B13" s="63"/>
      <c r="C13" s="63"/>
      <c r="D13" s="63"/>
      <c r="E13" s="63"/>
      <c r="F13" s="63"/>
      <c r="G13" s="63"/>
      <c r="H13" s="63"/>
      <c r="I13" s="64"/>
    </row>
    <row r="14" spans="1:14" ht="16" thickBot="1" x14ac:dyDescent="0.25">
      <c r="A14" s="65"/>
      <c r="B14" s="407" t="str">
        <f>IF(Information!$B$6=Tekst!$B$1,Tekst!$B$80,IF(Information!$B$6=Tekst!$C$1,Tekst!$C$80,""))</f>
        <v>Agens</v>
      </c>
      <c r="C14" s="408"/>
      <c r="D14" s="647" t="str">
        <f>IF(Information!$B$6=Tekst!$B$1,Tekst!$B$81,IF(Information!$B$6=Tekst!$C$1,Tekst!$C$81,""))</f>
        <v>Effekt gruppe</v>
      </c>
      <c r="E14" s="648"/>
      <c r="F14" s="66"/>
      <c r="G14" s="66"/>
      <c r="H14" s="67"/>
      <c r="I14" s="68"/>
      <c r="K14" s="69"/>
      <c r="L14" s="70"/>
      <c r="M14" s="70"/>
      <c r="N14" s="71"/>
    </row>
    <row r="15" spans="1:14" ht="33" thickBot="1" x14ac:dyDescent="0.25">
      <c r="A15" s="65"/>
      <c r="B15" s="72" t="str">
        <f>IF(Information!$B$6=Tekst!$B$1,Tekst!$B$77,IF(Information!$B$6=Tekst!$C$1,Tekst!$C$77,""))</f>
        <v>Velg navn:</v>
      </c>
      <c r="C15" s="73" t="s">
        <v>57</v>
      </c>
      <c r="D15" s="176" t="str">
        <f>IF(Information!$B$6=Tekst!$B$1,Tekst!$B$78,IF(Information!$B$6=Tekst!$C$1,Tekst!$C$78,""))</f>
        <v>Helseeffekter</v>
      </c>
      <c r="E15" s="74" t="s">
        <v>57</v>
      </c>
      <c r="F15" s="75" t="str">
        <f>CONCATENATE(IF(Information!$B$6=Tekst!$B$1,Tekst!$B$82,IF(Information!$B$6=Tekst!$C$1,Tekst!$C$82,"")),"
(mgm¯³)")</f>
        <v>GV - 8t
(mgm¯³)</v>
      </c>
      <c r="G15" s="177" t="str">
        <f>"C "&amp;"
(8 "&amp;IF(Information!$B$6=Tekst!$B$1,Tekst!$B$26,IF(Information!$B$6=Tekst!$C$1,Tekst!$C$26,""))&amp;")"</f>
        <v>C 
(8 timer)</v>
      </c>
      <c r="H15" s="76" t="str">
        <f>IF(Information!$B$6=Tekst!$B$1,Tekst!$B$79,IF(Information!$B$6=Tekst!$C$1,Tekst!$C$79,""))</f>
        <v>GV-fraksjon</v>
      </c>
      <c r="I15" s="68"/>
      <c r="K15" s="77"/>
      <c r="L15" s="494" t="str">
        <f>IF(Information!$B$6=Tekst!$B$1,Tekst!$B$76,IF(Information!$B$6=Tekst!$C$1,Tekst!$C$76,""))</f>
        <v>Eksponeringsindeks</v>
      </c>
      <c r="M15" s="635"/>
      <c r="N15" s="78"/>
    </row>
    <row r="16" spans="1:14" ht="16" thickBot="1" x14ac:dyDescent="0.25">
      <c r="A16" s="65"/>
      <c r="B16" s="101"/>
      <c r="C16" s="79" t="str">
        <f>IF(B16="","",COUNTA($B$16:B16))</f>
        <v/>
      </c>
      <c r="D16" s="103"/>
      <c r="E16" s="102"/>
      <c r="F16" s="104"/>
      <c r="G16" s="105"/>
      <c r="H16" s="80" t="str">
        <f>IFERROR($G16/$F16,"")</f>
        <v/>
      </c>
      <c r="I16" s="68"/>
      <c r="K16" s="81"/>
      <c r="L16" s="82"/>
      <c r="M16" s="82"/>
      <c r="N16" s="83"/>
    </row>
    <row r="17" spans="1:28" x14ac:dyDescent="0.2">
      <c r="A17" s="65"/>
      <c r="B17" s="101"/>
      <c r="C17" s="79" t="str">
        <f>IF(B17="","",COUNTA($B$16:B17))</f>
        <v/>
      </c>
      <c r="D17" s="103"/>
      <c r="E17" s="102"/>
      <c r="F17" s="104"/>
      <c r="G17" s="105"/>
      <c r="H17" s="80" t="str">
        <f t="shared" ref="H17:H35" si="0">IFERROR($G17/$F17,"")</f>
        <v/>
      </c>
      <c r="I17" s="68"/>
      <c r="K17" s="81"/>
      <c r="L17" s="633" t="str">
        <f>IF(Information!$B$6=Tekst!$B$1,CONCATENATE(Tekst!$B$75," 1"),IF(Information!$B$6=Tekst!$C$1,CONCATENATE(Tekst!$C$75," 1"),""))</f>
        <v>Nivå 1</v>
      </c>
      <c r="M17" s="634"/>
      <c r="N17" s="83"/>
      <c r="Y17" s="84"/>
    </row>
    <row r="18" spans="1:28" ht="18" thickBot="1" x14ac:dyDescent="0.25">
      <c r="A18" s="65"/>
      <c r="B18" s="101"/>
      <c r="C18" s="79" t="str">
        <f>IF(B18="","",COUNTA($B$16:B18))</f>
        <v/>
      </c>
      <c r="D18" s="103"/>
      <c r="E18" s="102"/>
      <c r="F18" s="104"/>
      <c r="G18" s="105"/>
      <c r="H18" s="80" t="str">
        <f t="shared" si="0"/>
        <v/>
      </c>
      <c r="I18" s="68"/>
      <c r="K18" s="81"/>
      <c r="L18" s="85" t="s">
        <v>290</v>
      </c>
      <c r="M18" s="86">
        <f>IF(AND(COUNTIF($E$16:$E$35,$E$16)=COUNTA($E$16:$E$35),COUNTA($E$16:$E$35)&lt;&gt;""),SUM($H$16:$H$35),"N/A")</f>
        <v>0</v>
      </c>
      <c r="N18" s="83"/>
      <c r="Y18" s="84"/>
      <c r="AB18" t="s">
        <v>63</v>
      </c>
    </row>
    <row r="19" spans="1:28" ht="16" thickBot="1" x14ac:dyDescent="0.25">
      <c r="A19" s="65"/>
      <c r="B19" s="101"/>
      <c r="C19" s="79" t="str">
        <f>IF(B19="","",COUNTA($B$16:B19))</f>
        <v/>
      </c>
      <c r="D19" s="103"/>
      <c r="E19" s="102"/>
      <c r="F19" s="104"/>
      <c r="G19" s="105"/>
      <c r="H19" s="80" t="str">
        <f t="shared" si="0"/>
        <v/>
      </c>
      <c r="I19" s="68"/>
      <c r="K19" s="81"/>
      <c r="L19" s="87"/>
      <c r="M19" s="87"/>
      <c r="N19" s="83"/>
    </row>
    <row r="20" spans="1:28" x14ac:dyDescent="0.2">
      <c r="A20" s="65"/>
      <c r="B20" s="101"/>
      <c r="C20" s="79" t="str">
        <f>IF(B20="","",COUNTA($B$16:B20))</f>
        <v/>
      </c>
      <c r="D20" s="103"/>
      <c r="E20" s="102"/>
      <c r="F20" s="104"/>
      <c r="G20" s="105"/>
      <c r="H20" s="80" t="str">
        <f t="shared" si="0"/>
        <v/>
      </c>
      <c r="I20" s="68"/>
      <c r="K20" s="81"/>
      <c r="L20" s="407" t="str">
        <f>IF(Information!$B$6=Tekst!$B$1,CONCATENATE(Tekst!$B$75," 2"),IF(Information!$B$6=Tekst!$C$1,CONCATENATE(Tekst!$C$75," 2"),""))</f>
        <v>Nivå 2</v>
      </c>
      <c r="M20" s="409"/>
      <c r="N20" s="83"/>
    </row>
    <row r="21" spans="1:28" ht="17" x14ac:dyDescent="0.25">
      <c r="A21" s="65"/>
      <c r="B21" s="101"/>
      <c r="C21" s="79" t="str">
        <f>IF(B21="","",COUNTA($B$16:B21))</f>
        <v/>
      </c>
      <c r="D21" s="103"/>
      <c r="E21" s="102"/>
      <c r="F21" s="104"/>
      <c r="G21" s="105"/>
      <c r="H21" s="80" t="str">
        <f t="shared" si="0"/>
        <v/>
      </c>
      <c r="I21" s="68"/>
      <c r="K21" s="81"/>
      <c r="L21" s="88" t="s">
        <v>294</v>
      </c>
      <c r="M21" s="89" t="str">
        <f>IF(COUNTIFS($E$16:$E$35,"A")=0,"",SUMIFS($H$16:$H$35,$E$16:$E$35,"A"))</f>
        <v/>
      </c>
      <c r="N21" s="83"/>
    </row>
    <row r="22" spans="1:28" ht="17" x14ac:dyDescent="0.25">
      <c r="A22" s="65"/>
      <c r="B22" s="101"/>
      <c r="C22" s="79" t="str">
        <f>IF(B22="","",COUNTA($B$16:B22))</f>
        <v/>
      </c>
      <c r="D22" s="103"/>
      <c r="E22" s="102"/>
      <c r="F22" s="104"/>
      <c r="G22" s="105"/>
      <c r="H22" s="80" t="str">
        <f t="shared" si="0"/>
        <v/>
      </c>
      <c r="I22" s="68"/>
      <c r="K22" s="81"/>
      <c r="L22" s="88" t="s">
        <v>296</v>
      </c>
      <c r="M22" s="89" t="str">
        <f>IF(COUNTIFS($E$16:$E$35,"B")=0,"",SUMIFS($H$16:$H$35,$E$16:$E$35,"B"))</f>
        <v/>
      </c>
      <c r="N22" s="83"/>
    </row>
    <row r="23" spans="1:28" ht="17" x14ac:dyDescent="0.25">
      <c r="A23" s="65"/>
      <c r="B23" s="101"/>
      <c r="C23" s="79" t="str">
        <f>IF(B23="","",COUNTA($B$16:B23))</f>
        <v/>
      </c>
      <c r="D23" s="103"/>
      <c r="E23" s="102"/>
      <c r="F23" s="104"/>
      <c r="G23" s="105"/>
      <c r="H23" s="80" t="str">
        <f t="shared" si="0"/>
        <v/>
      </c>
      <c r="I23" s="68"/>
      <c r="K23" s="81"/>
      <c r="L23" s="88" t="s">
        <v>295</v>
      </c>
      <c r="M23" s="89" t="str">
        <f>IF(COUNTIFS($E$16:$E$35,"C")=0,"",SUMIFS($H$16:$H$35,$E$16:$E$35,"C"))</f>
        <v/>
      </c>
      <c r="N23" s="83"/>
    </row>
    <row r="24" spans="1:28" ht="17" x14ac:dyDescent="0.25">
      <c r="A24" s="65"/>
      <c r="B24" s="101"/>
      <c r="C24" s="79" t="str">
        <f>IF(B24="","",COUNTA($B$16:B24))</f>
        <v/>
      </c>
      <c r="D24" s="103"/>
      <c r="E24" s="102"/>
      <c r="F24" s="104"/>
      <c r="G24" s="105"/>
      <c r="H24" s="80" t="str">
        <f t="shared" si="0"/>
        <v/>
      </c>
      <c r="I24" s="68"/>
      <c r="K24" s="81"/>
      <c r="L24" s="88" t="s">
        <v>297</v>
      </c>
      <c r="M24" s="89" t="str">
        <f>IF(COUNTIFS($E$16:$E$35,"D")=0,"",SUMIFS($H$16:$H$35,$E$16:$E$35,"D"))</f>
        <v/>
      </c>
      <c r="N24" s="83"/>
    </row>
    <row r="25" spans="1:28" ht="18" thickBot="1" x14ac:dyDescent="0.3">
      <c r="A25" s="65"/>
      <c r="B25" s="101"/>
      <c r="C25" s="79" t="str">
        <f>IF(B25="","",COUNTA($B$16:B25))</f>
        <v/>
      </c>
      <c r="D25" s="103"/>
      <c r="E25" s="102"/>
      <c r="F25" s="104"/>
      <c r="G25" s="105"/>
      <c r="H25" s="80" t="str">
        <f t="shared" si="0"/>
        <v/>
      </c>
      <c r="I25" s="68"/>
      <c r="K25" s="81"/>
      <c r="L25" s="90" t="s">
        <v>298</v>
      </c>
      <c r="M25" s="91" t="str">
        <f>IF(COUNTIFS($E$16:$E$35,"E")=0,"",SUMIFS($H$16:$H$35,$E$16:$E$35,"E"))</f>
        <v/>
      </c>
      <c r="N25" s="83"/>
    </row>
    <row r="26" spans="1:28" ht="16" thickBot="1" x14ac:dyDescent="0.25">
      <c r="A26" s="65"/>
      <c r="B26" s="101"/>
      <c r="C26" s="79" t="str">
        <f>IF(B26="","",COUNTA($B$16:B26))</f>
        <v/>
      </c>
      <c r="D26" s="103"/>
      <c r="E26" s="102"/>
      <c r="F26" s="104"/>
      <c r="G26" s="105"/>
      <c r="H26" s="80" t="str">
        <f t="shared" si="0"/>
        <v/>
      </c>
      <c r="I26" s="68"/>
      <c r="K26" s="92"/>
      <c r="L26" s="93"/>
      <c r="M26" s="93"/>
      <c r="N26" s="94"/>
    </row>
    <row r="27" spans="1:28" x14ac:dyDescent="0.2">
      <c r="A27" s="65"/>
      <c r="B27" s="101"/>
      <c r="C27" s="79" t="str">
        <f>IF(B27="","",COUNTA($B$16:B27))</f>
        <v/>
      </c>
      <c r="D27" s="103"/>
      <c r="E27" s="102"/>
      <c r="F27" s="104"/>
      <c r="G27" s="105"/>
      <c r="H27" s="80" t="str">
        <f t="shared" si="0"/>
        <v/>
      </c>
      <c r="I27" s="68"/>
    </row>
    <row r="28" spans="1:28" x14ac:dyDescent="0.2">
      <c r="A28" s="65"/>
      <c r="B28" s="101"/>
      <c r="C28" s="79" t="str">
        <f>IF(B28="","",COUNTA($B$16:B28))</f>
        <v/>
      </c>
      <c r="D28" s="103"/>
      <c r="E28" s="102"/>
      <c r="F28" s="104"/>
      <c r="G28" s="105"/>
      <c r="H28" s="80" t="str">
        <f t="shared" si="0"/>
        <v/>
      </c>
      <c r="I28" s="68"/>
      <c r="L28" s="95"/>
    </row>
    <row r="29" spans="1:28" x14ac:dyDescent="0.2">
      <c r="A29" s="65"/>
      <c r="B29" s="101"/>
      <c r="C29" s="79" t="str">
        <f>IF(B29="","",COUNTA($B$16:B29))</f>
        <v/>
      </c>
      <c r="D29" s="103"/>
      <c r="E29" s="102"/>
      <c r="F29" s="104"/>
      <c r="G29" s="105"/>
      <c r="H29" s="80" t="str">
        <f t="shared" si="0"/>
        <v/>
      </c>
      <c r="I29" s="68"/>
    </row>
    <row r="30" spans="1:28" x14ac:dyDescent="0.2">
      <c r="A30" s="65"/>
      <c r="B30" s="101"/>
      <c r="C30" s="79" t="str">
        <f>IF(B30="","",COUNTA($B$16:B30))</f>
        <v/>
      </c>
      <c r="D30" s="103"/>
      <c r="E30" s="102"/>
      <c r="F30" s="104"/>
      <c r="G30" s="105"/>
      <c r="H30" s="80" t="str">
        <f t="shared" si="0"/>
        <v/>
      </c>
      <c r="I30" s="68"/>
    </row>
    <row r="31" spans="1:28" x14ac:dyDescent="0.2">
      <c r="A31" s="65"/>
      <c r="B31" s="101"/>
      <c r="C31" s="79" t="str">
        <f>IF(B31="","",COUNTA($B$16:B31))</f>
        <v/>
      </c>
      <c r="D31" s="103"/>
      <c r="E31" s="102"/>
      <c r="F31" s="104"/>
      <c r="G31" s="105"/>
      <c r="H31" s="80" t="str">
        <f t="shared" si="0"/>
        <v/>
      </c>
      <c r="I31" s="68"/>
    </row>
    <row r="32" spans="1:28" x14ac:dyDescent="0.2">
      <c r="A32" s="65"/>
      <c r="B32" s="101"/>
      <c r="C32" s="79" t="str">
        <f>IF(B32="","",COUNTA($B$16:B32))</f>
        <v/>
      </c>
      <c r="D32" s="103"/>
      <c r="E32" s="102"/>
      <c r="F32" s="104"/>
      <c r="G32" s="105"/>
      <c r="H32" s="80" t="str">
        <f t="shared" si="0"/>
        <v/>
      </c>
      <c r="I32" s="68"/>
    </row>
    <row r="33" spans="1:9" x14ac:dyDescent="0.2">
      <c r="A33" s="65"/>
      <c r="B33" s="101"/>
      <c r="C33" s="79" t="str">
        <f>IF(B33="","",COUNTA($B$16:B33))</f>
        <v/>
      </c>
      <c r="D33" s="103"/>
      <c r="E33" s="102"/>
      <c r="F33" s="104"/>
      <c r="G33" s="105"/>
      <c r="H33" s="80" t="str">
        <f t="shared" si="0"/>
        <v/>
      </c>
      <c r="I33" s="68"/>
    </row>
    <row r="34" spans="1:9" x14ac:dyDescent="0.2">
      <c r="A34" s="65"/>
      <c r="B34" s="101"/>
      <c r="C34" s="79" t="str">
        <f>IF(B34="","",COUNTA($B$16:B34))</f>
        <v/>
      </c>
      <c r="D34" s="103"/>
      <c r="E34" s="102"/>
      <c r="F34" s="104"/>
      <c r="G34" s="105"/>
      <c r="H34" s="80" t="str">
        <f t="shared" si="0"/>
        <v/>
      </c>
      <c r="I34" s="68"/>
    </row>
    <row r="35" spans="1:9" ht="16" thickBot="1" x14ac:dyDescent="0.25">
      <c r="A35" s="65"/>
      <c r="B35" s="106"/>
      <c r="C35" s="96" t="str">
        <f>IF(B35="","",COUNTA($B$16:B35))</f>
        <v/>
      </c>
      <c r="D35" s="107"/>
      <c r="E35" s="108"/>
      <c r="F35" s="109"/>
      <c r="G35" s="110"/>
      <c r="H35" s="97" t="str">
        <f t="shared" si="0"/>
        <v/>
      </c>
      <c r="I35" s="68"/>
    </row>
    <row r="36" spans="1:9" ht="16" thickBot="1" x14ac:dyDescent="0.25">
      <c r="A36" s="98"/>
      <c r="B36" s="99"/>
      <c r="C36" s="99"/>
      <c r="D36" s="99"/>
      <c r="E36" s="99"/>
      <c r="F36" s="99"/>
      <c r="G36" s="99"/>
      <c r="H36" s="99"/>
      <c r="I36" s="100"/>
    </row>
    <row r="37" spans="1:9" x14ac:dyDescent="0.2"/>
  </sheetData>
  <sheetProtection sheet="1" selectLockedCells="1"/>
  <mergeCells count="14">
    <mergeCell ref="L10:M10"/>
    <mergeCell ref="A1:N2"/>
    <mergeCell ref="L20:M20"/>
    <mergeCell ref="L17:M17"/>
    <mergeCell ref="L15:M15"/>
    <mergeCell ref="B4:H5"/>
    <mergeCell ref="D9:H10"/>
    <mergeCell ref="B9:B10"/>
    <mergeCell ref="D6:H6"/>
    <mergeCell ref="B14:C14"/>
    <mergeCell ref="D14:E14"/>
    <mergeCell ref="L4:M5"/>
    <mergeCell ref="B6:B7"/>
    <mergeCell ref="L6:M6"/>
  </mergeCells>
  <conditionalFormatting sqref="B16:B35 D16:D35 F16:G35">
    <cfRule type="notContainsBlanks" dxfId="2" priority="1">
      <formula>LEN(TRIM(B16))&gt;0</formula>
    </cfRule>
  </conditionalFormatting>
  <conditionalFormatting sqref="M18 M21:M25">
    <cfRule type="cellIs" dxfId="1" priority="6" operator="equal">
      <formula>0</formula>
    </cfRule>
  </conditionalFormatting>
  <conditionalFormatting sqref="M18">
    <cfRule type="containsText" dxfId="0" priority="2" operator="containsText" text="N/A">
      <formula>NOT(ISERROR(SEARCH("N/A",M18)))</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B8272-94F5-4326-9E2B-934EE2063385}">
  <sheetPr>
    <tabColor theme="1"/>
  </sheetPr>
  <dimension ref="B1:R54"/>
  <sheetViews>
    <sheetView showGridLines="0" zoomScale="115" zoomScaleNormal="115" workbookViewId="0">
      <selection activeCell="P34" sqref="P34"/>
    </sheetView>
  </sheetViews>
  <sheetFormatPr baseColWidth="10" defaultRowHeight="15" x14ac:dyDescent="0.2"/>
  <cols>
    <col min="6" max="6" width="3.5" customWidth="1"/>
    <col min="10" max="10" width="3.5" customWidth="1"/>
    <col min="12" max="12" width="3.5" customWidth="1"/>
    <col min="13" max="13" width="27" bestFit="1" customWidth="1"/>
    <col min="14" max="14" width="7" customWidth="1"/>
  </cols>
  <sheetData>
    <row r="1" spans="2:18" ht="15" customHeight="1" x14ac:dyDescent="0.2">
      <c r="B1" s="1" t="s">
        <v>104</v>
      </c>
      <c r="P1" s="19"/>
      <c r="Q1" s="656" t="s">
        <v>90</v>
      </c>
      <c r="R1" s="658" t="s">
        <v>102</v>
      </c>
    </row>
    <row r="2" spans="2:18" x14ac:dyDescent="0.2">
      <c r="P2" s="21"/>
      <c r="Q2" s="657"/>
      <c r="R2" s="659"/>
    </row>
    <row r="3" spans="2:18" x14ac:dyDescent="0.2">
      <c r="G3" s="660" t="s">
        <v>36</v>
      </c>
      <c r="H3" s="660"/>
      <c r="I3" s="660"/>
      <c r="K3" s="9" t="s">
        <v>37</v>
      </c>
      <c r="P3" s="19" t="s">
        <v>85</v>
      </c>
      <c r="Q3" s="16">
        <f>AVERAGE($D$5:$D$54)</f>
        <v>1.8226298956299933</v>
      </c>
      <c r="R3" s="17"/>
    </row>
    <row r="4" spans="2:18" x14ac:dyDescent="0.2">
      <c r="B4" s="9" t="s">
        <v>81</v>
      </c>
      <c r="C4" s="380" t="s">
        <v>82</v>
      </c>
      <c r="D4" s="380" t="s">
        <v>83</v>
      </c>
      <c r="E4" s="380" t="s">
        <v>84</v>
      </c>
      <c r="G4" s="272" t="s">
        <v>93</v>
      </c>
      <c r="H4" s="272" t="s">
        <v>94</v>
      </c>
      <c r="I4" s="272" t="s">
        <v>95</v>
      </c>
      <c r="K4" s="272" t="s">
        <v>93</v>
      </c>
      <c r="M4" s="18" t="str">
        <f>IF(Information!$B$6=Tekst!$B$1,Tekst!$B$15,IF(Information!$B$6=Tekst!C1,Tekst!$C$15,""))</f>
        <v>Målinger (n)</v>
      </c>
      <c r="N4">
        <f>Analysis!$D$5</f>
        <v>8</v>
      </c>
      <c r="P4" s="19" t="s">
        <v>99</v>
      </c>
      <c r="Q4" s="17"/>
      <c r="R4" s="377">
        <f>AVERAGE($E$5:$E$54)</f>
        <v>9.4125000000000014</v>
      </c>
    </row>
    <row r="5" spans="2:18" x14ac:dyDescent="0.2">
      <c r="B5">
        <v>1</v>
      </c>
      <c r="C5">
        <f>IF(Calc!$F3=0,"",Calc!$F3)</f>
        <v>21</v>
      </c>
      <c r="D5">
        <f>IF(OR(C5="",Calc!E3=1),"",Calc!Q3)</f>
        <v>3.044522437723423</v>
      </c>
      <c r="E5">
        <f>IF(OR(C5="",Calc!E3=1),"",C5)</f>
        <v>21</v>
      </c>
      <c r="G5" s="16">
        <f>IF(C5="","",IF(Calc!E3=1,$Q$9*C5,C5))</f>
        <v>21</v>
      </c>
      <c r="H5" s="16">
        <f>IF(C5="","",IF(Calc!E3=1,$Q$10*C5,C5))</f>
        <v>21</v>
      </c>
      <c r="I5" s="16">
        <f t="shared" ref="I5:I36" si="0">IF(C5="","",LN(H5))</f>
        <v>3.044522437723423</v>
      </c>
      <c r="K5" s="377">
        <f>IF(C5="","",IF(Calc!E3=1,$R$9*C5,C5))</f>
        <v>21</v>
      </c>
      <c r="M5" s="18" t="str">
        <f>IF(Information!$B$6=Tekst!$B$1,Tekst!$B$16,IF(Information!$B$6=Tekst!C1,Tekst!$C$16,""))</f>
        <v>Målinger under DG (m)</v>
      </c>
      <c r="N5">
        <f>Analysis!$D$6</f>
        <v>0</v>
      </c>
      <c r="P5" s="19" t="s">
        <v>86</v>
      </c>
      <c r="Q5" s="16" t="str">
        <f>IFERROR(_xlfn.NORM.S.INV($N$5/$N$4),"")</f>
        <v/>
      </c>
      <c r="R5" s="377" t="str">
        <f>IFERROR(_xlfn.NORM.S.INV($N$5/$N$4),"")</f>
        <v/>
      </c>
    </row>
    <row r="6" spans="2:18" x14ac:dyDescent="0.2">
      <c r="B6">
        <v>2</v>
      </c>
      <c r="C6">
        <f>IF(Calc!$F4=0,"",Calc!$F4)</f>
        <v>1.9</v>
      </c>
      <c r="D6">
        <f>IF(OR(C6="",Calc!E4=1),"",Calc!Q4)</f>
        <v>0.64185388617239469</v>
      </c>
      <c r="E6">
        <f>IF(OR(C6="",Calc!E4=1),"",C6)</f>
        <v>1.9</v>
      </c>
      <c r="G6" s="16">
        <f>IF(C6="","",IF(Calc!E4=1,$Q$9*C6,C6))</f>
        <v>1.9</v>
      </c>
      <c r="H6" s="16">
        <f>IF(C6="","",IF(Calc!E4=1,$Q$10*C6,C6))</f>
        <v>1.9</v>
      </c>
      <c r="I6" s="16">
        <f t="shared" si="0"/>
        <v>0.64185388617239469</v>
      </c>
      <c r="K6" s="377">
        <f>IF(C6="","",IF(Calc!E4=1,$R$9*C6,C6))</f>
        <v>1.9</v>
      </c>
      <c r="M6" s="18" t="s">
        <v>103</v>
      </c>
      <c r="N6">
        <f>N4-N5</f>
        <v>8</v>
      </c>
      <c r="P6" s="19" t="s">
        <v>87</v>
      </c>
      <c r="Q6" s="16" t="str">
        <f>IFERROR(_xlfn.NORM.DIST($Q$5,0,1,0)/(1-_xlfn.NORM.DIST($Q$5,0,1,1)),"")</f>
        <v/>
      </c>
      <c r="R6" s="377" t="str">
        <f>IFERROR(_xlfn.NORM.DIST($R$5,0,1,0)/(1-_xlfn.NORM.DIST($R$5,0,1,1)),"")</f>
        <v/>
      </c>
    </row>
    <row r="7" spans="2:18" x14ac:dyDescent="0.2">
      <c r="B7">
        <v>3</v>
      </c>
      <c r="C7">
        <f>IF(Calc!$F5=0,"",Calc!$F5)</f>
        <v>5.8</v>
      </c>
      <c r="D7">
        <f>IF(OR(C7="",Calc!E5=1),"",Calc!Q5)</f>
        <v>1.7578579175523736</v>
      </c>
      <c r="E7">
        <f>IF(OR(C7="",Calc!E5=1),"",C7)</f>
        <v>5.8</v>
      </c>
      <c r="G7" s="16">
        <f>IF(C7="","",IF(Calc!E5=1,$Q$9*C7,C7))</f>
        <v>5.8</v>
      </c>
      <c r="H7" s="16">
        <f>IF(C7="","",IF(Calc!E5=1,$Q$10*C7,C7))</f>
        <v>5.8</v>
      </c>
      <c r="I7" s="16">
        <f t="shared" si="0"/>
        <v>1.7578579175523736</v>
      </c>
      <c r="K7" s="377">
        <f>IF(C7="","",IF(Calc!E5=1,$R$9*C7,C7))</f>
        <v>5.8</v>
      </c>
      <c r="M7" s="18" t="s">
        <v>80</v>
      </c>
      <c r="N7">
        <f>MIN($C$5:$C$54)</f>
        <v>1.7</v>
      </c>
      <c r="P7" s="19" t="s">
        <v>88</v>
      </c>
      <c r="Q7" s="16" t="str">
        <f>IFERROR(SQRT(($Q$3-LN($N$7))^2/($Q$6-$Q$5)^2),"")</f>
        <v/>
      </c>
      <c r="R7" s="377" t="str">
        <f>IFERROR(SQRT(($R$4-$N$7)^2/($R$6-$R$5)^2),"")</f>
        <v/>
      </c>
    </row>
    <row r="8" spans="2:18" x14ac:dyDescent="0.2">
      <c r="B8">
        <v>4</v>
      </c>
      <c r="C8">
        <f>IF(Calc!$F6=0,"",Calc!$F6)</f>
        <v>17</v>
      </c>
      <c r="D8">
        <f>IF(OR(C8="",Calc!E6=1),"",Calc!Q6)</f>
        <v>2.8332133440562162</v>
      </c>
      <c r="E8">
        <f>IF(OR(C8="",Calc!E6=1),"",C8)</f>
        <v>17</v>
      </c>
      <c r="G8" s="16">
        <f>IF(C8="","",IF(Calc!E6=1,$Q$9*C8,C8))</f>
        <v>17</v>
      </c>
      <c r="H8" s="16">
        <f>IF(C8="","",IF(Calc!E6=1,$Q$10*C8,C8))</f>
        <v>17</v>
      </c>
      <c r="I8" s="16">
        <f t="shared" si="0"/>
        <v>2.8332133440562162</v>
      </c>
      <c r="K8" s="377">
        <f>IF(C8="","",IF(Calc!E6=1,$R$9*C8,C8))</f>
        <v>17</v>
      </c>
      <c r="M8" s="8" t="s">
        <v>23</v>
      </c>
      <c r="N8">
        <f>MEDIAN($C$5:$C$54)</f>
        <v>6.05</v>
      </c>
      <c r="P8" s="19" t="s">
        <v>89</v>
      </c>
      <c r="Q8" s="16" t="str">
        <f>IFERROR((1-NORMDIST($Q$5-$Q$7/$N$4,0,1,TRUE))/(1-NORMDIST($Q$5,0,1,TRUE)),"")</f>
        <v/>
      </c>
      <c r="R8" s="377" t="str">
        <f>IFERROR((1-NORMDIST($R$5-$R$7/$N$4,0,1,TRUE))/(1-NORMDIST($R$5,0,1,TRUE)),"")</f>
        <v/>
      </c>
    </row>
    <row r="9" spans="2:18" x14ac:dyDescent="0.2">
      <c r="B9">
        <v>5</v>
      </c>
      <c r="C9">
        <f>IF(Calc!$F7=0,"",Calc!$F7)</f>
        <v>1.7</v>
      </c>
      <c r="D9">
        <f>IF(OR(C9="",Calc!E7=1),"",Calc!Q7)</f>
        <v>0.53062825106217038</v>
      </c>
      <c r="E9">
        <f>IF(OR(C9="",Calc!E7=1),"",C9)</f>
        <v>1.7</v>
      </c>
      <c r="G9" s="16">
        <f>IF(C9="","",IF(Calc!E7=1,$Q$9*C9,C9))</f>
        <v>1.7</v>
      </c>
      <c r="H9" s="16">
        <f>IF(C9="","",IF(Calc!E7=1,$Q$10*C9,C9))</f>
        <v>1.7</v>
      </c>
      <c r="I9" s="16">
        <f t="shared" si="0"/>
        <v>0.53062825106217038</v>
      </c>
      <c r="K9" s="377">
        <f>IF(C9="","",IF(Calc!E7=1,$R$9*C9,C9))</f>
        <v>1.7</v>
      </c>
      <c r="M9" s="18" t="s">
        <v>1584</v>
      </c>
      <c r="N9">
        <f>MAXA($C$5:$C$54)</f>
        <v>21</v>
      </c>
      <c r="P9" s="19" t="s">
        <v>91</v>
      </c>
      <c r="Q9" s="16" t="str">
        <f>IFERROR($N$4/$N$5*NORMDIST($Q$5-$Q$7,0,1,1)*EXP(-$Q$7*$Q$5+($Q$7)^2/2),"")</f>
        <v/>
      </c>
      <c r="R9" s="377" t="str">
        <f>IFERROR($N$4/$N$5*NORMDIST($R$5-$R$7,0,1,1)*EXP(-$R$7*$R$5+($R$7)^2/2),"")</f>
        <v/>
      </c>
    </row>
    <row r="10" spans="2:18" x14ac:dyDescent="0.2">
      <c r="B10">
        <v>6</v>
      </c>
      <c r="C10">
        <f>IF(Calc!$F8=0,"",Calc!$F8)</f>
        <v>2.7</v>
      </c>
      <c r="D10">
        <f>IF(OR(C10="",Calc!E8=1),"",Calc!Q8)</f>
        <v>0.99325177301028345</v>
      </c>
      <c r="E10">
        <f>IF(OR(C10="",Calc!E8=1),"",C10)</f>
        <v>2.7</v>
      </c>
      <c r="G10" s="16">
        <f>IF(C10="","",IF(Calc!E8=1,$Q$9*C10,C10))</f>
        <v>2.7</v>
      </c>
      <c r="H10" s="16">
        <f>IF(C10="","",IF(Calc!E8=1,$Q$10*C10,C10))</f>
        <v>2.7</v>
      </c>
      <c r="I10" s="16">
        <f t="shared" si="0"/>
        <v>0.99325177301028345</v>
      </c>
      <c r="K10" s="377">
        <f>IF(C10="","",IF(Calc!E8=1,$R$9*C10,C10))</f>
        <v>2.7</v>
      </c>
      <c r="P10" s="19" t="s">
        <v>92</v>
      </c>
      <c r="Q10" s="16" t="str">
        <f>IFERROR(EXP((-($N$4-$N$5)*$N$4)/$N$5*LN(Q8)-$Q$7*$Q$5-($N$4-$N$5)/(2*$N$5*$N$4)*($Q$7)^2),"")</f>
        <v/>
      </c>
      <c r="R10" s="17"/>
    </row>
    <row r="11" spans="2:18" x14ac:dyDescent="0.2">
      <c r="B11">
        <v>7</v>
      </c>
      <c r="C11">
        <f>IF(Calc!$F9=0,"",Calc!$F9)</f>
        <v>6.3</v>
      </c>
      <c r="D11">
        <f>IF(OR(C11="",Calc!E9=1),"",Calc!Q9)</f>
        <v>1.8405496333974869</v>
      </c>
      <c r="E11">
        <f>IF(OR(C11="",Calc!E9=1),"",C11)</f>
        <v>6.3</v>
      </c>
      <c r="G11" s="16">
        <f>IF(C11="","",IF(Calc!E9=1,$Q$9*C11,C11))</f>
        <v>6.3</v>
      </c>
      <c r="H11" s="16">
        <f>IF(C11="","",IF(Calc!E9=1,$Q$10*C11,C11))</f>
        <v>6.3</v>
      </c>
      <c r="I11" s="16">
        <f t="shared" si="0"/>
        <v>1.8405496333974869</v>
      </c>
      <c r="K11" s="377">
        <f>IF(C11="","",IF(Calc!E9=1,$R$9*C11,C11))</f>
        <v>6.3</v>
      </c>
      <c r="P11" s="20"/>
      <c r="Q11" s="378"/>
      <c r="R11" s="379"/>
    </row>
    <row r="12" spans="2:18" x14ac:dyDescent="0.2">
      <c r="B12">
        <v>8</v>
      </c>
      <c r="C12">
        <f>IF(Calc!$F10=0,"",Calc!$F10)</f>
        <v>18.899999999999999</v>
      </c>
      <c r="D12">
        <f>IF(OR(C12="",Calc!E10=1),"",Calc!Q10)</f>
        <v>2.9391619220655967</v>
      </c>
      <c r="E12">
        <f>IF(OR(C12="",Calc!E10=1),"",C12)</f>
        <v>18.899999999999999</v>
      </c>
      <c r="G12" s="16">
        <f>IF(C12="","",IF(Calc!E10=1,$Q$9*C12,C12))</f>
        <v>18.899999999999999</v>
      </c>
      <c r="H12" s="16">
        <f>IF(C12="","",IF(Calc!E10=1,$Q$10*C12,C12))</f>
        <v>18.899999999999999</v>
      </c>
      <c r="I12" s="16">
        <f t="shared" si="0"/>
        <v>2.9391619220655967</v>
      </c>
      <c r="K12" s="377">
        <f>IF(C12="","",IF(Calc!E10=1,$R$9*C12,C12))</f>
        <v>18.899999999999999</v>
      </c>
      <c r="P12" s="19" t="s">
        <v>98</v>
      </c>
      <c r="Q12" s="16">
        <f>AVERAGE($G$5:$G$54)</f>
        <v>9.4125000000000014</v>
      </c>
      <c r="R12" s="377">
        <f>AVERAGE($K$5:$K$54)</f>
        <v>9.4125000000000014</v>
      </c>
    </row>
    <row r="13" spans="2:18" x14ac:dyDescent="0.2">
      <c r="B13">
        <v>9</v>
      </c>
      <c r="C13" t="str">
        <f>IF(Calc!$F11=0,"",Calc!$F11)</f>
        <v/>
      </c>
      <c r="D13" t="str">
        <f>IF(OR(C13="",Calc!E11=1),"",Calc!Q11)</f>
        <v/>
      </c>
      <c r="E13" t="str">
        <f>IF(OR(C13="",Calc!E11=1),"",C13)</f>
        <v/>
      </c>
      <c r="G13" s="16" t="str">
        <f>IF(C13="","",IF(Calc!E11=1,$Q$9*C13,C13))</f>
        <v/>
      </c>
      <c r="H13" s="16" t="str">
        <f>IF(C13="","",IF(Calc!E11=1,$Q$10*C13,C13))</f>
        <v/>
      </c>
      <c r="I13" s="16" t="str">
        <f t="shared" si="0"/>
        <v/>
      </c>
      <c r="K13" s="377" t="str">
        <f>IF(C13="","",IF(Calc!E11=1,$R$9*C13,C13))</f>
        <v/>
      </c>
      <c r="P13" s="19" t="s">
        <v>96</v>
      </c>
      <c r="Q13" s="16">
        <f>_xlfn.STDEV.S($G$5:$G$54)</f>
        <v>8.1553553833399182</v>
      </c>
      <c r="R13" s="377">
        <f>STDEV($K$5:$K$54)</f>
        <v>8.1553553833399182</v>
      </c>
    </row>
    <row r="14" spans="2:18" x14ac:dyDescent="0.2">
      <c r="B14">
        <v>10</v>
      </c>
      <c r="C14" t="str">
        <f>IF(Calc!$F12=0,"",Calc!$F12)</f>
        <v/>
      </c>
      <c r="D14" t="str">
        <f>IF(OR(C14="",Calc!E12=1),"",Calc!Q12)</f>
        <v/>
      </c>
      <c r="E14" t="str">
        <f>IF(OR(C14="",Calc!E12=1),"",C14)</f>
        <v/>
      </c>
      <c r="G14" s="16" t="str">
        <f>IF(C14="","",IF(Calc!E12=1,$Q$9*C14,C14))</f>
        <v/>
      </c>
      <c r="H14" s="16" t="str">
        <f>IF(C14="","",IF(Calc!E12=1,$Q$10*C14,C14))</f>
        <v/>
      </c>
      <c r="I14" s="16" t="str">
        <f t="shared" si="0"/>
        <v/>
      </c>
      <c r="K14" s="377" t="str">
        <f>IF(C14="","",IF(Calc!E12=1,$R$9*C14,C14))</f>
        <v/>
      </c>
      <c r="P14" s="19" t="s">
        <v>97</v>
      </c>
      <c r="Q14" s="16">
        <f>EXP(AVERAGE($I$5:$I$54))</f>
        <v>6.1881111555421828</v>
      </c>
      <c r="R14" s="17"/>
    </row>
    <row r="15" spans="2:18" x14ac:dyDescent="0.2">
      <c r="B15">
        <v>11</v>
      </c>
      <c r="C15" t="str">
        <f>IF(Calc!$F13=0,"",Calc!$F13)</f>
        <v/>
      </c>
      <c r="D15" t="str">
        <f>IF(OR(C15="",Calc!E13=1),"",Calc!Q13)</f>
        <v/>
      </c>
      <c r="E15" t="str">
        <f>IF(OR(C15="",Calc!E13=1),"",C15)</f>
        <v/>
      </c>
      <c r="G15" s="16" t="str">
        <f>IF(C15="","",IF(Calc!E13=1,$Q$9*C15,C15))</f>
        <v/>
      </c>
      <c r="H15" s="16" t="str">
        <f>IF(C15="","",IF(Calc!E13=1,$Q$10*C15,C15))</f>
        <v/>
      </c>
      <c r="I15" s="16" t="str">
        <f t="shared" si="0"/>
        <v/>
      </c>
      <c r="K15" s="377" t="str">
        <f>IF(C15="","",IF(Calc!E13=1,$R$9*C15,C15))</f>
        <v/>
      </c>
      <c r="P15" s="19" t="s">
        <v>100</v>
      </c>
      <c r="Q15" s="16">
        <f>IF(($Q$12/$Q$14)&lt;=1,1,EXP(Q17))</f>
        <v>2.6620751359262798</v>
      </c>
      <c r="R15" s="17"/>
    </row>
    <row r="16" spans="2:18" x14ac:dyDescent="0.2">
      <c r="B16">
        <v>12</v>
      </c>
      <c r="C16" t="str">
        <f>IF(Calc!$F14=0,"",Calc!$F14)</f>
        <v/>
      </c>
      <c r="D16" t="str">
        <f>IF(OR(C16="",Calc!E14=1),"",Calc!Q14)</f>
        <v/>
      </c>
      <c r="E16" t="str">
        <f>IF(OR(C16="",Calc!E14=1),"",C16)</f>
        <v/>
      </c>
      <c r="G16" s="16" t="str">
        <f>IF(C16="","",IF(Calc!E14=1,$Q$9*C16,C16))</f>
        <v/>
      </c>
      <c r="H16" s="16" t="str">
        <f>IF(C16="","",IF(Calc!E14=1,$Q$10*C16,C16))</f>
        <v/>
      </c>
      <c r="I16" s="16" t="str">
        <f t="shared" si="0"/>
        <v/>
      </c>
      <c r="K16" s="377" t="str">
        <f>IF(C16="","",IF(Calc!E14=1,$R$9*C16,C16))</f>
        <v/>
      </c>
      <c r="P16" s="19" t="s">
        <v>85</v>
      </c>
      <c r="Q16" s="16">
        <f>AVERAGE($I$5:$I$54)</f>
        <v>1.8226298956299933</v>
      </c>
      <c r="R16" s="17"/>
    </row>
    <row r="17" spans="2:18" x14ac:dyDescent="0.2">
      <c r="B17">
        <v>13</v>
      </c>
      <c r="C17" t="str">
        <f>IF(Calc!$F15=0,"",Calc!$F15)</f>
        <v/>
      </c>
      <c r="D17" t="str">
        <f>IF(OR(C17="",Calc!E15=1),"",Calc!Q15)</f>
        <v/>
      </c>
      <c r="E17" t="str">
        <f>IF(OR(C17="",Calc!E15=1),"",C17)</f>
        <v/>
      </c>
      <c r="G17" s="16" t="str">
        <f>IF(C17="","",IF(Calc!E15=1,$Q$9*C17,C17))</f>
        <v/>
      </c>
      <c r="H17" s="16" t="str">
        <f>IF(C17="","",IF(Calc!E15=1,$Q$10*C17,C17))</f>
        <v/>
      </c>
      <c r="I17" s="16" t="str">
        <f t="shared" si="0"/>
        <v/>
      </c>
      <c r="K17" s="377" t="str">
        <f>IF(C17="","",IF(Calc!E15=1,$R$9*C17,C17))</f>
        <v/>
      </c>
      <c r="P17" s="19" t="s">
        <v>88</v>
      </c>
      <c r="Q17" s="16">
        <f>IF(($Q$12/$Q$14)&lt;=1,0,SQRT(2*$N$4/($N$4-1)*LN($Q$12/$Q$14)))</f>
        <v>0.97910594494133851</v>
      </c>
      <c r="R17" s="17"/>
    </row>
    <row r="18" spans="2:18" x14ac:dyDescent="0.2">
      <c r="B18">
        <v>14</v>
      </c>
      <c r="C18" t="str">
        <f>IF(Calc!$F16=0,"",Calc!$F16)</f>
        <v/>
      </c>
      <c r="D18" t="str">
        <f>IF(OR(C18="",Calc!E16=1),"",Calc!Q16)</f>
        <v/>
      </c>
      <c r="E18" t="str">
        <f>IF(OR(C18="",Calc!E16=1),"",C18)</f>
        <v/>
      </c>
      <c r="G18" s="16" t="str">
        <f>IF(C18="","",IF(Calc!E16=1,$Q$9*C18,C18))</f>
        <v/>
      </c>
      <c r="H18" s="16" t="str">
        <f>IF(C18="","",IF(Calc!E16=1,$Q$10*C18,C18))</f>
        <v/>
      </c>
      <c r="I18" s="16" t="str">
        <f t="shared" si="0"/>
        <v/>
      </c>
      <c r="K18" s="377" t="str">
        <f>IF(C18="","",IF(Calc!E16=1,$R$9*C18,C18))</f>
        <v/>
      </c>
      <c r="P18" s="19" t="s">
        <v>101</v>
      </c>
      <c r="Q18" s="16">
        <f>IF(N5=0,EXP(Q16+1.645*Q17),EXP(LN($Q$14)-($Q$7)^2/(2*$N$4)+1.645*$Q$17))</f>
        <v>30.977439301196611</v>
      </c>
      <c r="R18" s="377">
        <f>$R$12+(1.645*$R$13)</f>
        <v>22.828059605594166</v>
      </c>
    </row>
    <row r="19" spans="2:18" x14ac:dyDescent="0.2">
      <c r="B19">
        <v>15</v>
      </c>
      <c r="C19" t="str">
        <f>IF(Calc!$F17=0,"",Calc!$F17)</f>
        <v/>
      </c>
      <c r="D19" t="str">
        <f>IF(OR(C19="",Calc!E17=1),"",Calc!Q17)</f>
        <v/>
      </c>
      <c r="E19" t="str">
        <f>IF(OR(C19="",Calc!E17=1),"",C19)</f>
        <v/>
      </c>
      <c r="G19" s="16" t="str">
        <f>IF(C19="","",IF(Calc!E17=1,$Q$9*C19,C19))</f>
        <v/>
      </c>
      <c r="H19" s="16" t="str">
        <f>IF(C19="","",IF(Calc!E17=1,$Q$10*C19,C19))</f>
        <v/>
      </c>
      <c r="I19" s="16" t="str">
        <f t="shared" si="0"/>
        <v/>
      </c>
      <c r="K19" s="377" t="str">
        <f>IF(C19="","",IF(Calc!E17=1,$R$9*C19,C19))</f>
        <v/>
      </c>
      <c r="P19" s="19" t="s">
        <v>135</v>
      </c>
      <c r="Q19" s="16">
        <f>IF(N5=0,'Stats - distribution'!D24,EXP(LN($Q$14)-($Q$7)^2/(2*$N$4)+'Stats - distribution'!D23*$Q$17))</f>
        <v>52.971738036210645</v>
      </c>
      <c r="R19" s="377">
        <f>$R$12+('Stats - distribution'!D23*$R$13)</f>
        <v>26.310396354280311</v>
      </c>
    </row>
    <row r="20" spans="2:18" x14ac:dyDescent="0.2">
      <c r="B20">
        <v>16</v>
      </c>
      <c r="C20" t="str">
        <f>IF(Calc!$F18=0,"",Calc!$F18)</f>
        <v/>
      </c>
      <c r="D20" t="str">
        <f>IF(OR(C20="",Calc!E18=1),"",Calc!Q18)</f>
        <v/>
      </c>
      <c r="E20" t="str">
        <f>IF(OR(C20="",Calc!E18=1),"",C20)</f>
        <v/>
      </c>
      <c r="G20" s="16" t="str">
        <f>IF(C20="","",IF(Calc!E18=1,$Q$9*C20,C20))</f>
        <v/>
      </c>
      <c r="H20" s="16" t="str">
        <f>IF(C20="","",IF(Calc!E18=1,$Q$10*C20,C20))</f>
        <v/>
      </c>
      <c r="I20" s="16" t="str">
        <f t="shared" si="0"/>
        <v/>
      </c>
      <c r="K20" s="377" t="str">
        <f>IF(C20="","",IF(Calc!E18=1,$R$9*C20,C20))</f>
        <v/>
      </c>
    </row>
    <row r="21" spans="2:18" x14ac:dyDescent="0.2">
      <c r="B21">
        <v>17</v>
      </c>
      <c r="C21" t="str">
        <f>IF(Calc!$F19=0,"",Calc!$F19)</f>
        <v/>
      </c>
      <c r="D21" t="str">
        <f>IF(OR(C21="",Calc!E19=1),"",Calc!Q19)</f>
        <v/>
      </c>
      <c r="E21" t="str">
        <f>IF(OR(C21="",Calc!E19=1),"",C21)</f>
        <v/>
      </c>
      <c r="G21" s="16" t="str">
        <f>IF(C21="","",IF(Calc!E19=1,$Q$9*C21,C21))</f>
        <v/>
      </c>
      <c r="H21" s="16" t="str">
        <f>IF(C21="","",IF(Calc!E19=1,$Q$10*C21,C21))</f>
        <v/>
      </c>
      <c r="I21" s="16" t="str">
        <f t="shared" si="0"/>
        <v/>
      </c>
      <c r="K21" s="377" t="str">
        <f>IF(C21="","",IF(Calc!E19=1,$R$9*C21,C21))</f>
        <v/>
      </c>
    </row>
    <row r="22" spans="2:18" x14ac:dyDescent="0.2">
      <c r="B22">
        <v>18</v>
      </c>
      <c r="C22" t="str">
        <f>IF(Calc!$F20=0,"",Calc!$F20)</f>
        <v/>
      </c>
      <c r="D22" t="str">
        <f>IF(OR(C22="",Calc!E20=1),"",Calc!Q20)</f>
        <v/>
      </c>
      <c r="E22" t="str">
        <f>IF(OR(C22="",Calc!E20=1),"",C22)</f>
        <v/>
      </c>
      <c r="G22" s="16" t="str">
        <f>IF(C22="","",IF(Calc!E20=1,$Q$9*C22,C22))</f>
        <v/>
      </c>
      <c r="H22" s="16" t="str">
        <f>IF(C22="","",IF(Calc!E20=1,$Q$10*C22,C22))</f>
        <v/>
      </c>
      <c r="I22" s="16" t="str">
        <f t="shared" si="0"/>
        <v/>
      </c>
      <c r="K22" s="377" t="str">
        <f>IF(C22="","",IF(Calc!E20=1,$R$9*C22,C22))</f>
        <v/>
      </c>
    </row>
    <row r="23" spans="2:18" x14ac:dyDescent="0.2">
      <c r="B23">
        <v>19</v>
      </c>
      <c r="C23" t="str">
        <f>IF(Calc!$F21=0,"",Calc!$F21)</f>
        <v/>
      </c>
      <c r="D23" t="str">
        <f>IF(OR(C23="",Calc!E21=1),"",Calc!Q21)</f>
        <v/>
      </c>
      <c r="E23" t="str">
        <f>IF(OR(C23="",Calc!E21=1),"",C23)</f>
        <v/>
      </c>
      <c r="G23" s="16" t="str">
        <f>IF(C23="","",IF(Calc!E21=1,$Q$9*C23,C23))</f>
        <v/>
      </c>
      <c r="H23" s="16" t="str">
        <f>IF(C23="","",IF(Calc!E21=1,$Q$10*C23,C23))</f>
        <v/>
      </c>
      <c r="I23" s="16" t="str">
        <f t="shared" si="0"/>
        <v/>
      </c>
      <c r="K23" s="377" t="str">
        <f>IF(C23="","",IF(Calc!E21=1,$R$9*C23,C23))</f>
        <v/>
      </c>
    </row>
    <row r="24" spans="2:18" x14ac:dyDescent="0.2">
      <c r="B24">
        <v>20</v>
      </c>
      <c r="C24" t="str">
        <f>IF(Calc!$F22=0,"",Calc!$F22)</f>
        <v/>
      </c>
      <c r="D24" t="str">
        <f>IF(OR(C24="",Calc!E22=1),"",Calc!Q22)</f>
        <v/>
      </c>
      <c r="E24" t="str">
        <f>IF(OR(C24="",Calc!E22=1),"",C24)</f>
        <v/>
      </c>
      <c r="G24" s="16" t="str">
        <f>IF(C24="","",IF(Calc!E22=1,$Q$9*C24,C24))</f>
        <v/>
      </c>
      <c r="H24" s="16" t="str">
        <f>IF(C24="","",IF(Calc!E22=1,$Q$10*C24,C24))</f>
        <v/>
      </c>
      <c r="I24" s="16" t="str">
        <f t="shared" si="0"/>
        <v/>
      </c>
      <c r="K24" s="377" t="str">
        <f>IF(C24="","",IF(Calc!E22=1,$R$9*C24,C24))</f>
        <v/>
      </c>
    </row>
    <row r="25" spans="2:18" x14ac:dyDescent="0.2">
      <c r="B25">
        <v>21</v>
      </c>
      <c r="C25" t="str">
        <f>IF(Calc!$F23=0,"",Calc!$F23)</f>
        <v/>
      </c>
      <c r="D25" t="str">
        <f>IF(OR(C25="",Calc!E23=1),"",Calc!Q23)</f>
        <v/>
      </c>
      <c r="E25" t="str">
        <f>IF(OR(C25="",Calc!E23=1),"",C25)</f>
        <v/>
      </c>
      <c r="G25" s="16" t="str">
        <f>IF(C25="","",IF(Calc!E23=1,$Q$9*C25,C25))</f>
        <v/>
      </c>
      <c r="H25" s="16" t="str">
        <f>IF(C25="","",IF(Calc!E23=1,$Q$10*C25,C25))</f>
        <v/>
      </c>
      <c r="I25" s="16" t="str">
        <f t="shared" si="0"/>
        <v/>
      </c>
      <c r="K25" s="377" t="str">
        <f>IF(C25="","",IF(Calc!E23=1,$R$9*C25,C25))</f>
        <v/>
      </c>
    </row>
    <row r="26" spans="2:18" x14ac:dyDescent="0.2">
      <c r="B26">
        <v>22</v>
      </c>
      <c r="C26" t="str">
        <f>IF(Calc!$F24=0,"",Calc!$F24)</f>
        <v/>
      </c>
      <c r="D26" t="str">
        <f>IF(OR(C26="",Calc!E24=1),"",Calc!Q24)</f>
        <v/>
      </c>
      <c r="E26" t="str">
        <f>IF(OR(C26="",Calc!E24=1),"",C26)</f>
        <v/>
      </c>
      <c r="G26" s="16" t="str">
        <f>IF(C26="","",IF(Calc!E24=1,$Q$9*C26,C26))</f>
        <v/>
      </c>
      <c r="H26" s="16" t="str">
        <f>IF(C26="","",IF(Calc!E24=1,$Q$10*C26,C26))</f>
        <v/>
      </c>
      <c r="I26" s="16" t="str">
        <f t="shared" si="0"/>
        <v/>
      </c>
      <c r="K26" s="377" t="str">
        <f>IF(C26="","",IF(Calc!E24=1,$R$9*C26,C26))</f>
        <v/>
      </c>
    </row>
    <row r="27" spans="2:18" x14ac:dyDescent="0.2">
      <c r="B27">
        <v>23</v>
      </c>
      <c r="C27" t="str">
        <f>IF(Calc!$F25=0,"",Calc!$F25)</f>
        <v/>
      </c>
      <c r="D27" t="str">
        <f>IF(OR(C27="",Calc!E25=1),"",Calc!Q25)</f>
        <v/>
      </c>
      <c r="E27" t="str">
        <f>IF(OR(C27="",Calc!E25=1),"",C27)</f>
        <v/>
      </c>
      <c r="G27" s="16" t="str">
        <f>IF(C27="","",IF(Calc!E25=1,$Q$9*C27,C27))</f>
        <v/>
      </c>
      <c r="H27" s="16" t="str">
        <f>IF(C27="","",IF(Calc!E25=1,$Q$10*C27,C27))</f>
        <v/>
      </c>
      <c r="I27" s="16" t="str">
        <f t="shared" si="0"/>
        <v/>
      </c>
      <c r="K27" s="377" t="str">
        <f>IF(C27="","",IF(Calc!E25=1,$R$9*C27,C27))</f>
        <v/>
      </c>
    </row>
    <row r="28" spans="2:18" x14ac:dyDescent="0.2">
      <c r="B28">
        <v>24</v>
      </c>
      <c r="C28" t="str">
        <f>IF(Calc!$F26=0,"",Calc!$F26)</f>
        <v/>
      </c>
      <c r="D28" t="str">
        <f>IF(OR(C28="",Calc!E26=1),"",Calc!Q26)</f>
        <v/>
      </c>
      <c r="E28" t="str">
        <f>IF(OR(C28="",Calc!E26=1),"",C28)</f>
        <v/>
      </c>
      <c r="G28" s="16" t="str">
        <f>IF(C28="","",IF(Calc!E26=1,$Q$9*C28,C28))</f>
        <v/>
      </c>
      <c r="H28" s="16" t="str">
        <f>IF(C28="","",IF(Calc!E26=1,$Q$10*C28,C28))</f>
        <v/>
      </c>
      <c r="I28" s="16" t="str">
        <f t="shared" si="0"/>
        <v/>
      </c>
      <c r="K28" s="377" t="str">
        <f>IF(C28="","",IF(Calc!E26=1,$R$9*C28,C28))</f>
        <v/>
      </c>
    </row>
    <row r="29" spans="2:18" x14ac:dyDescent="0.2">
      <c r="B29">
        <v>25</v>
      </c>
      <c r="C29" t="str">
        <f>IF(Calc!$F27=0,"",Calc!$F27)</f>
        <v/>
      </c>
      <c r="D29" t="str">
        <f>IF(OR(C29="",Calc!E27=1),"",Calc!Q27)</f>
        <v/>
      </c>
      <c r="E29" t="str">
        <f>IF(OR(C29="",Calc!E27=1),"",C29)</f>
        <v/>
      </c>
      <c r="G29" s="16" t="str">
        <f>IF(C29="","",IF(Calc!E27=1,$Q$9*C29,C29))</f>
        <v/>
      </c>
      <c r="H29" s="16" t="str">
        <f>IF(C29="","",IF(Calc!E27=1,$Q$10*C29,C29))</f>
        <v/>
      </c>
      <c r="I29" s="16" t="str">
        <f t="shared" si="0"/>
        <v/>
      </c>
      <c r="K29" s="377" t="str">
        <f>IF(C29="","",IF(Calc!E27=1,$R$9*C29,C29))</f>
        <v/>
      </c>
    </row>
    <row r="30" spans="2:18" x14ac:dyDescent="0.2">
      <c r="B30">
        <v>26</v>
      </c>
      <c r="C30" t="str">
        <f>IF(Calc!$F28=0,"",Calc!$F28)</f>
        <v/>
      </c>
      <c r="D30" t="str">
        <f>IF(OR(C30="",Calc!E28=1),"",Calc!Q28)</f>
        <v/>
      </c>
      <c r="E30" t="str">
        <f>IF(OR(C30="",Calc!E28=1),"",C30)</f>
        <v/>
      </c>
      <c r="G30" s="16" t="str">
        <f>IF(C30="","",IF(Calc!E28=1,$Q$9*C30,C30))</f>
        <v/>
      </c>
      <c r="H30" s="16" t="str">
        <f>IF(C30="","",IF(Calc!E28=1,$Q$10*C30,C30))</f>
        <v/>
      </c>
      <c r="I30" s="16" t="str">
        <f t="shared" si="0"/>
        <v/>
      </c>
      <c r="K30" s="377" t="str">
        <f>IF(C30="","",IF(Calc!E28=1,$R$9*C30,C30))</f>
        <v/>
      </c>
    </row>
    <row r="31" spans="2:18" x14ac:dyDescent="0.2">
      <c r="B31">
        <v>27</v>
      </c>
      <c r="C31" t="str">
        <f>IF(Calc!$F29=0,"",Calc!$F29)</f>
        <v/>
      </c>
      <c r="D31" t="str">
        <f>IF(OR(C31="",Calc!E29=1),"",Calc!Q29)</f>
        <v/>
      </c>
      <c r="E31" t="str">
        <f>IF(OR(C31="",Calc!E29=1),"",C31)</f>
        <v/>
      </c>
      <c r="G31" s="16" t="str">
        <f>IF(C31="","",IF(Calc!E29=1,$Q$9*C31,C31))</f>
        <v/>
      </c>
      <c r="H31" s="16" t="str">
        <f>IF(C31="","",IF(Calc!E29=1,$Q$10*C31,C31))</f>
        <v/>
      </c>
      <c r="I31" s="16" t="str">
        <f t="shared" si="0"/>
        <v/>
      </c>
      <c r="K31" s="377" t="str">
        <f>IF(C31="","",IF(Calc!E29=1,$R$9*C31,C31))</f>
        <v/>
      </c>
    </row>
    <row r="32" spans="2:18" x14ac:dyDescent="0.2">
      <c r="B32">
        <v>28</v>
      </c>
      <c r="C32" t="str">
        <f>IF(Calc!$F30=0,"",Calc!$F30)</f>
        <v/>
      </c>
      <c r="D32" t="str">
        <f>IF(OR(C32="",Calc!E30=1),"",Calc!Q30)</f>
        <v/>
      </c>
      <c r="E32" t="str">
        <f>IF(OR(C32="",Calc!E30=1),"",C32)</f>
        <v/>
      </c>
      <c r="G32" s="16" t="str">
        <f>IF(C32="","",IF(Calc!E30=1,$Q$9*C32,C32))</f>
        <v/>
      </c>
      <c r="H32" s="16" t="str">
        <f>IF(C32="","",IF(Calc!E30=1,$Q$10*C32,C32))</f>
        <v/>
      </c>
      <c r="I32" s="16" t="str">
        <f t="shared" si="0"/>
        <v/>
      </c>
      <c r="K32" s="377" t="str">
        <f>IF(C32="","",IF(Calc!E30=1,$R$9*C32,C32))</f>
        <v/>
      </c>
    </row>
    <row r="33" spans="2:11" x14ac:dyDescent="0.2">
      <c r="B33">
        <v>29</v>
      </c>
      <c r="C33" t="str">
        <f>IF(Calc!$F31=0,"",Calc!$F31)</f>
        <v/>
      </c>
      <c r="D33" t="str">
        <f>IF(OR(C33="",Calc!E31=1),"",Calc!Q31)</f>
        <v/>
      </c>
      <c r="E33" t="str">
        <f>IF(OR(C33="",Calc!E31=1),"",C33)</f>
        <v/>
      </c>
      <c r="G33" s="16" t="str">
        <f>IF(C33="","",IF(Calc!E31=1,$Q$9*C33,C33))</f>
        <v/>
      </c>
      <c r="H33" s="16" t="str">
        <f>IF(C33="","",IF(Calc!E31=1,$Q$10*C33,C33))</f>
        <v/>
      </c>
      <c r="I33" s="16" t="str">
        <f t="shared" si="0"/>
        <v/>
      </c>
      <c r="K33" s="377" t="str">
        <f>IF(C33="","",IF(Calc!E31=1,$R$9*C33,C33))</f>
        <v/>
      </c>
    </row>
    <row r="34" spans="2:11" x14ac:dyDescent="0.2">
      <c r="B34">
        <v>30</v>
      </c>
      <c r="C34" t="str">
        <f>IF(Calc!$F32=0,"",Calc!$F32)</f>
        <v/>
      </c>
      <c r="D34" t="str">
        <f>IF(OR(C34="",Calc!E32=1),"",Calc!Q32)</f>
        <v/>
      </c>
      <c r="E34" t="str">
        <f>IF(OR(C34="",Calc!E32=1),"",C34)</f>
        <v/>
      </c>
      <c r="G34" s="16" t="str">
        <f>IF(C34="","",IF(Calc!E32=1,$Q$9*C34,C34))</f>
        <v/>
      </c>
      <c r="H34" s="16" t="str">
        <f>IF(C34="","",IF(Calc!E32=1,$Q$10*C34,C34))</f>
        <v/>
      </c>
      <c r="I34" s="16" t="str">
        <f t="shared" si="0"/>
        <v/>
      </c>
      <c r="K34" s="377" t="str">
        <f>IF(C34="","",IF(Calc!E32=1,$R$9*C34,C34))</f>
        <v/>
      </c>
    </row>
    <row r="35" spans="2:11" x14ac:dyDescent="0.2">
      <c r="B35">
        <v>31</v>
      </c>
      <c r="C35" t="str">
        <f>IF(Calc!$F33=0,"",Calc!$F33)</f>
        <v/>
      </c>
      <c r="D35" t="str">
        <f>IF(OR(C35="",Calc!E33=1),"",Calc!Q33)</f>
        <v/>
      </c>
      <c r="E35" t="str">
        <f>IF(OR(C35="",Calc!E33=1),"",C35)</f>
        <v/>
      </c>
      <c r="G35" s="16" t="str">
        <f>IF(C35="","",IF(Calc!E33=1,$Q$9*C35,C35))</f>
        <v/>
      </c>
      <c r="H35" s="16" t="str">
        <f>IF(C35="","",IF(Calc!E33=1,$Q$10*C35,C35))</f>
        <v/>
      </c>
      <c r="I35" s="16" t="str">
        <f t="shared" si="0"/>
        <v/>
      </c>
      <c r="K35" s="377" t="str">
        <f>IF(C35="","",IF(Calc!E33=1,$R$9*C35,C35))</f>
        <v/>
      </c>
    </row>
    <row r="36" spans="2:11" x14ac:dyDescent="0.2">
      <c r="B36">
        <v>32</v>
      </c>
      <c r="C36" t="str">
        <f>IF(Calc!$F34=0,"",Calc!$F34)</f>
        <v/>
      </c>
      <c r="D36" t="str">
        <f>IF(OR(C36="",Calc!E34=1),"",Calc!Q34)</f>
        <v/>
      </c>
      <c r="E36" t="str">
        <f>IF(OR(C36="",Calc!E34=1),"",C36)</f>
        <v/>
      </c>
      <c r="G36" s="16" t="str">
        <f>IF(C36="","",IF(Calc!E34=1,$Q$9*C36,C36))</f>
        <v/>
      </c>
      <c r="H36" s="16" t="str">
        <f>IF(C36="","",IF(Calc!E34=1,$Q$10*C36,C36))</f>
        <v/>
      </c>
      <c r="I36" s="16" t="str">
        <f t="shared" si="0"/>
        <v/>
      </c>
      <c r="K36" s="377" t="str">
        <f>IF(C36="","",IF(Calc!E34=1,$R$9*C36,C36))</f>
        <v/>
      </c>
    </row>
    <row r="37" spans="2:11" x14ac:dyDescent="0.2">
      <c r="B37">
        <v>33</v>
      </c>
      <c r="C37" t="str">
        <f>IF(Calc!$F35=0,"",Calc!$F35)</f>
        <v/>
      </c>
      <c r="D37" t="str">
        <f>IF(OR(C37="",Calc!E35=1),"",Calc!Q35)</f>
        <v/>
      </c>
      <c r="E37" t="str">
        <f>IF(OR(C37="",Calc!E35=1),"",C37)</f>
        <v/>
      </c>
      <c r="G37" s="16" t="str">
        <f>IF(C37="","",IF(Calc!E35=1,$Q$9*C37,C37))</f>
        <v/>
      </c>
      <c r="H37" s="16" t="str">
        <f>IF(C37="","",IF(Calc!E35=1,$Q$10*C37,C37))</f>
        <v/>
      </c>
      <c r="I37" s="16" t="str">
        <f t="shared" ref="I37:I54" si="1">IF(C37="","",LN(H37))</f>
        <v/>
      </c>
      <c r="K37" s="377" t="str">
        <f>IF(C37="","",IF(Calc!E35=1,$R$9*C37,C37))</f>
        <v/>
      </c>
    </row>
    <row r="38" spans="2:11" x14ac:dyDescent="0.2">
      <c r="B38">
        <v>34</v>
      </c>
      <c r="C38" t="str">
        <f>IF(Calc!$F36=0,"",Calc!$F36)</f>
        <v/>
      </c>
      <c r="D38" t="str">
        <f>IF(OR(C38="",Calc!E36=1),"",Calc!Q36)</f>
        <v/>
      </c>
      <c r="E38" t="str">
        <f>IF(OR(C38="",Calc!E36=1),"",C38)</f>
        <v/>
      </c>
      <c r="G38" s="16" t="str">
        <f>IF(C38="","",IF(Calc!E36=1,$Q$9*C38,C38))</f>
        <v/>
      </c>
      <c r="H38" s="16" t="str">
        <f>IF(C38="","",IF(Calc!E36=1,$Q$10*C38,C38))</f>
        <v/>
      </c>
      <c r="I38" s="16" t="str">
        <f t="shared" si="1"/>
        <v/>
      </c>
      <c r="K38" s="377" t="str">
        <f>IF(C38="","",IF(Calc!E36=1,$R$9*C38,C38))</f>
        <v/>
      </c>
    </row>
    <row r="39" spans="2:11" x14ac:dyDescent="0.2">
      <c r="B39">
        <v>35</v>
      </c>
      <c r="C39" t="str">
        <f>IF(Calc!$F37=0,"",Calc!$F37)</f>
        <v/>
      </c>
      <c r="D39" t="str">
        <f>IF(OR(C39="",Calc!E37=1),"",Calc!Q37)</f>
        <v/>
      </c>
      <c r="E39" t="str">
        <f>IF(OR(C39="",Calc!E37=1),"",C39)</f>
        <v/>
      </c>
      <c r="G39" s="16" t="str">
        <f>IF(C39="","",IF(Calc!E37=1,$Q$9*C39,C39))</f>
        <v/>
      </c>
      <c r="H39" s="16" t="str">
        <f>IF(C39="","",IF(Calc!E37=1,$Q$10*C39,C39))</f>
        <v/>
      </c>
      <c r="I39" s="16" t="str">
        <f t="shared" si="1"/>
        <v/>
      </c>
      <c r="K39" s="377" t="str">
        <f>IF(C39="","",IF(Calc!E37=1,$R$9*C39,C39))</f>
        <v/>
      </c>
    </row>
    <row r="40" spans="2:11" x14ac:dyDescent="0.2">
      <c r="B40">
        <v>36</v>
      </c>
      <c r="C40" t="str">
        <f>IF(Calc!$F38=0,"",Calc!$F38)</f>
        <v/>
      </c>
      <c r="D40" t="str">
        <f>IF(OR(C40="",Calc!E38=1),"",Calc!Q38)</f>
        <v/>
      </c>
      <c r="E40" t="str">
        <f>IF(OR(C40="",Calc!E38=1),"",C40)</f>
        <v/>
      </c>
      <c r="G40" s="16" t="str">
        <f>IF(C40="","",IF(Calc!E38=1,$Q$9*C40,C40))</f>
        <v/>
      </c>
      <c r="H40" s="16" t="str">
        <f>IF(C40="","",IF(Calc!E38=1,$Q$10*C40,C40))</f>
        <v/>
      </c>
      <c r="I40" s="16" t="str">
        <f t="shared" si="1"/>
        <v/>
      </c>
      <c r="K40" s="377" t="str">
        <f>IF(C40="","",IF(Calc!E38=1,$R$9*C40,C40))</f>
        <v/>
      </c>
    </row>
    <row r="41" spans="2:11" x14ac:dyDescent="0.2">
      <c r="B41">
        <v>37</v>
      </c>
      <c r="C41" t="str">
        <f>IF(Calc!$F39=0,"",Calc!$F39)</f>
        <v/>
      </c>
      <c r="D41" t="str">
        <f>IF(OR(C41="",Calc!E39=1),"",Calc!Q39)</f>
        <v/>
      </c>
      <c r="E41" t="str">
        <f>IF(OR(C41="",Calc!E39=1),"",C41)</f>
        <v/>
      </c>
      <c r="G41" s="16" t="str">
        <f>IF(C41="","",IF(Calc!E39=1,$Q$9*C41,C41))</f>
        <v/>
      </c>
      <c r="H41" s="16" t="str">
        <f>IF(C41="","",IF(Calc!E39=1,$Q$10*C41,C41))</f>
        <v/>
      </c>
      <c r="I41" s="16" t="str">
        <f t="shared" si="1"/>
        <v/>
      </c>
      <c r="K41" s="377" t="str">
        <f>IF(C41="","",IF(Calc!E39=1,$R$9*C41,C41))</f>
        <v/>
      </c>
    </row>
    <row r="42" spans="2:11" x14ac:dyDescent="0.2">
      <c r="B42">
        <v>38</v>
      </c>
      <c r="C42" t="str">
        <f>IF(Calc!$F40=0,"",Calc!$F40)</f>
        <v/>
      </c>
      <c r="D42" t="str">
        <f>IF(OR(C42="",Calc!E40=1),"",Calc!Q40)</f>
        <v/>
      </c>
      <c r="E42" t="str">
        <f>IF(OR(C42="",Calc!E40=1),"",C42)</f>
        <v/>
      </c>
      <c r="G42" s="16" t="str">
        <f>IF(C42="","",IF(Calc!E40=1,$Q$9*C42,C42))</f>
        <v/>
      </c>
      <c r="H42" s="16" t="str">
        <f>IF(C42="","",IF(Calc!E40=1,$Q$10*C42,C42))</f>
        <v/>
      </c>
      <c r="I42" s="16" t="str">
        <f t="shared" si="1"/>
        <v/>
      </c>
      <c r="K42" s="377" t="str">
        <f>IF(C42="","",IF(Calc!E40=1,$R$9*C42,C42))</f>
        <v/>
      </c>
    </row>
    <row r="43" spans="2:11" x14ac:dyDescent="0.2">
      <c r="B43">
        <v>39</v>
      </c>
      <c r="C43" t="str">
        <f>IF(Calc!$F41=0,"",Calc!$F41)</f>
        <v/>
      </c>
      <c r="D43" t="str">
        <f>IF(OR(C43="",Calc!E41=1),"",Calc!Q41)</f>
        <v/>
      </c>
      <c r="E43" t="str">
        <f>IF(OR(C43="",Calc!E41=1),"",C43)</f>
        <v/>
      </c>
      <c r="G43" s="16" t="str">
        <f>IF(C43="","",IF(Calc!E41=1,$Q$9*C43,C43))</f>
        <v/>
      </c>
      <c r="H43" s="16" t="str">
        <f>IF(C43="","",IF(Calc!E41=1,$Q$10*C43,C43))</f>
        <v/>
      </c>
      <c r="I43" s="16" t="str">
        <f t="shared" si="1"/>
        <v/>
      </c>
      <c r="K43" s="377" t="str">
        <f>IF(C43="","",IF(Calc!E41=1,$R$9*C43,C43))</f>
        <v/>
      </c>
    </row>
    <row r="44" spans="2:11" x14ac:dyDescent="0.2">
      <c r="B44">
        <v>40</v>
      </c>
      <c r="C44" t="str">
        <f>IF(Calc!$F42=0,"",Calc!$F42)</f>
        <v/>
      </c>
      <c r="D44" t="str">
        <f>IF(OR(C44="",Calc!E42=1),"",Calc!Q42)</f>
        <v/>
      </c>
      <c r="E44" t="str">
        <f>IF(OR(C44="",Calc!E42=1),"",C44)</f>
        <v/>
      </c>
      <c r="G44" s="16" t="str">
        <f>IF(C44="","",IF(Calc!E42=1,$Q$9*C44,C44))</f>
        <v/>
      </c>
      <c r="H44" s="16" t="str">
        <f>IF(C44="","",IF(Calc!E42=1,$Q$10*C44,C44))</f>
        <v/>
      </c>
      <c r="I44" s="16" t="str">
        <f t="shared" si="1"/>
        <v/>
      </c>
      <c r="K44" s="377" t="str">
        <f>IF(C44="","",IF(Calc!E42=1,$R$9*C44,C44))</f>
        <v/>
      </c>
    </row>
    <row r="45" spans="2:11" x14ac:dyDescent="0.2">
      <c r="B45">
        <v>41</v>
      </c>
      <c r="C45" t="str">
        <f>IF(Calc!$F43=0,"",Calc!$F43)</f>
        <v/>
      </c>
      <c r="D45" t="str">
        <f>IF(OR(C45="",Calc!E43=1),"",Calc!Q43)</f>
        <v/>
      </c>
      <c r="E45" t="str">
        <f>IF(OR(C45="",Calc!E43=1),"",C45)</f>
        <v/>
      </c>
      <c r="G45" s="16" t="str">
        <f>IF(C45="","",IF(Calc!E43=1,$Q$9*C45,C45))</f>
        <v/>
      </c>
      <c r="H45" s="16" t="str">
        <f>IF(C45="","",IF(Calc!E43=1,$Q$10*C45,C45))</f>
        <v/>
      </c>
      <c r="I45" s="16" t="str">
        <f t="shared" si="1"/>
        <v/>
      </c>
      <c r="K45" s="377" t="str">
        <f>IF(C45="","",IF(Calc!E43=1,$R$9*C45,C45))</f>
        <v/>
      </c>
    </row>
    <row r="46" spans="2:11" x14ac:dyDescent="0.2">
      <c r="B46">
        <v>42</v>
      </c>
      <c r="C46" t="str">
        <f>IF(Calc!$F44=0,"",Calc!$F44)</f>
        <v/>
      </c>
      <c r="D46" t="str">
        <f>IF(OR(C46="",Calc!E44=1),"",Calc!Q44)</f>
        <v/>
      </c>
      <c r="E46" t="str">
        <f>IF(OR(C46="",Calc!E44=1),"",C46)</f>
        <v/>
      </c>
      <c r="G46" s="16" t="str">
        <f>IF(C46="","",IF(Calc!E44=1,$Q$9*C46,C46))</f>
        <v/>
      </c>
      <c r="H46" s="16" t="str">
        <f>IF(C46="","",IF(Calc!E44=1,$Q$10*C46,C46))</f>
        <v/>
      </c>
      <c r="I46" s="16" t="str">
        <f t="shared" si="1"/>
        <v/>
      </c>
      <c r="K46" s="377" t="str">
        <f>IF(C46="","",IF(Calc!E44=1,$R$9*C46,C46))</f>
        <v/>
      </c>
    </row>
    <row r="47" spans="2:11" x14ac:dyDescent="0.2">
      <c r="B47">
        <v>43</v>
      </c>
      <c r="C47" t="str">
        <f>IF(Calc!$F45=0,"",Calc!$F45)</f>
        <v/>
      </c>
      <c r="D47" t="str">
        <f>IF(OR(C47="",Calc!E45=1),"",Calc!Q45)</f>
        <v/>
      </c>
      <c r="E47" t="str">
        <f>IF(OR(C47="",Calc!E45=1),"",C47)</f>
        <v/>
      </c>
      <c r="G47" s="16" t="str">
        <f>IF(C47="","",IF(Calc!E45=1,$Q$9*C47,C47))</f>
        <v/>
      </c>
      <c r="H47" s="16" t="str">
        <f>IF(C47="","",IF(Calc!E45=1,$Q$10*C47,C47))</f>
        <v/>
      </c>
      <c r="I47" s="16" t="str">
        <f t="shared" si="1"/>
        <v/>
      </c>
      <c r="K47" s="377" t="str">
        <f>IF(C47="","",IF(Calc!E45=1,$R$9*C47,C47))</f>
        <v/>
      </c>
    </row>
    <row r="48" spans="2:11" x14ac:dyDescent="0.2">
      <c r="B48">
        <v>44</v>
      </c>
      <c r="C48" t="str">
        <f>IF(Calc!$F46=0,"",Calc!$F46)</f>
        <v/>
      </c>
      <c r="D48" t="str">
        <f>IF(OR(C48="",Calc!E46=1),"",Calc!Q46)</f>
        <v/>
      </c>
      <c r="E48" t="str">
        <f>IF(OR(C48="",Calc!E46=1),"",C48)</f>
        <v/>
      </c>
      <c r="G48" s="16" t="str">
        <f>IF(C48="","",IF(Calc!E46=1,$Q$9*C48,C48))</f>
        <v/>
      </c>
      <c r="H48" s="16" t="str">
        <f>IF(C48="","",IF(Calc!E46=1,$Q$10*C48,C48))</f>
        <v/>
      </c>
      <c r="I48" s="16" t="str">
        <f t="shared" si="1"/>
        <v/>
      </c>
      <c r="K48" s="377" t="str">
        <f>IF(C48="","",IF(Calc!E46=1,$R$9*C48,C48))</f>
        <v/>
      </c>
    </row>
    <row r="49" spans="2:11" x14ac:dyDescent="0.2">
      <c r="B49">
        <v>45</v>
      </c>
      <c r="C49" t="str">
        <f>IF(Calc!$F47=0,"",Calc!$F47)</f>
        <v/>
      </c>
      <c r="D49" t="str">
        <f>IF(OR(C49="",Calc!E47=1),"",Calc!Q47)</f>
        <v/>
      </c>
      <c r="E49" t="str">
        <f>IF(OR(C49="",Calc!E47=1),"",C49)</f>
        <v/>
      </c>
      <c r="G49" s="16" t="str">
        <f>IF(C49="","",IF(Calc!E47=1,$Q$9*C49,C49))</f>
        <v/>
      </c>
      <c r="H49" s="16" t="str">
        <f>IF(C49="","",IF(Calc!E47=1,$Q$10*C49,C49))</f>
        <v/>
      </c>
      <c r="I49" s="16" t="str">
        <f t="shared" si="1"/>
        <v/>
      </c>
      <c r="K49" s="377" t="str">
        <f>IF(C49="","",IF(Calc!E47=1,$R$9*C49,C49))</f>
        <v/>
      </c>
    </row>
    <row r="50" spans="2:11" x14ac:dyDescent="0.2">
      <c r="B50">
        <v>46</v>
      </c>
      <c r="C50" t="str">
        <f>IF(Calc!$F48=0,"",Calc!$F48)</f>
        <v/>
      </c>
      <c r="D50" t="str">
        <f>IF(OR(C50="",Calc!E48=1),"",Calc!Q48)</f>
        <v/>
      </c>
      <c r="E50" t="str">
        <f>IF(OR(C50="",Calc!E48=1),"",C50)</f>
        <v/>
      </c>
      <c r="G50" s="16" t="str">
        <f>IF(C50="","",IF(Calc!E48=1,$Q$9*C50,C50))</f>
        <v/>
      </c>
      <c r="H50" s="16" t="str">
        <f>IF(C50="","",IF(Calc!E48=1,$Q$10*C50,C50))</f>
        <v/>
      </c>
      <c r="I50" s="16" t="str">
        <f t="shared" si="1"/>
        <v/>
      </c>
      <c r="K50" s="377" t="str">
        <f>IF(C50="","",IF(Calc!E48=1,$R$9*C50,C50))</f>
        <v/>
      </c>
    </row>
    <row r="51" spans="2:11" x14ac:dyDescent="0.2">
      <c r="B51">
        <v>47</v>
      </c>
      <c r="C51" t="str">
        <f>IF(Calc!$F49=0,"",Calc!$F49)</f>
        <v/>
      </c>
      <c r="D51" t="str">
        <f>IF(OR(C51="",Calc!E49=1),"",Calc!Q49)</f>
        <v/>
      </c>
      <c r="E51" t="str">
        <f>IF(OR(C51="",Calc!E49=1),"",C51)</f>
        <v/>
      </c>
      <c r="G51" s="16" t="str">
        <f>IF(C51="","",IF(Calc!E49=1,$Q$9*C51,C51))</f>
        <v/>
      </c>
      <c r="H51" s="16" t="str">
        <f>IF(C51="","",IF(Calc!E49=1,$Q$10*C51,C51))</f>
        <v/>
      </c>
      <c r="I51" s="16" t="str">
        <f t="shared" si="1"/>
        <v/>
      </c>
      <c r="K51" s="377" t="str">
        <f>IF(C51="","",IF(Calc!E49=1,$R$9*C51,C51))</f>
        <v/>
      </c>
    </row>
    <row r="52" spans="2:11" x14ac:dyDescent="0.2">
      <c r="B52">
        <v>48</v>
      </c>
      <c r="C52" t="str">
        <f>IF(Calc!$F50=0,"",Calc!$F50)</f>
        <v/>
      </c>
      <c r="D52" t="str">
        <f>IF(OR(C52="",Calc!E50=1),"",Calc!Q50)</f>
        <v/>
      </c>
      <c r="E52" t="str">
        <f>IF(OR(C52="",Calc!E50=1),"",C52)</f>
        <v/>
      </c>
      <c r="G52" s="16" t="str">
        <f>IF(C52="","",IF(Calc!E50=1,$Q$9*C52,C52))</f>
        <v/>
      </c>
      <c r="H52" s="16" t="str">
        <f>IF(C52="","",IF(Calc!E50=1,$Q$10*C52,C52))</f>
        <v/>
      </c>
      <c r="I52" s="16" t="str">
        <f t="shared" si="1"/>
        <v/>
      </c>
      <c r="K52" s="377" t="str">
        <f>IF(C52="","",IF(Calc!E50=1,$R$9*C52,C52))</f>
        <v/>
      </c>
    </row>
    <row r="53" spans="2:11" x14ac:dyDescent="0.2">
      <c r="B53">
        <v>49</v>
      </c>
      <c r="C53" t="str">
        <f>IF(Calc!$F51=0,"",Calc!$F51)</f>
        <v/>
      </c>
      <c r="D53" t="str">
        <f>IF(OR(C53="",Calc!E51=1),"",Calc!Q51)</f>
        <v/>
      </c>
      <c r="E53" t="str">
        <f>IF(OR(C53="",Calc!E51=1),"",C53)</f>
        <v/>
      </c>
      <c r="G53" s="16" t="str">
        <f>IF(C53="","",IF(Calc!E51=1,$Q$9*C53,C53))</f>
        <v/>
      </c>
      <c r="H53" s="16" t="str">
        <f>IF(C53="","",IF(Calc!E51=1,$Q$10*C53,C53))</f>
        <v/>
      </c>
      <c r="I53" s="16" t="str">
        <f t="shared" si="1"/>
        <v/>
      </c>
      <c r="K53" s="377" t="str">
        <f>IF(C53="","",IF(Calc!E51=1,$R$9*C53,C53))</f>
        <v/>
      </c>
    </row>
    <row r="54" spans="2:11" x14ac:dyDescent="0.2">
      <c r="B54">
        <v>50</v>
      </c>
      <c r="C54" t="str">
        <f>IF(Calc!$F52=0,"",Calc!$F52)</f>
        <v/>
      </c>
      <c r="D54" t="str">
        <f>IF(OR(C54="",Calc!E52=1),"",Calc!Q52)</f>
        <v/>
      </c>
      <c r="E54" t="str">
        <f>IF(OR(C54="",Calc!E52=1),"",C54)</f>
        <v/>
      </c>
      <c r="G54" s="16" t="str">
        <f>IF(C54="","",IF(Calc!E52=1,$Q$9*C54,C54))</f>
        <v/>
      </c>
      <c r="H54" s="16" t="str">
        <f>IF(C54="","",IF(Calc!E52=1,$Q$10*C54,C54))</f>
        <v/>
      </c>
      <c r="I54" s="16" t="str">
        <f t="shared" si="1"/>
        <v/>
      </c>
      <c r="K54" s="377" t="str">
        <f>IF(C54="","",IF(Calc!E52=1,$R$9*C54,C54))</f>
        <v/>
      </c>
    </row>
  </sheetData>
  <mergeCells count="3">
    <mergeCell ref="Q1:Q2"/>
    <mergeCell ref="R1:R2"/>
    <mergeCell ref="G3:I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D6BCD-C82E-4C5F-B053-B9A690627D7A}">
  <sheetPr>
    <tabColor theme="1"/>
  </sheetPr>
  <dimension ref="B1:AH52"/>
  <sheetViews>
    <sheetView showGridLines="0" zoomScale="87" zoomScaleNormal="90" workbookViewId="0">
      <selection activeCell="AC2" sqref="AC2"/>
    </sheetView>
  </sheetViews>
  <sheetFormatPr baseColWidth="10" defaultRowHeight="15" x14ac:dyDescent="0.2"/>
  <cols>
    <col min="4" max="4" width="14.1640625" customWidth="1"/>
    <col min="5" max="5" width="15.5" customWidth="1"/>
    <col min="7" max="7" width="13.5" bestFit="1" customWidth="1"/>
    <col min="8" max="8" width="12.1640625" customWidth="1"/>
    <col min="16" max="16" width="16" customWidth="1"/>
    <col min="23" max="23" width="28.5" bestFit="1" customWidth="1"/>
  </cols>
  <sheetData>
    <row r="1" spans="2:34" x14ac:dyDescent="0.2">
      <c r="L1" s="25" t="s">
        <v>1751</v>
      </c>
      <c r="M1" s="25" t="s">
        <v>37</v>
      </c>
      <c r="N1" s="660" t="s">
        <v>36</v>
      </c>
      <c r="O1" s="660"/>
      <c r="V1" s="662" t="s">
        <v>16</v>
      </c>
      <c r="W1" t="s">
        <v>17</v>
      </c>
      <c r="X1">
        <f>COUNTIF($C$3:$C$52,"&gt;"&amp;0)+COUNTIF($C$3:$C$52,"?*")</f>
        <v>8</v>
      </c>
      <c r="AA1" s="1" t="s">
        <v>239</v>
      </c>
      <c r="AB1" s="163" t="str" cm="1">
        <f t="array" ref="AB1">IF(Information!$B$9=INDEX(Tekst!$B$1:$U$300,224,Tabeller!$C$28),INDEX(Tekst!$B$1:$U$300,201,Tabeller!$C$28),Survey!$U$4)</f>
        <v>la YH-HJELP velge</v>
      </c>
    </row>
    <row r="2" spans="2:34" ht="27.75" customHeight="1" x14ac:dyDescent="0.2">
      <c r="C2" s="25" t="s">
        <v>43</v>
      </c>
      <c r="D2" s="279" t="s">
        <v>1594</v>
      </c>
      <c r="E2" s="279" t="s">
        <v>1</v>
      </c>
      <c r="F2" s="25" t="s">
        <v>194</v>
      </c>
      <c r="G2" s="25" t="s">
        <v>195</v>
      </c>
      <c r="H2" s="25" t="s">
        <v>181</v>
      </c>
      <c r="I2" s="272" t="s">
        <v>193</v>
      </c>
      <c r="J2" s="271" t="s">
        <v>178</v>
      </c>
      <c r="K2" s="272" t="s">
        <v>179</v>
      </c>
      <c r="L2" s="272" t="s">
        <v>93</v>
      </c>
      <c r="M2" s="271" t="s">
        <v>1595</v>
      </c>
      <c r="N2" s="272" t="s">
        <v>94</v>
      </c>
      <c r="O2" s="272" t="s">
        <v>95</v>
      </c>
      <c r="P2" s="271" t="s">
        <v>1601</v>
      </c>
      <c r="Q2" s="271" t="s">
        <v>1603</v>
      </c>
      <c r="V2" s="662"/>
      <c r="W2" t="s">
        <v>18</v>
      </c>
      <c r="X2">
        <f>COUNTIF($C$3:$C$52,"?*")</f>
        <v>0</v>
      </c>
      <c r="AA2" s="308" t="s">
        <v>1640</v>
      </c>
      <c r="AB2" s="146" t="str" cm="1">
        <f t="array" ref="AB2">IF(Information!$B$9=INDEX(Tekst!$B$1:$U$300,224,Tabeller!$C$28),INDEX(Tekst!$B$1:$U$300,194,Tabeller!$C$28),Survey!$B$16)</f>
        <v>0: Anbefalt (se Regler for håndtering av verdier under DG)</v>
      </c>
      <c r="AC2" s="45">
        <f>VALUE(LEFT(AB2,1))</f>
        <v>0</v>
      </c>
      <c r="AD2" s="45"/>
      <c r="AE2" s="45"/>
      <c r="AF2" s="45"/>
      <c r="AG2" s="45"/>
      <c r="AH2" s="45"/>
    </row>
    <row r="3" spans="2:34" x14ac:dyDescent="0.2">
      <c r="B3">
        <f>Survey!L6</f>
        <v>1</v>
      </c>
      <c r="C3">
        <f>IF(Survey!M6="","",Survey!M6)</f>
        <v>21</v>
      </c>
      <c r="D3">
        <f>Survey!N6</f>
        <v>0</v>
      </c>
      <c r="E3">
        <f>IF(LEFT(C3,1)="&lt;",1,IF(ISNUMBER(LEFT(C3,1)+0),2,0))</f>
        <v>2</v>
      </c>
      <c r="F3" cm="1">
        <f t="array" ref="F3">IF(Survey!$F$13=INDEX(Tekst!$B$1:$U$300,259,Tabeller!$C$28),IF(E3=1,(RIGHT(C3,LEN(C3)-1)+0)*Survey!$E$13,IF(E3=2,C3*Survey!$E$13,"")),IF(E3=1,((RIGHT(C3,LEN(C3)-1)+0)*Survey!$E$13)/(D3/1000),IF(E3=2,(C3*Survey!$E$13)/(D3/1000),"")))</f>
        <v>21</v>
      </c>
      <c r="G3">
        <f>IF(ISNUMBER($F3),INDEX($I$3:$N$52,$B3,'Tables (statistics)'!$H$149),"")</f>
        <v>21</v>
      </c>
      <c r="I3">
        <f>IFERROR(F3,"")</f>
        <v>21</v>
      </c>
      <c r="J3">
        <f t="shared" ref="J3:J34" si="0">IF(AND(ISNUMBER($F3),$F3&gt;0),IF($E3=1,$F3/SQRT(2),$F3),"")</f>
        <v>21</v>
      </c>
      <c r="K3">
        <f t="shared" ref="K3:K34" si="1">IF(AND(ISNUMBER($F3),$F3&gt;0),IF($E3=1,$F3/2,$F3),"")</f>
        <v>21</v>
      </c>
      <c r="L3">
        <f>Beta!G5</f>
        <v>21</v>
      </c>
      <c r="M3">
        <f>Beta!K5</f>
        <v>21</v>
      </c>
      <c r="N3">
        <f>Beta!H5</f>
        <v>21</v>
      </c>
      <c r="O3">
        <f>Beta!I5</f>
        <v>3.044522437723423</v>
      </c>
      <c r="P3">
        <f>IFERROR(LN(G3),"")</f>
        <v>3.044522437723423</v>
      </c>
      <c r="Q3">
        <f>IFERROR(LN(F3),"")</f>
        <v>3.044522437723423</v>
      </c>
      <c r="V3" s="662"/>
      <c r="W3" t="s">
        <v>211</v>
      </c>
      <c r="X3">
        <f>X1-X2</f>
        <v>8</v>
      </c>
    </row>
    <row r="4" spans="2:34" x14ac:dyDescent="0.2">
      <c r="B4">
        <f>Survey!L7</f>
        <v>2</v>
      </c>
      <c r="C4">
        <f>IF(Survey!M7="","",Survey!M7)</f>
        <v>1.9</v>
      </c>
      <c r="D4">
        <f>Survey!N7</f>
        <v>0</v>
      </c>
      <c r="E4">
        <f t="shared" ref="E4:E52" si="2">IF(LEFT(C4,1)="&lt;",1,IF(ISNUMBER(LEFT(C4,1)+0),2,0))</f>
        <v>2</v>
      </c>
      <c r="F4" cm="1">
        <f t="array" ref="F4">IF(Survey!$F$13=INDEX(Tekst!$B$1:$U$300,259,Tabeller!$C$28),IF(E4=1,(RIGHT(C4,LEN(C4)-1)+0)*Survey!$E$13,IF(E4=2,C4*Survey!$E$13,"")),IF(E4=1,((RIGHT(C4,LEN(C4)-1)+0)*Survey!$E$13)/(D4/1000),IF(E4=2,(C4*Survey!$E$13)/(D4/1000),"")))</f>
        <v>1.9</v>
      </c>
      <c r="G4">
        <f>IF(ISNUMBER($F4),INDEX($I$3:$N$52,$B4,'Tables (statistics)'!$H$149),"")</f>
        <v>1.9</v>
      </c>
      <c r="I4">
        <f t="shared" ref="I4:I52" si="3">IFERROR(F4,"")</f>
        <v>1.9</v>
      </c>
      <c r="J4">
        <f t="shared" si="0"/>
        <v>1.9</v>
      </c>
      <c r="K4">
        <f t="shared" si="1"/>
        <v>1.9</v>
      </c>
      <c r="L4">
        <f>Beta!G6</f>
        <v>1.9</v>
      </c>
      <c r="M4">
        <f>Beta!K6</f>
        <v>1.9</v>
      </c>
      <c r="N4">
        <f>Beta!H6</f>
        <v>1.9</v>
      </c>
      <c r="O4">
        <f>Beta!I6</f>
        <v>0.64185388617239469</v>
      </c>
      <c r="P4">
        <f t="shared" ref="P4:P52" si="4">IFERROR(LN(G4),"")</f>
        <v>0.64185388617239469</v>
      </c>
      <c r="Q4">
        <f t="shared" ref="Q4:Q52" si="5">IFERROR(LN(F4),"")</f>
        <v>0.64185388617239469</v>
      </c>
    </row>
    <row r="5" spans="2:34" x14ac:dyDescent="0.2">
      <c r="B5">
        <f>Survey!L8</f>
        <v>3</v>
      </c>
      <c r="C5">
        <f>IF(Survey!M8="","",Survey!M8)</f>
        <v>5.8</v>
      </c>
      <c r="D5">
        <f>Survey!N8</f>
        <v>0</v>
      </c>
      <c r="E5">
        <f t="shared" si="2"/>
        <v>2</v>
      </c>
      <c r="F5" cm="1">
        <f t="array" ref="F5">IF(Survey!$F$13=INDEX(Tekst!$B$1:$U$300,259,Tabeller!$C$28),IF(E5=1,(RIGHT(C5,LEN(C5)-1)+0)*Survey!$E$13,IF(E5=2,C5*Survey!$E$13,"")),IF(E5=1,((RIGHT(C5,LEN(C5)-1)+0)*Survey!$E$13)/(D5/1000),IF(E5=2,(C5*Survey!$E$13)/(D5/1000),"")))</f>
        <v>5.8</v>
      </c>
      <c r="G5">
        <f>IF(ISNUMBER($F5),INDEX($I$3:$N$52,$B5,'Tables (statistics)'!$H$149),"")</f>
        <v>5.8</v>
      </c>
      <c r="I5">
        <f t="shared" si="3"/>
        <v>5.8</v>
      </c>
      <c r="J5">
        <f t="shared" si="0"/>
        <v>5.8</v>
      </c>
      <c r="K5">
        <f t="shared" si="1"/>
        <v>5.8</v>
      </c>
      <c r="L5">
        <f>Beta!G7</f>
        <v>5.8</v>
      </c>
      <c r="M5">
        <f>Beta!K7</f>
        <v>5.8</v>
      </c>
      <c r="N5">
        <f>Beta!H7</f>
        <v>5.8</v>
      </c>
      <c r="O5">
        <f>Beta!I7</f>
        <v>1.7578579175523736</v>
      </c>
      <c r="P5">
        <f t="shared" si="4"/>
        <v>1.7578579175523736</v>
      </c>
      <c r="Q5">
        <f t="shared" si="5"/>
        <v>1.7578579175523736</v>
      </c>
      <c r="W5" t="s">
        <v>31</v>
      </c>
      <c r="X5">
        <f>IF($X$1=0,"",IF($X$3=0,"N/A",ROUND(MIN($F$3:$F$52),3)))</f>
        <v>1.7</v>
      </c>
      <c r="Y5">
        <f>IF($X$1&lt;2,"",ROUND(MIN($G$3:$G$52),3))</f>
        <v>1.7</v>
      </c>
    </row>
    <row r="6" spans="2:34" x14ac:dyDescent="0.2">
      <c r="B6">
        <f>Survey!L9</f>
        <v>4</v>
      </c>
      <c r="C6">
        <f>IF(Survey!M9="","",Survey!M9)</f>
        <v>17</v>
      </c>
      <c r="D6">
        <f>Survey!N9</f>
        <v>0</v>
      </c>
      <c r="E6">
        <f t="shared" si="2"/>
        <v>2</v>
      </c>
      <c r="F6" cm="1">
        <f t="array" ref="F6">IF(Survey!$F$13=INDEX(Tekst!$B$1:$U$300,259,Tabeller!$C$28),IF(E6=1,(RIGHT(C6,LEN(C6)-1)+0)*Survey!$E$13,IF(E6=2,C6*Survey!$E$13,"")),IF(E6=1,((RIGHT(C6,LEN(C6)-1)+0)*Survey!$E$13)/(D6/1000),IF(E6=2,(C6*Survey!$E$13)/(D6/1000),"")))</f>
        <v>17</v>
      </c>
      <c r="G6">
        <f>IF(ISNUMBER($F6),INDEX($I$3:$N$52,$B6,'Tables (statistics)'!$H$149),"")</f>
        <v>17</v>
      </c>
      <c r="I6">
        <f t="shared" si="3"/>
        <v>17</v>
      </c>
      <c r="J6">
        <f t="shared" si="0"/>
        <v>17</v>
      </c>
      <c r="K6">
        <f t="shared" si="1"/>
        <v>17</v>
      </c>
      <c r="L6">
        <f>Beta!G8</f>
        <v>17</v>
      </c>
      <c r="M6">
        <f>Beta!K8</f>
        <v>17</v>
      </c>
      <c r="N6">
        <f>Beta!H8</f>
        <v>17</v>
      </c>
      <c r="O6">
        <f>Beta!I8</f>
        <v>2.8332133440562162</v>
      </c>
      <c r="P6">
        <f t="shared" si="4"/>
        <v>2.8332133440562162</v>
      </c>
      <c r="Q6">
        <f t="shared" si="5"/>
        <v>2.8332133440562162</v>
      </c>
      <c r="W6" t="s">
        <v>23</v>
      </c>
      <c r="X6">
        <f>IF($X$1=0,"",IF($X$3=0,"N/A",ROUND(MEDIAN($F$3:$F$52),3)))</f>
        <v>6.05</v>
      </c>
      <c r="Y6">
        <f>IF($X$1&lt;2,"",ROUND(MEDIAN($G$3:$G$52),3))</f>
        <v>6.05</v>
      </c>
    </row>
    <row r="7" spans="2:34" x14ac:dyDescent="0.2">
      <c r="B7">
        <f>Survey!L10</f>
        <v>5</v>
      </c>
      <c r="C7">
        <f>IF(Survey!M10="","",Survey!M10)</f>
        <v>1.7</v>
      </c>
      <c r="D7">
        <f>Survey!N10</f>
        <v>0</v>
      </c>
      <c r="E7">
        <f t="shared" si="2"/>
        <v>2</v>
      </c>
      <c r="F7" cm="1">
        <f t="array" ref="F7">IF(Survey!$F$13=INDEX(Tekst!$B$1:$U$300,259,Tabeller!$C$28),IF(E7=1,(RIGHT(C7,LEN(C7)-1)+0)*Survey!$E$13,IF(E7=2,C7*Survey!$E$13,"")),IF(E7=1,((RIGHT(C7,LEN(C7)-1)+0)*Survey!$E$13)/(D7/1000),IF(E7=2,(C7*Survey!$E$13)/(D7/1000),"")))</f>
        <v>1.7</v>
      </c>
      <c r="G7">
        <f>IF(ISNUMBER($F7),INDEX($I$3:$N$52,$B7,'Tables (statistics)'!$H$149),"")</f>
        <v>1.7</v>
      </c>
      <c r="I7">
        <f t="shared" si="3"/>
        <v>1.7</v>
      </c>
      <c r="J7">
        <f t="shared" si="0"/>
        <v>1.7</v>
      </c>
      <c r="K7">
        <f t="shared" si="1"/>
        <v>1.7</v>
      </c>
      <c r="L7">
        <f>Beta!G9</f>
        <v>1.7</v>
      </c>
      <c r="M7">
        <f>Beta!K9</f>
        <v>1.7</v>
      </c>
      <c r="N7">
        <f>Beta!H9</f>
        <v>1.7</v>
      </c>
      <c r="O7">
        <f>Beta!I9</f>
        <v>0.53062825106217038</v>
      </c>
      <c r="P7">
        <f t="shared" si="4"/>
        <v>0.53062825106217038</v>
      </c>
      <c r="Q7">
        <f t="shared" si="5"/>
        <v>0.53062825106217038</v>
      </c>
      <c r="W7" t="s">
        <v>30</v>
      </c>
      <c r="X7">
        <f>IF($X$1=0,"",IF($X$3=0,"N/A",ROUND(MAX($F$3:$F$52),3)))</f>
        <v>21</v>
      </c>
      <c r="Y7">
        <f>IF($X$1&lt;2,"",ROUND(MAX($G$3:$G$52),3))</f>
        <v>21</v>
      </c>
    </row>
    <row r="8" spans="2:34" x14ac:dyDescent="0.2">
      <c r="B8">
        <f>Survey!L11</f>
        <v>6</v>
      </c>
      <c r="C8">
        <f>IF(Survey!M11="","",Survey!M11)</f>
        <v>2.7</v>
      </c>
      <c r="D8">
        <f>Survey!N11</f>
        <v>0</v>
      </c>
      <c r="E8">
        <f t="shared" si="2"/>
        <v>2</v>
      </c>
      <c r="F8" cm="1">
        <f t="array" ref="F8">IF(Survey!$F$13=INDEX(Tekst!$B$1:$U$300,259,Tabeller!$C$28),IF(E8=1,(RIGHT(C8,LEN(C8)-1)+0)*Survey!$E$13,IF(E8=2,C8*Survey!$E$13,"")),IF(E8=1,((RIGHT(C8,LEN(C8)-1)+0)*Survey!$E$13)/(D8/1000),IF(E8=2,(C8*Survey!$E$13)/(D8/1000),"")))</f>
        <v>2.7</v>
      </c>
      <c r="G8">
        <f>IF(ISNUMBER($F8),INDEX($I$3:$N$52,$B8,'Tables (statistics)'!$H$149),"")</f>
        <v>2.7</v>
      </c>
      <c r="I8">
        <f t="shared" si="3"/>
        <v>2.7</v>
      </c>
      <c r="J8">
        <f t="shared" si="0"/>
        <v>2.7</v>
      </c>
      <c r="K8">
        <f t="shared" si="1"/>
        <v>2.7</v>
      </c>
      <c r="L8">
        <f>Beta!G10</f>
        <v>2.7</v>
      </c>
      <c r="M8">
        <f>Beta!K10</f>
        <v>2.7</v>
      </c>
      <c r="N8">
        <f>Beta!H10</f>
        <v>2.7</v>
      </c>
      <c r="O8">
        <f>Beta!I10</f>
        <v>0.99325177301028345</v>
      </c>
      <c r="P8">
        <f t="shared" si="4"/>
        <v>0.99325177301028345</v>
      </c>
      <c r="Q8">
        <f t="shared" si="5"/>
        <v>0.99325177301028345</v>
      </c>
      <c r="W8" t="s">
        <v>64</v>
      </c>
      <c r="X8">
        <f>IFERROR(X7-X5,"")</f>
        <v>19.3</v>
      </c>
      <c r="Y8">
        <f>IFERROR(Y7-Y5,"")</f>
        <v>19.3</v>
      </c>
    </row>
    <row r="9" spans="2:34" x14ac:dyDescent="0.2">
      <c r="B9">
        <f>Survey!L12</f>
        <v>7</v>
      </c>
      <c r="C9">
        <f>IF(Survey!M12="","",Survey!M12)</f>
        <v>6.3</v>
      </c>
      <c r="D9">
        <f>Survey!N12</f>
        <v>0</v>
      </c>
      <c r="E9">
        <f t="shared" si="2"/>
        <v>2</v>
      </c>
      <c r="F9" cm="1">
        <f t="array" ref="F9">IF(Survey!$F$13=INDEX(Tekst!$B$1:$U$300,259,Tabeller!$C$28),IF(E9=1,(RIGHT(C9,LEN(C9)-1)+0)*Survey!$E$13,IF(E9=2,C9*Survey!$E$13,"")),IF(E9=1,((RIGHT(C9,LEN(C9)-1)+0)*Survey!$E$13)/(D9/1000),IF(E9=2,(C9*Survey!$E$13)/(D9/1000),"")))</f>
        <v>6.3</v>
      </c>
      <c r="G9">
        <f>IF(ISNUMBER($F9),INDEX($I$3:$N$52,$B9,'Tables (statistics)'!$H$149),"")</f>
        <v>6.3</v>
      </c>
      <c r="I9">
        <f t="shared" si="3"/>
        <v>6.3</v>
      </c>
      <c r="J9">
        <f t="shared" si="0"/>
        <v>6.3</v>
      </c>
      <c r="K9">
        <f t="shared" si="1"/>
        <v>6.3</v>
      </c>
      <c r="L9">
        <f>Beta!G11</f>
        <v>6.3</v>
      </c>
      <c r="M9">
        <f>Beta!K11</f>
        <v>6.3</v>
      </c>
      <c r="N9">
        <f>Beta!H11</f>
        <v>6.3</v>
      </c>
      <c r="O9">
        <f>Beta!I11</f>
        <v>1.8405496333974869</v>
      </c>
      <c r="P9">
        <f t="shared" si="4"/>
        <v>1.8405496333974869</v>
      </c>
      <c r="Q9">
        <f t="shared" si="5"/>
        <v>1.8405496333974869</v>
      </c>
      <c r="W9" t="s">
        <v>1596</v>
      </c>
      <c r="X9" s="44">
        <f>IFERROR((COUNTIFS($G$3:$G$52,"&gt;"&amp;Survey!$E$11,$E$3:$E$52,2)/$X$3),"")</f>
        <v>0</v>
      </c>
      <c r="Y9" s="44">
        <f>IFERROR((COUNTIFS($G$3:$G$52,"&gt;"&amp;Survey!$E$11,$E$3:$E$52,2)/$X$3),"")</f>
        <v>0</v>
      </c>
      <c r="Z9" s="44"/>
    </row>
    <row r="10" spans="2:34" x14ac:dyDescent="0.2">
      <c r="B10">
        <f>Survey!L13</f>
        <v>8</v>
      </c>
      <c r="C10">
        <f>IF(Survey!M13="","",Survey!M13)</f>
        <v>18.899999999999999</v>
      </c>
      <c r="D10">
        <f>Survey!N13</f>
        <v>0</v>
      </c>
      <c r="E10">
        <f t="shared" si="2"/>
        <v>2</v>
      </c>
      <c r="F10" cm="1">
        <f t="array" ref="F10">IF(Survey!$F$13=INDEX(Tekst!$B$1:$U$300,259,Tabeller!$C$28),IF(E10=1,(RIGHT(C10,LEN(C10)-1)+0)*Survey!$E$13,IF(E10=2,C10*Survey!$E$13,"")),IF(E10=1,((RIGHT(C10,LEN(C10)-1)+0)*Survey!$E$13)/(D10/1000),IF(E10=2,(C10*Survey!$E$13)/(D10/1000),"")))</f>
        <v>18.899999999999999</v>
      </c>
      <c r="G10">
        <f>IF(ISNUMBER($F10),INDEX($I$3:$N$52,$B10,'Tables (statistics)'!$H$149),"")</f>
        <v>18.899999999999999</v>
      </c>
      <c r="I10">
        <f t="shared" si="3"/>
        <v>18.899999999999999</v>
      </c>
      <c r="J10">
        <f t="shared" si="0"/>
        <v>18.899999999999999</v>
      </c>
      <c r="K10">
        <f t="shared" si="1"/>
        <v>18.899999999999999</v>
      </c>
      <c r="L10">
        <f>Beta!G12</f>
        <v>18.899999999999999</v>
      </c>
      <c r="M10">
        <f>Beta!K12</f>
        <v>18.899999999999999</v>
      </c>
      <c r="N10">
        <f>Beta!H12</f>
        <v>18.899999999999999</v>
      </c>
      <c r="O10">
        <f>Beta!I12</f>
        <v>2.9391619220655967</v>
      </c>
      <c r="P10">
        <f t="shared" si="4"/>
        <v>2.9391619220655967</v>
      </c>
      <c r="Q10">
        <f t="shared" si="5"/>
        <v>2.9391619220655967</v>
      </c>
    </row>
    <row r="11" spans="2:34" x14ac:dyDescent="0.2">
      <c r="B11">
        <f>Survey!L14</f>
        <v>9</v>
      </c>
      <c r="C11" t="str">
        <f>IF(Survey!M14="","",Survey!M14)</f>
        <v/>
      </c>
      <c r="D11">
        <f>Survey!N14</f>
        <v>0</v>
      </c>
      <c r="E11">
        <f t="shared" si="2"/>
        <v>0</v>
      </c>
      <c r="F11" t="str" cm="1">
        <f t="array" ref="F11">IF(Survey!$F$13=INDEX(Tekst!$B$1:$U$300,259,Tabeller!$C$28),IF(E11=1,(RIGHT(C11,LEN(C11)-1)+0)*Survey!$E$13,IF(E11=2,C11*Survey!$E$13,"")),IF(E11=1,((RIGHT(C11,LEN(C11)-1)+0)*Survey!$E$13)/(D11/1000),IF(E11=2,(C11*Survey!$E$13)/(D11/1000),"")))</f>
        <v/>
      </c>
      <c r="G11" t="str">
        <f>IF(ISNUMBER($F11),INDEX($I$3:$N$52,$B11,'Tables (statistics)'!$H$149),"")</f>
        <v/>
      </c>
      <c r="I11" t="str">
        <f t="shared" si="3"/>
        <v/>
      </c>
      <c r="J11" t="str">
        <f t="shared" si="0"/>
        <v/>
      </c>
      <c r="K11" t="str">
        <f t="shared" si="1"/>
        <v/>
      </c>
      <c r="L11" t="str">
        <f>Beta!G13</f>
        <v/>
      </c>
      <c r="M11" t="str">
        <f>Beta!K13</f>
        <v/>
      </c>
      <c r="N11" t="str">
        <f>Beta!H13</f>
        <v/>
      </c>
      <c r="O11" t="str">
        <f>Beta!I13</f>
        <v/>
      </c>
      <c r="P11" t="str">
        <f t="shared" si="4"/>
        <v/>
      </c>
      <c r="Q11" t="str">
        <f t="shared" si="5"/>
        <v/>
      </c>
      <c r="V11" s="663" t="s">
        <v>37</v>
      </c>
      <c r="W11" s="329" t="s">
        <v>1597</v>
      </c>
      <c r="X11" s="335">
        <f>IF($X$1&lt;2,"",IF($X$3&lt;2,"N/A",AVERAGE($F$3:$F$52)))</f>
        <v>9.4125000000000014</v>
      </c>
      <c r="Y11" s="335">
        <f>IF($X$1&lt;2,"",AVERAGE($G$3:$G$52))</f>
        <v>9.4125000000000014</v>
      </c>
      <c r="Z11" s="24"/>
    </row>
    <row r="12" spans="2:34" x14ac:dyDescent="0.2">
      <c r="B12">
        <f>Survey!L15</f>
        <v>10</v>
      </c>
      <c r="C12" t="str">
        <f>IF(Survey!M15="","",Survey!M15)</f>
        <v/>
      </c>
      <c r="D12">
        <f>Survey!N15</f>
        <v>0</v>
      </c>
      <c r="E12">
        <f t="shared" si="2"/>
        <v>0</v>
      </c>
      <c r="F12" t="str" cm="1">
        <f t="array" ref="F12">IF(Survey!$F$13=INDEX(Tekst!$B$1:$U$300,259,Tabeller!$C$28),IF(E12=1,(RIGHT(C12,LEN(C12)-1)+0)*Survey!$E$13,IF(E12=2,C12*Survey!$E$13,"")),IF(E12=1,((RIGHT(C12,LEN(C12)-1)+0)*Survey!$E$13)/(D12/1000),IF(E12=2,(C12*Survey!$E$13)/(D12/1000),"")))</f>
        <v/>
      </c>
      <c r="G12" t="str">
        <f>IF(ISNUMBER($F12),INDEX($I$3:$N$52,$B12,'Tables (statistics)'!$H$149),"")</f>
        <v/>
      </c>
      <c r="I12" t="str">
        <f t="shared" si="3"/>
        <v/>
      </c>
      <c r="J12" t="str">
        <f t="shared" si="0"/>
        <v/>
      </c>
      <c r="K12" t="str">
        <f t="shared" si="1"/>
        <v/>
      </c>
      <c r="L12" t="str">
        <f>Beta!G14</f>
        <v/>
      </c>
      <c r="M12" t="str">
        <f>Beta!K14</f>
        <v/>
      </c>
      <c r="N12" t="str">
        <f>Beta!H14</f>
        <v/>
      </c>
      <c r="O12" t="str">
        <f>Beta!I14</f>
        <v/>
      </c>
      <c r="P12" t="str">
        <f t="shared" si="4"/>
        <v/>
      </c>
      <c r="Q12" t="str">
        <f t="shared" si="5"/>
        <v/>
      </c>
      <c r="V12" s="663"/>
      <c r="W12" s="329" t="s">
        <v>1598</v>
      </c>
      <c r="X12" s="335">
        <f>IF($X$1&lt;3,"",IF($X$3&lt;2,"N/A",_xlfn.STDEV.S($F$3:$F$52)))</f>
        <v>8.1553553833399182</v>
      </c>
      <c r="Y12" s="335">
        <f>IF($X$1&lt;2,"",_xlfn.STDEV.S($G$3:$G$52))</f>
        <v>8.1553553833399182</v>
      </c>
      <c r="Z12" s="24"/>
    </row>
    <row r="13" spans="2:34" x14ac:dyDescent="0.2">
      <c r="B13">
        <f>Survey!L16</f>
        <v>11</v>
      </c>
      <c r="C13" t="str">
        <f>IF(Survey!M16="","",Survey!M16)</f>
        <v/>
      </c>
      <c r="D13">
        <f>Survey!N16</f>
        <v>0</v>
      </c>
      <c r="E13">
        <f t="shared" si="2"/>
        <v>0</v>
      </c>
      <c r="F13" t="str" cm="1">
        <f t="array" ref="F13">IF(Survey!$F$13=INDEX(Tekst!$B$1:$U$300,259,Tabeller!$C$28),IF(E13=1,(RIGHT(C13,LEN(C13)-1)+0)*Survey!$E$13,IF(E13=2,C13*Survey!$E$13,"")),IF(E13=1,((RIGHT(C13,LEN(C13)-1)+0)*Survey!$E$13)/(D13/1000),IF(E13=2,(C13*Survey!$E$13)/(D13/1000),"")))</f>
        <v/>
      </c>
      <c r="G13" t="str">
        <f>IF(ISNUMBER($F13),INDEX($I$3:$N$52,$B13,'Tables (statistics)'!$H$149),"")</f>
        <v/>
      </c>
      <c r="I13" t="str">
        <f t="shared" si="3"/>
        <v/>
      </c>
      <c r="J13" t="str">
        <f t="shared" si="0"/>
        <v/>
      </c>
      <c r="K13" t="str">
        <f t="shared" si="1"/>
        <v/>
      </c>
      <c r="L13" t="str">
        <f>Beta!G15</f>
        <v/>
      </c>
      <c r="M13" t="str">
        <f>Beta!K15</f>
        <v/>
      </c>
      <c r="N13" t="str">
        <f>Beta!H15</f>
        <v/>
      </c>
      <c r="O13" t="str">
        <f>Beta!I15</f>
        <v/>
      </c>
      <c r="P13" t="str">
        <f t="shared" si="4"/>
        <v/>
      </c>
      <c r="Q13" t="str">
        <f t="shared" si="5"/>
        <v/>
      </c>
      <c r="V13" s="336"/>
      <c r="W13" s="336" t="s">
        <v>1597</v>
      </c>
      <c r="X13" s="336"/>
      <c r="Y13" s="338" t="str">
        <f>IF($X$1&lt;2,"",IF(AC2&lt;&gt;4,"",Beta!Q12))</f>
        <v/>
      </c>
    </row>
    <row r="14" spans="2:34" x14ac:dyDescent="0.2">
      <c r="B14">
        <f>Survey!L17</f>
        <v>12</v>
      </c>
      <c r="C14" t="str">
        <f>IF(Survey!M17="","",Survey!M17)</f>
        <v/>
      </c>
      <c r="D14">
        <f>Survey!N17</f>
        <v>0</v>
      </c>
      <c r="E14">
        <f t="shared" si="2"/>
        <v>0</v>
      </c>
      <c r="F14" t="str" cm="1">
        <f t="array" ref="F14">IF(Survey!$F$13=INDEX(Tekst!$B$1:$U$300,259,Tabeller!$C$28),IF(E14=1,(RIGHT(C14,LEN(C14)-1)+0)*Survey!$E$13,IF(E14=2,C14*Survey!$E$13,"")),IF(E14=1,((RIGHT(C14,LEN(C14)-1)+0)*Survey!$E$13)/(D14/1000),IF(E14=2,(C14*Survey!$E$13)/(D14/1000),"")))</f>
        <v/>
      </c>
      <c r="G14" t="str">
        <f>IF(ISNUMBER($F14),INDEX($I$3:$N$52,$B14,'Tables (statistics)'!$H$149),"")</f>
        <v/>
      </c>
      <c r="I14" t="str">
        <f t="shared" si="3"/>
        <v/>
      </c>
      <c r="J14" t="str">
        <f t="shared" si="0"/>
        <v/>
      </c>
      <c r="K14" t="str">
        <f t="shared" si="1"/>
        <v/>
      </c>
      <c r="L14" t="str">
        <f>Beta!G16</f>
        <v/>
      </c>
      <c r="M14" t="str">
        <f>Beta!K16</f>
        <v/>
      </c>
      <c r="N14" t="str">
        <f>Beta!H16</f>
        <v/>
      </c>
      <c r="O14" t="str">
        <f>Beta!I16</f>
        <v/>
      </c>
      <c r="P14" t="str">
        <f t="shared" si="4"/>
        <v/>
      </c>
      <c r="Q14" t="str">
        <f t="shared" si="5"/>
        <v/>
      </c>
      <c r="V14" s="661" t="s">
        <v>36</v>
      </c>
      <c r="W14" s="336" t="s">
        <v>1599</v>
      </c>
      <c r="X14" s="337">
        <f>IF($X$1&lt;3,"",IF($X$3&lt;2,"N/A",EXP(AVERAGE($Q$3:$Q$52))))</f>
        <v>6.1881111555421828</v>
      </c>
      <c r="Y14" s="337">
        <f>IF($X$1&lt;2,"",IF(AC2&lt;&gt;4,EXP(AVERAGE($P$3:$P$52)),Beta!$Q$14))</f>
        <v>6.1881111555421828</v>
      </c>
      <c r="Z14" s="24"/>
    </row>
    <row r="15" spans="2:34" x14ac:dyDescent="0.2">
      <c r="B15">
        <f>Survey!L18</f>
        <v>13</v>
      </c>
      <c r="C15" t="str">
        <f>IF(Survey!M18="","",Survey!M18)</f>
        <v/>
      </c>
      <c r="D15">
        <f>Survey!N18</f>
        <v>0</v>
      </c>
      <c r="E15">
        <f t="shared" si="2"/>
        <v>0</v>
      </c>
      <c r="F15" t="str" cm="1">
        <f t="array" ref="F15">IF(Survey!$F$13=INDEX(Tekst!$B$1:$U$300,259,Tabeller!$C$28),IF(E15=1,(RIGHT(C15,LEN(C15)-1)+0)*Survey!$E$13,IF(E15=2,C15*Survey!$E$13,"")),IF(E15=1,((RIGHT(C15,LEN(C15)-1)+0)*Survey!$E$13)/(D15/1000),IF(E15=2,(C15*Survey!$E$13)/(D15/1000),"")))</f>
        <v/>
      </c>
      <c r="G15" t="str">
        <f>IF(ISNUMBER($F15),INDEX($I$3:$N$52,$B15,'Tables (statistics)'!$H$149),"")</f>
        <v/>
      </c>
      <c r="I15" t="str">
        <f t="shared" si="3"/>
        <v/>
      </c>
      <c r="J15" t="str">
        <f t="shared" si="0"/>
        <v/>
      </c>
      <c r="K15" t="str">
        <f t="shared" si="1"/>
        <v/>
      </c>
      <c r="L15" t="str">
        <f>Beta!G17</f>
        <v/>
      </c>
      <c r="M15" t="str">
        <f>Beta!K17</f>
        <v/>
      </c>
      <c r="N15" t="str">
        <f>Beta!H17</f>
        <v/>
      </c>
      <c r="O15" t="str">
        <f>Beta!I17</f>
        <v/>
      </c>
      <c r="P15" t="str">
        <f t="shared" si="4"/>
        <v/>
      </c>
      <c r="Q15" t="str">
        <f t="shared" si="5"/>
        <v/>
      </c>
      <c r="V15" s="661"/>
      <c r="W15" s="336" t="s">
        <v>1600</v>
      </c>
      <c r="X15" s="337">
        <f>IF($X$1=0,"",IF($X$3&lt;2,"N/A",EXP(_xlfn.STDEV.S($Q$3:$Q$52))))</f>
        <v>2.8186526634027844</v>
      </c>
      <c r="Y15" s="337">
        <f>IF($X$1&lt;2,"",IF(($Y$11/$Y$14)&lt;=1,1,IF(OR(AC2&lt;&gt;4,X2=0),EXP(_xlfn.STDEV.S($P$3:$P$52)),Beta!$Q$15)))</f>
        <v>2.8186526634027844</v>
      </c>
      <c r="Z15" s="24"/>
    </row>
    <row r="16" spans="2:34" x14ac:dyDescent="0.2">
      <c r="B16">
        <f>Survey!L19</f>
        <v>14</v>
      </c>
      <c r="C16" t="str">
        <f>IF(Survey!M19="","",Survey!M19)</f>
        <v/>
      </c>
      <c r="D16">
        <f>Survey!N19</f>
        <v>0</v>
      </c>
      <c r="E16">
        <f t="shared" si="2"/>
        <v>0</v>
      </c>
      <c r="F16" t="str" cm="1">
        <f t="array" ref="F16">IF(Survey!$F$13=INDEX(Tekst!$B$1:$U$300,259,Tabeller!$C$28),IF(E16=1,(RIGHT(C16,LEN(C16)-1)+0)*Survey!$E$13,IF(E16=2,C16*Survey!$E$13,"")),IF(E16=1,((RIGHT(C16,LEN(C16)-1)+0)*Survey!$E$13)/(D16/1000),IF(E16=2,(C16*Survey!$E$13)/(D16/1000),"")))</f>
        <v/>
      </c>
      <c r="G16" t="str">
        <f>IF(ISNUMBER($F16),INDEX($I$3:$N$52,$B16,'Tables (statistics)'!$H$149),"")</f>
        <v/>
      </c>
      <c r="I16" t="str">
        <f t="shared" si="3"/>
        <v/>
      </c>
      <c r="J16" t="str">
        <f t="shared" si="0"/>
        <v/>
      </c>
      <c r="K16" t="str">
        <f t="shared" si="1"/>
        <v/>
      </c>
      <c r="L16" t="str">
        <f>Beta!G18</f>
        <v/>
      </c>
      <c r="M16" t="str">
        <f>Beta!K18</f>
        <v/>
      </c>
      <c r="N16" t="str">
        <f>Beta!H18</f>
        <v/>
      </c>
      <c r="O16" t="str">
        <f>Beta!I18</f>
        <v/>
      </c>
      <c r="P16" t="str">
        <f t="shared" si="4"/>
        <v/>
      </c>
      <c r="Q16" t="str">
        <f t="shared" si="5"/>
        <v/>
      </c>
    </row>
    <row r="17" spans="2:17" x14ac:dyDescent="0.2">
      <c r="B17">
        <f>Survey!L20</f>
        <v>15</v>
      </c>
      <c r="C17" t="str">
        <f>IF(Survey!M20="","",Survey!M20)</f>
        <v/>
      </c>
      <c r="D17">
        <f>Survey!N20</f>
        <v>0</v>
      </c>
      <c r="E17">
        <f t="shared" si="2"/>
        <v>0</v>
      </c>
      <c r="F17" t="str" cm="1">
        <f t="array" ref="F17">IF(Survey!$F$13=INDEX(Tekst!$B$1:$U$300,259,Tabeller!$C$28),IF(E17=1,(RIGHT(C17,LEN(C17)-1)+0)*Survey!$E$13,IF(E17=2,C17*Survey!$E$13,"")),IF(E17=1,((RIGHT(C17,LEN(C17)-1)+0)*Survey!$E$13)/(D17/1000),IF(E17=2,(C17*Survey!$E$13)/(D17/1000),"")))</f>
        <v/>
      </c>
      <c r="G17" t="str">
        <f>IF(ISNUMBER($F17),INDEX($I$3:$N$52,$B17,'Tables (statistics)'!$H$149),"")</f>
        <v/>
      </c>
      <c r="I17" t="str">
        <f t="shared" si="3"/>
        <v/>
      </c>
      <c r="J17" t="str">
        <f t="shared" si="0"/>
        <v/>
      </c>
      <c r="K17" t="str">
        <f t="shared" si="1"/>
        <v/>
      </c>
      <c r="L17" t="str">
        <f>Beta!G19</f>
        <v/>
      </c>
      <c r="M17" t="str">
        <f>Beta!K19</f>
        <v/>
      </c>
      <c r="N17" t="str">
        <f>Beta!H19</f>
        <v/>
      </c>
      <c r="O17" t="str">
        <f>Beta!I19</f>
        <v/>
      </c>
      <c r="P17" t="str">
        <f t="shared" si="4"/>
        <v/>
      </c>
      <c r="Q17" t="str">
        <f t="shared" si="5"/>
        <v/>
      </c>
    </row>
    <row r="18" spans="2:17" x14ac:dyDescent="0.2">
      <c r="B18">
        <f>Survey!L21</f>
        <v>16</v>
      </c>
      <c r="C18" t="str">
        <f>IF(Survey!M21="","",Survey!M21)</f>
        <v/>
      </c>
      <c r="D18">
        <f>Survey!N21</f>
        <v>0</v>
      </c>
      <c r="E18">
        <f t="shared" si="2"/>
        <v>0</v>
      </c>
      <c r="F18" t="str" cm="1">
        <f t="array" ref="F18">IF(Survey!$F$13=INDEX(Tekst!$B$1:$U$300,259,Tabeller!$C$28),IF(E18=1,(RIGHT(C18,LEN(C18)-1)+0)*Survey!$E$13,IF(E18=2,C18*Survey!$E$13,"")),IF(E18=1,((RIGHT(C18,LEN(C18)-1)+0)*Survey!$E$13)/(D18/1000),IF(E18=2,(C18*Survey!$E$13)/(D18/1000),"")))</f>
        <v/>
      </c>
      <c r="G18" t="str">
        <f>IF(ISNUMBER($F18),INDEX($I$3:$N$52,$B18,'Tables (statistics)'!$H$149),"")</f>
        <v/>
      </c>
      <c r="I18" t="str">
        <f t="shared" si="3"/>
        <v/>
      </c>
      <c r="J18" t="str">
        <f t="shared" si="0"/>
        <v/>
      </c>
      <c r="K18" t="str">
        <f t="shared" si="1"/>
        <v/>
      </c>
      <c r="L18" t="str">
        <f>Beta!G20</f>
        <v/>
      </c>
      <c r="M18" t="str">
        <f>Beta!K20</f>
        <v/>
      </c>
      <c r="N18" t="str">
        <f>Beta!H20</f>
        <v/>
      </c>
      <c r="O18" t="str">
        <f>Beta!I20</f>
        <v/>
      </c>
      <c r="P18" t="str">
        <f t="shared" si="4"/>
        <v/>
      </c>
      <c r="Q18" t="str">
        <f t="shared" si="5"/>
        <v/>
      </c>
    </row>
    <row r="19" spans="2:17" x14ac:dyDescent="0.2">
      <c r="B19">
        <f>Survey!L22</f>
        <v>17</v>
      </c>
      <c r="C19" t="str">
        <f>IF(Survey!M22="","",Survey!M22)</f>
        <v/>
      </c>
      <c r="D19">
        <f>Survey!N22</f>
        <v>0</v>
      </c>
      <c r="E19">
        <f t="shared" si="2"/>
        <v>0</v>
      </c>
      <c r="F19" t="str" cm="1">
        <f t="array" ref="F19">IF(Survey!$F$13=INDEX(Tekst!$B$1:$U$300,259,Tabeller!$C$28),IF(E19=1,(RIGHT(C19,LEN(C19)-1)+0)*Survey!$E$13,IF(E19=2,C19*Survey!$E$13,"")),IF(E19=1,((RIGHT(C19,LEN(C19)-1)+0)*Survey!$E$13)/(D19/1000),IF(E19=2,(C19*Survey!$E$13)/(D19/1000),"")))</f>
        <v/>
      </c>
      <c r="G19" t="str">
        <f>IF(ISNUMBER($F19),INDEX($I$3:$N$52,$B19,'Tables (statistics)'!$H$149),"")</f>
        <v/>
      </c>
      <c r="I19" t="str">
        <f t="shared" si="3"/>
        <v/>
      </c>
      <c r="J19" t="str">
        <f t="shared" si="0"/>
        <v/>
      </c>
      <c r="K19" t="str">
        <f t="shared" si="1"/>
        <v/>
      </c>
      <c r="L19" t="str">
        <f>Beta!G21</f>
        <v/>
      </c>
      <c r="M19" t="str">
        <f>Beta!K21</f>
        <v/>
      </c>
      <c r="N19" t="str">
        <f>Beta!H21</f>
        <v/>
      </c>
      <c r="O19" t="str">
        <f>Beta!I21</f>
        <v/>
      </c>
      <c r="P19" t="str">
        <f t="shared" si="4"/>
        <v/>
      </c>
      <c r="Q19" t="str">
        <f t="shared" si="5"/>
        <v/>
      </c>
    </row>
    <row r="20" spans="2:17" x14ac:dyDescent="0.2">
      <c r="B20">
        <f>Survey!L23</f>
        <v>18</v>
      </c>
      <c r="C20" t="str">
        <f>IF(Survey!M23="","",Survey!M23)</f>
        <v/>
      </c>
      <c r="D20">
        <f>Survey!N23</f>
        <v>0</v>
      </c>
      <c r="E20">
        <f t="shared" si="2"/>
        <v>0</v>
      </c>
      <c r="F20" t="str" cm="1">
        <f t="array" ref="F20">IF(Survey!$F$13=INDEX(Tekst!$B$1:$U$300,259,Tabeller!$C$28),IF(E20=1,(RIGHT(C20,LEN(C20)-1)+0)*Survey!$E$13,IF(E20=2,C20*Survey!$E$13,"")),IF(E20=1,((RIGHT(C20,LEN(C20)-1)+0)*Survey!$E$13)/(D20/1000),IF(E20=2,(C20*Survey!$E$13)/(D20/1000),"")))</f>
        <v/>
      </c>
      <c r="G20" t="str">
        <f>IF(ISNUMBER($F20),INDEX($I$3:$N$52,$B20,'Tables (statistics)'!$H$149),"")</f>
        <v/>
      </c>
      <c r="I20" t="str">
        <f t="shared" si="3"/>
        <v/>
      </c>
      <c r="J20" t="str">
        <f t="shared" si="0"/>
        <v/>
      </c>
      <c r="K20" t="str">
        <f t="shared" si="1"/>
        <v/>
      </c>
      <c r="L20" t="str">
        <f>Beta!G22</f>
        <v/>
      </c>
      <c r="M20" t="str">
        <f>Beta!K22</f>
        <v/>
      </c>
      <c r="N20" t="str">
        <f>Beta!H22</f>
        <v/>
      </c>
      <c r="O20" t="str">
        <f>Beta!I22</f>
        <v/>
      </c>
      <c r="P20" t="str">
        <f t="shared" si="4"/>
        <v/>
      </c>
      <c r="Q20" t="str">
        <f t="shared" si="5"/>
        <v/>
      </c>
    </row>
    <row r="21" spans="2:17" x14ac:dyDescent="0.2">
      <c r="B21">
        <f>Survey!L24</f>
        <v>19</v>
      </c>
      <c r="C21" t="str">
        <f>IF(Survey!M24="","",Survey!M24)</f>
        <v/>
      </c>
      <c r="D21">
        <f>Survey!N24</f>
        <v>0</v>
      </c>
      <c r="E21">
        <f t="shared" si="2"/>
        <v>0</v>
      </c>
      <c r="F21" t="str" cm="1">
        <f t="array" ref="F21">IF(Survey!$F$13=INDEX(Tekst!$B$1:$U$300,259,Tabeller!$C$28),IF(E21=1,(RIGHT(C21,LEN(C21)-1)+0)*Survey!$E$13,IF(E21=2,C21*Survey!$E$13,"")),IF(E21=1,((RIGHT(C21,LEN(C21)-1)+0)*Survey!$E$13)/(D21/1000),IF(E21=2,(C21*Survey!$E$13)/(D21/1000),"")))</f>
        <v/>
      </c>
      <c r="G21" t="str">
        <f>IF(ISNUMBER($F21),INDEX($I$3:$N$52,$B21,'Tables (statistics)'!$H$149),"")</f>
        <v/>
      </c>
      <c r="I21" t="str">
        <f t="shared" si="3"/>
        <v/>
      </c>
      <c r="J21" t="str">
        <f t="shared" si="0"/>
        <v/>
      </c>
      <c r="K21" t="str">
        <f t="shared" si="1"/>
        <v/>
      </c>
      <c r="L21" t="str">
        <f>Beta!G23</f>
        <v/>
      </c>
      <c r="M21" t="str">
        <f>Beta!K23</f>
        <v/>
      </c>
      <c r="N21" t="str">
        <f>Beta!H23</f>
        <v/>
      </c>
      <c r="O21" t="str">
        <f>Beta!I23</f>
        <v/>
      </c>
      <c r="P21" t="str">
        <f t="shared" si="4"/>
        <v/>
      </c>
      <c r="Q21" t="str">
        <f t="shared" si="5"/>
        <v/>
      </c>
    </row>
    <row r="22" spans="2:17" x14ac:dyDescent="0.2">
      <c r="B22">
        <f>Survey!L25</f>
        <v>20</v>
      </c>
      <c r="C22" t="str">
        <f>IF(Survey!M25="","",Survey!M25)</f>
        <v/>
      </c>
      <c r="D22">
        <f>Survey!N25</f>
        <v>0</v>
      </c>
      <c r="E22">
        <f t="shared" si="2"/>
        <v>0</v>
      </c>
      <c r="F22" t="str" cm="1">
        <f t="array" ref="F22">IF(Survey!$F$13=INDEX(Tekst!$B$1:$U$300,259,Tabeller!$C$28),IF(E22=1,(RIGHT(C22,LEN(C22)-1)+0)*Survey!$E$13,IF(E22=2,C22*Survey!$E$13,"")),IF(E22=1,((RIGHT(C22,LEN(C22)-1)+0)*Survey!$E$13)/(D22/1000),IF(E22=2,(C22*Survey!$E$13)/(D22/1000),"")))</f>
        <v/>
      </c>
      <c r="G22" t="str">
        <f>IF(ISNUMBER($F22),INDEX($I$3:$N$52,$B22,'Tables (statistics)'!$H$149),"")</f>
        <v/>
      </c>
      <c r="I22" t="str">
        <f t="shared" si="3"/>
        <v/>
      </c>
      <c r="J22" t="str">
        <f t="shared" si="0"/>
        <v/>
      </c>
      <c r="K22" t="str">
        <f t="shared" si="1"/>
        <v/>
      </c>
      <c r="L22" t="str">
        <f>Beta!G24</f>
        <v/>
      </c>
      <c r="M22" t="str">
        <f>Beta!K24</f>
        <v/>
      </c>
      <c r="N22" t="str">
        <f>Beta!H24</f>
        <v/>
      </c>
      <c r="O22" t="str">
        <f>Beta!I24</f>
        <v/>
      </c>
      <c r="P22" t="str">
        <f t="shared" si="4"/>
        <v/>
      </c>
      <c r="Q22" t="str">
        <f t="shared" si="5"/>
        <v/>
      </c>
    </row>
    <row r="23" spans="2:17" x14ac:dyDescent="0.2">
      <c r="B23">
        <f>Survey!L26</f>
        <v>21</v>
      </c>
      <c r="C23" t="str">
        <f>IF(Survey!M26="","",Survey!M26)</f>
        <v/>
      </c>
      <c r="D23">
        <f>Survey!N26</f>
        <v>0</v>
      </c>
      <c r="E23">
        <f t="shared" si="2"/>
        <v>0</v>
      </c>
      <c r="F23" t="str" cm="1">
        <f t="array" ref="F23">IF(Survey!$F$13=INDEX(Tekst!$B$1:$U$300,259,Tabeller!$C$28),IF(E23=1,(RIGHT(C23,LEN(C23)-1)+0)*Survey!$E$13,IF(E23=2,C23*Survey!$E$13,"")),IF(E23=1,((RIGHT(C23,LEN(C23)-1)+0)*Survey!$E$13)/(D23/1000),IF(E23=2,(C23*Survey!$E$13)/(D23/1000),"")))</f>
        <v/>
      </c>
      <c r="G23" t="str">
        <f>IF(ISNUMBER($F23),INDEX($I$3:$N$52,$B23,'Tables (statistics)'!$H$149),"")</f>
        <v/>
      </c>
      <c r="I23" t="str">
        <f t="shared" si="3"/>
        <v/>
      </c>
      <c r="J23" t="str">
        <f t="shared" si="0"/>
        <v/>
      </c>
      <c r="K23" t="str">
        <f t="shared" si="1"/>
        <v/>
      </c>
      <c r="L23" t="str">
        <f>Beta!G25</f>
        <v/>
      </c>
      <c r="M23" t="str">
        <f>Beta!K25</f>
        <v/>
      </c>
      <c r="N23" t="str">
        <f>Beta!H25</f>
        <v/>
      </c>
      <c r="O23" t="str">
        <f>Beta!I25</f>
        <v/>
      </c>
      <c r="P23" t="str">
        <f t="shared" si="4"/>
        <v/>
      </c>
      <c r="Q23" t="str">
        <f t="shared" si="5"/>
        <v/>
      </c>
    </row>
    <row r="24" spans="2:17" x14ac:dyDescent="0.2">
      <c r="B24">
        <f>Survey!L27</f>
        <v>22</v>
      </c>
      <c r="C24" t="str">
        <f>IF(Survey!M27="","",Survey!M27)</f>
        <v/>
      </c>
      <c r="D24">
        <f>Survey!N27</f>
        <v>0</v>
      </c>
      <c r="E24">
        <f t="shared" si="2"/>
        <v>0</v>
      </c>
      <c r="F24" t="str" cm="1">
        <f t="array" ref="F24">IF(Survey!$F$13=INDEX(Tekst!$B$1:$U$300,259,Tabeller!$C$28),IF(E24=1,(RIGHT(C24,LEN(C24)-1)+0)*Survey!$E$13,IF(E24=2,C24*Survey!$E$13,"")),IF(E24=1,((RIGHT(C24,LEN(C24)-1)+0)*Survey!$E$13)/(D24/1000),IF(E24=2,(C24*Survey!$E$13)/(D24/1000),"")))</f>
        <v/>
      </c>
      <c r="G24" t="str">
        <f>IF(ISNUMBER($F24),INDEX($I$3:$N$52,$B24,'Tables (statistics)'!$H$149),"")</f>
        <v/>
      </c>
      <c r="I24" t="str">
        <f t="shared" si="3"/>
        <v/>
      </c>
      <c r="J24" t="str">
        <f t="shared" si="0"/>
        <v/>
      </c>
      <c r="K24" t="str">
        <f t="shared" si="1"/>
        <v/>
      </c>
      <c r="L24" t="str">
        <f>Beta!G26</f>
        <v/>
      </c>
      <c r="M24" t="str">
        <f>Beta!K26</f>
        <v/>
      </c>
      <c r="N24" t="str">
        <f>Beta!H26</f>
        <v/>
      </c>
      <c r="O24" t="str">
        <f>Beta!I26</f>
        <v/>
      </c>
      <c r="P24" t="str">
        <f t="shared" si="4"/>
        <v/>
      </c>
      <c r="Q24" t="str">
        <f t="shared" si="5"/>
        <v/>
      </c>
    </row>
    <row r="25" spans="2:17" x14ac:dyDescent="0.2">
      <c r="B25">
        <f>Survey!L28</f>
        <v>23</v>
      </c>
      <c r="C25" t="str">
        <f>IF(Survey!M28="","",Survey!M28)</f>
        <v/>
      </c>
      <c r="D25">
        <f>Survey!N28</f>
        <v>0</v>
      </c>
      <c r="E25">
        <f t="shared" si="2"/>
        <v>0</v>
      </c>
      <c r="F25" t="str" cm="1">
        <f t="array" ref="F25">IF(Survey!$F$13=INDEX(Tekst!$B$1:$U$300,259,Tabeller!$C$28),IF(E25=1,(RIGHT(C25,LEN(C25)-1)+0)*Survey!$E$13,IF(E25=2,C25*Survey!$E$13,"")),IF(E25=1,((RIGHT(C25,LEN(C25)-1)+0)*Survey!$E$13)/(D25/1000),IF(E25=2,(C25*Survey!$E$13)/(D25/1000),"")))</f>
        <v/>
      </c>
      <c r="G25" t="str">
        <f>IF(ISNUMBER($F25),INDEX($I$3:$N$52,$B25,'Tables (statistics)'!$H$149),"")</f>
        <v/>
      </c>
      <c r="I25" t="str">
        <f t="shared" si="3"/>
        <v/>
      </c>
      <c r="J25" t="str">
        <f t="shared" si="0"/>
        <v/>
      </c>
      <c r="K25" t="str">
        <f t="shared" si="1"/>
        <v/>
      </c>
      <c r="L25" t="str">
        <f>Beta!G27</f>
        <v/>
      </c>
      <c r="M25" t="str">
        <f>Beta!K27</f>
        <v/>
      </c>
      <c r="N25" t="str">
        <f>Beta!H27</f>
        <v/>
      </c>
      <c r="O25" t="str">
        <f>Beta!I27</f>
        <v/>
      </c>
      <c r="P25" t="str">
        <f t="shared" si="4"/>
        <v/>
      </c>
      <c r="Q25" t="str">
        <f t="shared" si="5"/>
        <v/>
      </c>
    </row>
    <row r="26" spans="2:17" x14ac:dyDescent="0.2">
      <c r="B26">
        <f>Survey!L29</f>
        <v>24</v>
      </c>
      <c r="C26" t="str">
        <f>IF(Survey!M29="","",Survey!M29)</f>
        <v/>
      </c>
      <c r="D26">
        <f>Survey!N29</f>
        <v>0</v>
      </c>
      <c r="E26">
        <f t="shared" si="2"/>
        <v>0</v>
      </c>
      <c r="F26" t="str" cm="1">
        <f t="array" ref="F26">IF(Survey!$F$13=INDEX(Tekst!$B$1:$U$300,259,Tabeller!$C$28),IF(E26=1,(RIGHT(C26,LEN(C26)-1)+0)*Survey!$E$13,IF(E26=2,C26*Survey!$E$13,"")),IF(E26=1,((RIGHT(C26,LEN(C26)-1)+0)*Survey!$E$13)/(D26/1000),IF(E26=2,(C26*Survey!$E$13)/(D26/1000),"")))</f>
        <v/>
      </c>
      <c r="G26" t="str">
        <f>IF(ISNUMBER($F26),INDEX($I$3:$N$52,$B26,'Tables (statistics)'!$H$149),"")</f>
        <v/>
      </c>
      <c r="I26" t="str">
        <f t="shared" si="3"/>
        <v/>
      </c>
      <c r="J26" t="str">
        <f t="shared" si="0"/>
        <v/>
      </c>
      <c r="K26" t="str">
        <f t="shared" si="1"/>
        <v/>
      </c>
      <c r="L26" t="str">
        <f>Beta!G28</f>
        <v/>
      </c>
      <c r="M26" t="str">
        <f>Beta!K28</f>
        <v/>
      </c>
      <c r="N26" t="str">
        <f>Beta!H28</f>
        <v/>
      </c>
      <c r="O26" t="str">
        <f>Beta!I28</f>
        <v/>
      </c>
      <c r="P26" t="str">
        <f t="shared" si="4"/>
        <v/>
      </c>
      <c r="Q26" t="str">
        <f t="shared" si="5"/>
        <v/>
      </c>
    </row>
    <row r="27" spans="2:17" x14ac:dyDescent="0.2">
      <c r="B27">
        <f>Survey!L30</f>
        <v>25</v>
      </c>
      <c r="C27" t="str">
        <f>IF(Survey!M30="","",Survey!M30)</f>
        <v/>
      </c>
      <c r="D27">
        <f>Survey!N30</f>
        <v>0</v>
      </c>
      <c r="E27">
        <f t="shared" si="2"/>
        <v>0</v>
      </c>
      <c r="F27" t="str" cm="1">
        <f t="array" ref="F27">IF(Survey!$F$13=INDEX(Tekst!$B$1:$U$300,259,Tabeller!$C$28),IF(E27=1,(RIGHT(C27,LEN(C27)-1)+0)*Survey!$E$13,IF(E27=2,C27*Survey!$E$13,"")),IF(E27=1,((RIGHT(C27,LEN(C27)-1)+0)*Survey!$E$13)/(D27/1000),IF(E27=2,(C27*Survey!$E$13)/(D27/1000),"")))</f>
        <v/>
      </c>
      <c r="G27" t="str">
        <f>IF(ISNUMBER($F27),INDEX($I$3:$N$52,$B27,'Tables (statistics)'!$H$149),"")</f>
        <v/>
      </c>
      <c r="I27" t="str">
        <f t="shared" si="3"/>
        <v/>
      </c>
      <c r="J27" t="str">
        <f t="shared" si="0"/>
        <v/>
      </c>
      <c r="K27" t="str">
        <f t="shared" si="1"/>
        <v/>
      </c>
      <c r="L27" t="str">
        <f>Beta!G29</f>
        <v/>
      </c>
      <c r="M27" t="str">
        <f>Beta!K29</f>
        <v/>
      </c>
      <c r="N27" t="str">
        <f>Beta!H29</f>
        <v/>
      </c>
      <c r="O27" t="str">
        <f>Beta!I29</f>
        <v/>
      </c>
      <c r="P27" t="str">
        <f t="shared" si="4"/>
        <v/>
      </c>
      <c r="Q27" t="str">
        <f t="shared" si="5"/>
        <v/>
      </c>
    </row>
    <row r="28" spans="2:17" x14ac:dyDescent="0.2">
      <c r="B28">
        <f>Survey!L31</f>
        <v>26</v>
      </c>
      <c r="C28" t="str">
        <f>IF(Survey!M31="","",Survey!M31)</f>
        <v/>
      </c>
      <c r="D28">
        <f>Survey!N31</f>
        <v>0</v>
      </c>
      <c r="E28">
        <f t="shared" si="2"/>
        <v>0</v>
      </c>
      <c r="F28" t="str" cm="1">
        <f t="array" ref="F28">IF(Survey!$F$13=INDEX(Tekst!$B$1:$U$300,259,Tabeller!$C$28),IF(E28=1,(RIGHT(C28,LEN(C28)-1)+0)*Survey!$E$13,IF(E28=2,C28*Survey!$E$13,"")),IF(E28=1,((RIGHT(C28,LEN(C28)-1)+0)*Survey!$E$13)/(D28/1000),IF(E28=2,(C28*Survey!$E$13)/(D28/1000),"")))</f>
        <v/>
      </c>
      <c r="G28" t="str">
        <f>IF(ISNUMBER($F28),INDEX($I$3:$N$52,$B28,'Tables (statistics)'!$H$149),"")</f>
        <v/>
      </c>
      <c r="I28" t="str">
        <f t="shared" si="3"/>
        <v/>
      </c>
      <c r="J28" t="str">
        <f t="shared" si="0"/>
        <v/>
      </c>
      <c r="K28" t="str">
        <f t="shared" si="1"/>
        <v/>
      </c>
      <c r="L28" t="str">
        <f>Beta!G30</f>
        <v/>
      </c>
      <c r="M28" t="str">
        <f>Beta!K30</f>
        <v/>
      </c>
      <c r="N28" t="str">
        <f>Beta!H30</f>
        <v/>
      </c>
      <c r="O28" t="str">
        <f>Beta!I30</f>
        <v/>
      </c>
      <c r="P28" t="str">
        <f t="shared" si="4"/>
        <v/>
      </c>
      <c r="Q28" t="str">
        <f t="shared" si="5"/>
        <v/>
      </c>
    </row>
    <row r="29" spans="2:17" x14ac:dyDescent="0.2">
      <c r="B29">
        <f>Survey!L32</f>
        <v>27</v>
      </c>
      <c r="C29" t="str">
        <f>IF(Survey!M32="","",Survey!M32)</f>
        <v/>
      </c>
      <c r="D29">
        <f>Survey!N32</f>
        <v>0</v>
      </c>
      <c r="E29">
        <f t="shared" si="2"/>
        <v>0</v>
      </c>
      <c r="F29" t="str" cm="1">
        <f t="array" ref="F29">IF(Survey!$F$13=INDEX(Tekst!$B$1:$U$300,259,Tabeller!$C$28),IF(E29=1,(RIGHT(C29,LEN(C29)-1)+0)*Survey!$E$13,IF(E29=2,C29*Survey!$E$13,"")),IF(E29=1,((RIGHT(C29,LEN(C29)-1)+0)*Survey!$E$13)/(D29/1000),IF(E29=2,(C29*Survey!$E$13)/(D29/1000),"")))</f>
        <v/>
      </c>
      <c r="G29" t="str">
        <f>IF(ISNUMBER($F29),INDEX($I$3:$N$52,$B29,'Tables (statistics)'!$H$149),"")</f>
        <v/>
      </c>
      <c r="I29" t="str">
        <f t="shared" si="3"/>
        <v/>
      </c>
      <c r="J29" t="str">
        <f t="shared" si="0"/>
        <v/>
      </c>
      <c r="K29" t="str">
        <f t="shared" si="1"/>
        <v/>
      </c>
      <c r="L29" t="str">
        <f>Beta!G31</f>
        <v/>
      </c>
      <c r="M29" t="str">
        <f>Beta!K31</f>
        <v/>
      </c>
      <c r="N29" t="str">
        <f>Beta!H31</f>
        <v/>
      </c>
      <c r="O29" t="str">
        <f>Beta!I31</f>
        <v/>
      </c>
      <c r="P29" t="str">
        <f t="shared" si="4"/>
        <v/>
      </c>
      <c r="Q29" t="str">
        <f t="shared" si="5"/>
        <v/>
      </c>
    </row>
    <row r="30" spans="2:17" x14ac:dyDescent="0.2">
      <c r="B30">
        <f>Survey!L33</f>
        <v>28</v>
      </c>
      <c r="C30" t="str">
        <f>IF(Survey!M33="","",Survey!M33)</f>
        <v/>
      </c>
      <c r="D30">
        <f>Survey!N33</f>
        <v>0</v>
      </c>
      <c r="E30">
        <f t="shared" si="2"/>
        <v>0</v>
      </c>
      <c r="F30" t="str" cm="1">
        <f t="array" ref="F30">IF(Survey!$F$13=INDEX(Tekst!$B$1:$U$300,259,Tabeller!$C$28),IF(E30=1,(RIGHT(C30,LEN(C30)-1)+0)*Survey!$E$13,IF(E30=2,C30*Survey!$E$13,"")),IF(E30=1,((RIGHT(C30,LEN(C30)-1)+0)*Survey!$E$13)/(D30/1000),IF(E30=2,(C30*Survey!$E$13)/(D30/1000),"")))</f>
        <v/>
      </c>
      <c r="G30" t="str">
        <f>IF(ISNUMBER($F30),INDEX($I$3:$N$52,$B30,'Tables (statistics)'!$H$149),"")</f>
        <v/>
      </c>
      <c r="I30" t="str">
        <f t="shared" si="3"/>
        <v/>
      </c>
      <c r="J30" t="str">
        <f t="shared" si="0"/>
        <v/>
      </c>
      <c r="K30" t="str">
        <f t="shared" si="1"/>
        <v/>
      </c>
      <c r="L30" t="str">
        <f>Beta!G32</f>
        <v/>
      </c>
      <c r="M30" t="str">
        <f>Beta!K32</f>
        <v/>
      </c>
      <c r="N30" t="str">
        <f>Beta!H32</f>
        <v/>
      </c>
      <c r="O30" t="str">
        <f>Beta!I32</f>
        <v/>
      </c>
      <c r="P30" t="str">
        <f t="shared" si="4"/>
        <v/>
      </c>
      <c r="Q30" t="str">
        <f t="shared" si="5"/>
        <v/>
      </c>
    </row>
    <row r="31" spans="2:17" x14ac:dyDescent="0.2">
      <c r="B31">
        <f>Survey!L34</f>
        <v>29</v>
      </c>
      <c r="C31" t="str">
        <f>IF(Survey!M34="","",Survey!M34)</f>
        <v/>
      </c>
      <c r="D31">
        <f>Survey!N34</f>
        <v>0</v>
      </c>
      <c r="E31">
        <f t="shared" si="2"/>
        <v>0</v>
      </c>
      <c r="F31" t="str" cm="1">
        <f t="array" ref="F31">IF(Survey!$F$13=INDEX(Tekst!$B$1:$U$300,259,Tabeller!$C$28),IF(E31=1,(RIGHT(C31,LEN(C31)-1)+0)*Survey!$E$13,IF(E31=2,C31*Survey!$E$13,"")),IF(E31=1,((RIGHT(C31,LEN(C31)-1)+0)*Survey!$E$13)/(D31/1000),IF(E31=2,(C31*Survey!$E$13)/(D31/1000),"")))</f>
        <v/>
      </c>
      <c r="G31" t="str">
        <f>IF(ISNUMBER($F31),INDEX($I$3:$N$52,$B31,'Tables (statistics)'!$H$149),"")</f>
        <v/>
      </c>
      <c r="I31" t="str">
        <f t="shared" si="3"/>
        <v/>
      </c>
      <c r="J31" t="str">
        <f t="shared" si="0"/>
        <v/>
      </c>
      <c r="K31" t="str">
        <f t="shared" si="1"/>
        <v/>
      </c>
      <c r="L31" t="str">
        <f>Beta!G33</f>
        <v/>
      </c>
      <c r="M31" t="str">
        <f>Beta!K33</f>
        <v/>
      </c>
      <c r="N31" t="str">
        <f>Beta!H33</f>
        <v/>
      </c>
      <c r="O31" t="str">
        <f>Beta!I33</f>
        <v/>
      </c>
      <c r="P31" t="str">
        <f t="shared" si="4"/>
        <v/>
      </c>
      <c r="Q31" t="str">
        <f t="shared" si="5"/>
        <v/>
      </c>
    </row>
    <row r="32" spans="2:17" x14ac:dyDescent="0.2">
      <c r="B32">
        <f>Survey!L35</f>
        <v>30</v>
      </c>
      <c r="C32" t="str">
        <f>IF(Survey!M35="","",Survey!M35)</f>
        <v/>
      </c>
      <c r="D32">
        <f>Survey!N35</f>
        <v>0</v>
      </c>
      <c r="E32">
        <f t="shared" si="2"/>
        <v>0</v>
      </c>
      <c r="F32" t="str" cm="1">
        <f t="array" ref="F32">IF(Survey!$F$13=INDEX(Tekst!$B$1:$U$300,259,Tabeller!$C$28),IF(E32=1,(RIGHT(C32,LEN(C32)-1)+0)*Survey!$E$13,IF(E32=2,C32*Survey!$E$13,"")),IF(E32=1,((RIGHT(C32,LEN(C32)-1)+0)*Survey!$E$13)/(D32/1000),IF(E32=2,(C32*Survey!$E$13)/(D32/1000),"")))</f>
        <v/>
      </c>
      <c r="G32" t="str">
        <f>IF(ISNUMBER($F32),INDEX($I$3:$N$52,$B32,'Tables (statistics)'!$H$149),"")</f>
        <v/>
      </c>
      <c r="I32" t="str">
        <f t="shared" si="3"/>
        <v/>
      </c>
      <c r="J32" t="str">
        <f t="shared" si="0"/>
        <v/>
      </c>
      <c r="K32" t="str">
        <f t="shared" si="1"/>
        <v/>
      </c>
      <c r="L32" t="str">
        <f>Beta!G34</f>
        <v/>
      </c>
      <c r="M32" t="str">
        <f>Beta!K34</f>
        <v/>
      </c>
      <c r="N32" t="str">
        <f>Beta!H34</f>
        <v/>
      </c>
      <c r="O32" t="str">
        <f>Beta!I34</f>
        <v/>
      </c>
      <c r="P32" t="str">
        <f t="shared" si="4"/>
        <v/>
      </c>
      <c r="Q32" t="str">
        <f t="shared" si="5"/>
        <v/>
      </c>
    </row>
    <row r="33" spans="2:17" x14ac:dyDescent="0.2">
      <c r="B33">
        <f>Survey!L36</f>
        <v>31</v>
      </c>
      <c r="C33" t="str">
        <f>IF(Survey!M36="","",Survey!M36)</f>
        <v/>
      </c>
      <c r="D33">
        <f>Survey!N36</f>
        <v>0</v>
      </c>
      <c r="E33">
        <f t="shared" si="2"/>
        <v>0</v>
      </c>
      <c r="F33" t="str" cm="1">
        <f t="array" ref="F33">IF(Survey!$F$13=INDEX(Tekst!$B$1:$U$300,259,Tabeller!$C$28),IF(E33=1,(RIGHT(C33,LEN(C33)-1)+0)*Survey!$E$13,IF(E33=2,C33*Survey!$E$13,"")),IF(E33=1,((RIGHT(C33,LEN(C33)-1)+0)*Survey!$E$13)/(D33/1000),IF(E33=2,(C33*Survey!$E$13)/(D33/1000),"")))</f>
        <v/>
      </c>
      <c r="G33" t="str">
        <f>IF(ISNUMBER($F33),INDEX($I$3:$N$52,$B33,'Tables (statistics)'!$H$149),"")</f>
        <v/>
      </c>
      <c r="I33" t="str">
        <f t="shared" si="3"/>
        <v/>
      </c>
      <c r="J33" t="str">
        <f t="shared" si="0"/>
        <v/>
      </c>
      <c r="K33" t="str">
        <f t="shared" si="1"/>
        <v/>
      </c>
      <c r="L33" t="str">
        <f>Beta!G35</f>
        <v/>
      </c>
      <c r="M33" t="str">
        <f>Beta!K35</f>
        <v/>
      </c>
      <c r="N33" t="str">
        <f>Beta!H35</f>
        <v/>
      </c>
      <c r="O33" t="str">
        <f>Beta!I35</f>
        <v/>
      </c>
      <c r="P33" t="str">
        <f t="shared" si="4"/>
        <v/>
      </c>
      <c r="Q33" t="str">
        <f t="shared" si="5"/>
        <v/>
      </c>
    </row>
    <row r="34" spans="2:17" x14ac:dyDescent="0.2">
      <c r="B34">
        <f>Survey!L37</f>
        <v>32</v>
      </c>
      <c r="C34" t="str">
        <f>IF(Survey!M37="","",Survey!M37)</f>
        <v/>
      </c>
      <c r="D34">
        <f>Survey!N37</f>
        <v>0</v>
      </c>
      <c r="E34">
        <f t="shared" si="2"/>
        <v>0</v>
      </c>
      <c r="F34" t="str" cm="1">
        <f t="array" ref="F34">IF(Survey!$F$13=INDEX(Tekst!$B$1:$U$300,259,Tabeller!$C$28),IF(E34=1,(RIGHT(C34,LEN(C34)-1)+0)*Survey!$E$13,IF(E34=2,C34*Survey!$E$13,"")),IF(E34=1,((RIGHT(C34,LEN(C34)-1)+0)*Survey!$E$13)/(D34/1000),IF(E34=2,(C34*Survey!$E$13)/(D34/1000),"")))</f>
        <v/>
      </c>
      <c r="G34" t="str">
        <f>IF(ISNUMBER($F34),INDEX($I$3:$N$52,$B34,'Tables (statistics)'!$H$149),"")</f>
        <v/>
      </c>
      <c r="I34" t="str">
        <f t="shared" si="3"/>
        <v/>
      </c>
      <c r="J34" t="str">
        <f t="shared" si="0"/>
        <v/>
      </c>
      <c r="K34" t="str">
        <f t="shared" si="1"/>
        <v/>
      </c>
      <c r="L34" t="str">
        <f>Beta!G36</f>
        <v/>
      </c>
      <c r="M34" t="str">
        <f>Beta!K36</f>
        <v/>
      </c>
      <c r="N34" t="str">
        <f>Beta!H36</f>
        <v/>
      </c>
      <c r="O34" t="str">
        <f>Beta!I36</f>
        <v/>
      </c>
      <c r="P34" t="str">
        <f t="shared" si="4"/>
        <v/>
      </c>
      <c r="Q34" t="str">
        <f t="shared" si="5"/>
        <v/>
      </c>
    </row>
    <row r="35" spans="2:17" x14ac:dyDescent="0.2">
      <c r="B35">
        <f>Survey!L38</f>
        <v>33</v>
      </c>
      <c r="C35" t="str">
        <f>IF(Survey!M38="","",Survey!M38)</f>
        <v/>
      </c>
      <c r="D35">
        <f>Survey!N38</f>
        <v>0</v>
      </c>
      <c r="E35">
        <f t="shared" si="2"/>
        <v>0</v>
      </c>
      <c r="F35" t="str" cm="1">
        <f t="array" ref="F35">IF(Survey!$F$13=INDEX(Tekst!$B$1:$U$300,259,Tabeller!$C$28),IF(E35=1,(RIGHT(C35,LEN(C35)-1)+0)*Survey!$E$13,IF(E35=2,C35*Survey!$E$13,"")),IF(E35=1,((RIGHT(C35,LEN(C35)-1)+0)*Survey!$E$13)/(D35/1000),IF(E35=2,(C35*Survey!$E$13)/(D35/1000),"")))</f>
        <v/>
      </c>
      <c r="G35" t="str">
        <f>IF(ISNUMBER($F35),INDEX($I$3:$N$52,$B35,'Tables (statistics)'!$H$149),"")</f>
        <v/>
      </c>
      <c r="I35" t="str">
        <f t="shared" si="3"/>
        <v/>
      </c>
      <c r="J35" t="str">
        <f t="shared" ref="J35:J52" si="6">IF(AND(ISNUMBER($F35),$F35&gt;0),IF($E35=1,$F35/SQRT(2),$F35),"")</f>
        <v/>
      </c>
      <c r="K35" t="str">
        <f t="shared" ref="K35:K52" si="7">IF(AND(ISNUMBER($F35),$F35&gt;0),IF($E35=1,$F35/2,$F35),"")</f>
        <v/>
      </c>
      <c r="L35" t="str">
        <f>Beta!G37</f>
        <v/>
      </c>
      <c r="M35" t="str">
        <f>Beta!K37</f>
        <v/>
      </c>
      <c r="N35" t="str">
        <f>Beta!H37</f>
        <v/>
      </c>
      <c r="O35" t="str">
        <f>Beta!I37</f>
        <v/>
      </c>
      <c r="P35" t="str">
        <f t="shared" si="4"/>
        <v/>
      </c>
      <c r="Q35" t="str">
        <f t="shared" si="5"/>
        <v/>
      </c>
    </row>
    <row r="36" spans="2:17" x14ac:dyDescent="0.2">
      <c r="B36">
        <f>Survey!L39</f>
        <v>34</v>
      </c>
      <c r="C36" t="str">
        <f>IF(Survey!M39="","",Survey!M39)</f>
        <v/>
      </c>
      <c r="D36">
        <f>Survey!N39</f>
        <v>0</v>
      </c>
      <c r="E36">
        <f t="shared" si="2"/>
        <v>0</v>
      </c>
      <c r="F36" t="str" cm="1">
        <f t="array" ref="F36">IF(Survey!$F$13=INDEX(Tekst!$B$1:$U$300,259,Tabeller!$C$28),IF(E36=1,(RIGHT(C36,LEN(C36)-1)+0)*Survey!$E$13,IF(E36=2,C36*Survey!$E$13,"")),IF(E36=1,((RIGHT(C36,LEN(C36)-1)+0)*Survey!$E$13)/(D36/1000),IF(E36=2,(C36*Survey!$E$13)/(D36/1000),"")))</f>
        <v/>
      </c>
      <c r="G36" t="str">
        <f>IF(ISNUMBER($F36),INDEX($I$3:$N$52,$B36,'Tables (statistics)'!$H$149),"")</f>
        <v/>
      </c>
      <c r="I36" t="str">
        <f t="shared" si="3"/>
        <v/>
      </c>
      <c r="J36" t="str">
        <f t="shared" si="6"/>
        <v/>
      </c>
      <c r="K36" t="str">
        <f t="shared" si="7"/>
        <v/>
      </c>
      <c r="L36" t="str">
        <f>Beta!G38</f>
        <v/>
      </c>
      <c r="M36" t="str">
        <f>Beta!K38</f>
        <v/>
      </c>
      <c r="N36" t="str">
        <f>Beta!H38</f>
        <v/>
      </c>
      <c r="O36" t="str">
        <f>Beta!I38</f>
        <v/>
      </c>
      <c r="P36" t="str">
        <f t="shared" si="4"/>
        <v/>
      </c>
      <c r="Q36" t="str">
        <f t="shared" si="5"/>
        <v/>
      </c>
    </row>
    <row r="37" spans="2:17" x14ac:dyDescent="0.2">
      <c r="B37">
        <f>Survey!L40</f>
        <v>35</v>
      </c>
      <c r="C37" t="str">
        <f>IF(Survey!M40="","",Survey!M40)</f>
        <v/>
      </c>
      <c r="D37">
        <f>Survey!N40</f>
        <v>0</v>
      </c>
      <c r="E37">
        <f t="shared" si="2"/>
        <v>0</v>
      </c>
      <c r="F37" t="str" cm="1">
        <f t="array" ref="F37">IF(Survey!$F$13=INDEX(Tekst!$B$1:$U$300,259,Tabeller!$C$28),IF(E37=1,(RIGHT(C37,LEN(C37)-1)+0)*Survey!$E$13,IF(E37=2,C37*Survey!$E$13,"")),IF(E37=1,((RIGHT(C37,LEN(C37)-1)+0)*Survey!$E$13)/(D37/1000),IF(E37=2,(C37*Survey!$E$13)/(D37/1000),"")))</f>
        <v/>
      </c>
      <c r="G37" t="str">
        <f>IF(ISNUMBER($F37),INDEX($I$3:$N$52,$B37,'Tables (statistics)'!$H$149),"")</f>
        <v/>
      </c>
      <c r="I37" t="str">
        <f t="shared" si="3"/>
        <v/>
      </c>
      <c r="J37" t="str">
        <f t="shared" si="6"/>
        <v/>
      </c>
      <c r="K37" t="str">
        <f t="shared" si="7"/>
        <v/>
      </c>
      <c r="L37" t="str">
        <f>Beta!G39</f>
        <v/>
      </c>
      <c r="M37" t="str">
        <f>Beta!K39</f>
        <v/>
      </c>
      <c r="N37" t="str">
        <f>Beta!H39</f>
        <v/>
      </c>
      <c r="O37" t="str">
        <f>Beta!I39</f>
        <v/>
      </c>
      <c r="P37" t="str">
        <f t="shared" si="4"/>
        <v/>
      </c>
      <c r="Q37" t="str">
        <f t="shared" si="5"/>
        <v/>
      </c>
    </row>
    <row r="38" spans="2:17" x14ac:dyDescent="0.2">
      <c r="B38">
        <f>Survey!L41</f>
        <v>36</v>
      </c>
      <c r="C38" t="str">
        <f>IF(Survey!M41="","",Survey!M41)</f>
        <v/>
      </c>
      <c r="D38">
        <f>Survey!N41</f>
        <v>0</v>
      </c>
      <c r="E38">
        <f t="shared" si="2"/>
        <v>0</v>
      </c>
      <c r="F38" t="str" cm="1">
        <f t="array" ref="F38">IF(Survey!$F$13=INDEX(Tekst!$B$1:$U$300,259,Tabeller!$C$28),IF(E38=1,(RIGHT(C38,LEN(C38)-1)+0)*Survey!$E$13,IF(E38=2,C38*Survey!$E$13,"")),IF(E38=1,((RIGHT(C38,LEN(C38)-1)+0)*Survey!$E$13)/(D38/1000),IF(E38=2,(C38*Survey!$E$13)/(D38/1000),"")))</f>
        <v/>
      </c>
      <c r="G38" t="str">
        <f>IF(ISNUMBER($F38),INDEX($I$3:$N$52,$B38,'Tables (statistics)'!$H$149),"")</f>
        <v/>
      </c>
      <c r="I38" t="str">
        <f t="shared" si="3"/>
        <v/>
      </c>
      <c r="J38" t="str">
        <f t="shared" si="6"/>
        <v/>
      </c>
      <c r="K38" t="str">
        <f t="shared" si="7"/>
        <v/>
      </c>
      <c r="L38" t="str">
        <f>Beta!G40</f>
        <v/>
      </c>
      <c r="M38" t="str">
        <f>Beta!K40</f>
        <v/>
      </c>
      <c r="N38" t="str">
        <f>Beta!H40</f>
        <v/>
      </c>
      <c r="O38" t="str">
        <f>Beta!I40</f>
        <v/>
      </c>
      <c r="P38" t="str">
        <f t="shared" si="4"/>
        <v/>
      </c>
      <c r="Q38" t="str">
        <f t="shared" si="5"/>
        <v/>
      </c>
    </row>
    <row r="39" spans="2:17" x14ac:dyDescent="0.2">
      <c r="B39">
        <f>Survey!L42</f>
        <v>37</v>
      </c>
      <c r="C39" t="str">
        <f>IF(Survey!M42="","",Survey!M42)</f>
        <v/>
      </c>
      <c r="D39">
        <f>Survey!N42</f>
        <v>0</v>
      </c>
      <c r="E39">
        <f t="shared" si="2"/>
        <v>0</v>
      </c>
      <c r="F39" t="str" cm="1">
        <f t="array" ref="F39">IF(Survey!$F$13=INDEX(Tekst!$B$1:$U$300,259,Tabeller!$C$28),IF(E39=1,(RIGHT(C39,LEN(C39)-1)+0)*Survey!$E$13,IF(E39=2,C39*Survey!$E$13,"")),IF(E39=1,((RIGHT(C39,LEN(C39)-1)+0)*Survey!$E$13)/(D39/1000),IF(E39=2,(C39*Survey!$E$13)/(D39/1000),"")))</f>
        <v/>
      </c>
      <c r="G39" t="str">
        <f>IF(ISNUMBER($F39),INDEX($I$3:$N$52,$B39,'Tables (statistics)'!$H$149),"")</f>
        <v/>
      </c>
      <c r="I39" t="str">
        <f t="shared" si="3"/>
        <v/>
      </c>
      <c r="J39" t="str">
        <f t="shared" si="6"/>
        <v/>
      </c>
      <c r="K39" t="str">
        <f t="shared" si="7"/>
        <v/>
      </c>
      <c r="L39" t="str">
        <f>Beta!G41</f>
        <v/>
      </c>
      <c r="M39" t="str">
        <f>Beta!K41</f>
        <v/>
      </c>
      <c r="N39" t="str">
        <f>Beta!H41</f>
        <v/>
      </c>
      <c r="O39" t="str">
        <f>Beta!I41</f>
        <v/>
      </c>
      <c r="P39" t="str">
        <f t="shared" si="4"/>
        <v/>
      </c>
      <c r="Q39" t="str">
        <f t="shared" si="5"/>
        <v/>
      </c>
    </row>
    <row r="40" spans="2:17" x14ac:dyDescent="0.2">
      <c r="B40">
        <f>Survey!L43</f>
        <v>38</v>
      </c>
      <c r="C40" t="str">
        <f>IF(Survey!M43="","",Survey!M43)</f>
        <v/>
      </c>
      <c r="D40">
        <f>Survey!N43</f>
        <v>0</v>
      </c>
      <c r="E40">
        <f t="shared" si="2"/>
        <v>0</v>
      </c>
      <c r="F40" t="str" cm="1">
        <f t="array" ref="F40">IF(Survey!$F$13=INDEX(Tekst!$B$1:$U$300,259,Tabeller!$C$28),IF(E40=1,(RIGHT(C40,LEN(C40)-1)+0)*Survey!$E$13,IF(E40=2,C40*Survey!$E$13,"")),IF(E40=1,((RIGHT(C40,LEN(C40)-1)+0)*Survey!$E$13)/(D40/1000),IF(E40=2,(C40*Survey!$E$13)/(D40/1000),"")))</f>
        <v/>
      </c>
      <c r="G40" t="str">
        <f>IF(ISNUMBER($F40),INDEX($I$3:$N$52,$B40,'Tables (statistics)'!$H$149),"")</f>
        <v/>
      </c>
      <c r="I40" t="str">
        <f t="shared" si="3"/>
        <v/>
      </c>
      <c r="J40" t="str">
        <f t="shared" si="6"/>
        <v/>
      </c>
      <c r="K40" t="str">
        <f t="shared" si="7"/>
        <v/>
      </c>
      <c r="L40" t="str">
        <f>Beta!G42</f>
        <v/>
      </c>
      <c r="M40" t="str">
        <f>Beta!K42</f>
        <v/>
      </c>
      <c r="N40" t="str">
        <f>Beta!H42</f>
        <v/>
      </c>
      <c r="O40" t="str">
        <f>Beta!I42</f>
        <v/>
      </c>
      <c r="P40" t="str">
        <f t="shared" si="4"/>
        <v/>
      </c>
      <c r="Q40" t="str">
        <f t="shared" si="5"/>
        <v/>
      </c>
    </row>
    <row r="41" spans="2:17" x14ac:dyDescent="0.2">
      <c r="B41">
        <f>Survey!L44</f>
        <v>39</v>
      </c>
      <c r="C41" t="str">
        <f>IF(Survey!M44="","",Survey!M44)</f>
        <v/>
      </c>
      <c r="D41">
        <f>Survey!N44</f>
        <v>0</v>
      </c>
      <c r="E41">
        <f t="shared" si="2"/>
        <v>0</v>
      </c>
      <c r="F41" t="str" cm="1">
        <f t="array" ref="F41">IF(Survey!$F$13=INDEX(Tekst!$B$1:$U$300,259,Tabeller!$C$28),IF(E41=1,(RIGHT(C41,LEN(C41)-1)+0)*Survey!$E$13,IF(E41=2,C41*Survey!$E$13,"")),IF(E41=1,((RIGHT(C41,LEN(C41)-1)+0)*Survey!$E$13)/(D41/1000),IF(E41=2,(C41*Survey!$E$13)/(D41/1000),"")))</f>
        <v/>
      </c>
      <c r="G41" t="str">
        <f>IF(ISNUMBER($F41),INDEX($I$3:$N$52,$B41,'Tables (statistics)'!$H$149),"")</f>
        <v/>
      </c>
      <c r="I41" t="str">
        <f t="shared" si="3"/>
        <v/>
      </c>
      <c r="J41" t="str">
        <f t="shared" si="6"/>
        <v/>
      </c>
      <c r="K41" t="str">
        <f t="shared" si="7"/>
        <v/>
      </c>
      <c r="L41" t="str">
        <f>Beta!G43</f>
        <v/>
      </c>
      <c r="M41" t="str">
        <f>Beta!K43</f>
        <v/>
      </c>
      <c r="N41" t="str">
        <f>Beta!H43</f>
        <v/>
      </c>
      <c r="O41" t="str">
        <f>Beta!I43</f>
        <v/>
      </c>
      <c r="P41" t="str">
        <f t="shared" si="4"/>
        <v/>
      </c>
      <c r="Q41" t="str">
        <f t="shared" si="5"/>
        <v/>
      </c>
    </row>
    <row r="42" spans="2:17" x14ac:dyDescent="0.2">
      <c r="B42">
        <f>Survey!L45</f>
        <v>40</v>
      </c>
      <c r="C42" t="str">
        <f>IF(Survey!M45="","",Survey!M45)</f>
        <v/>
      </c>
      <c r="D42">
        <f>Survey!N45</f>
        <v>0</v>
      </c>
      <c r="E42">
        <f t="shared" si="2"/>
        <v>0</v>
      </c>
      <c r="F42" t="str" cm="1">
        <f t="array" ref="F42">IF(Survey!$F$13=INDEX(Tekst!$B$1:$U$300,259,Tabeller!$C$28),IF(E42=1,(RIGHT(C42,LEN(C42)-1)+0)*Survey!$E$13,IF(E42=2,C42*Survey!$E$13,"")),IF(E42=1,((RIGHT(C42,LEN(C42)-1)+0)*Survey!$E$13)/(D42/1000),IF(E42=2,(C42*Survey!$E$13)/(D42/1000),"")))</f>
        <v/>
      </c>
      <c r="G42" t="str">
        <f>IF(ISNUMBER($F42),INDEX($I$3:$N$52,$B42,'Tables (statistics)'!$H$149),"")</f>
        <v/>
      </c>
      <c r="I42" t="str">
        <f t="shared" si="3"/>
        <v/>
      </c>
      <c r="J42" t="str">
        <f t="shared" si="6"/>
        <v/>
      </c>
      <c r="K42" t="str">
        <f t="shared" si="7"/>
        <v/>
      </c>
      <c r="L42" t="str">
        <f>Beta!G44</f>
        <v/>
      </c>
      <c r="M42" t="str">
        <f>Beta!K44</f>
        <v/>
      </c>
      <c r="N42" t="str">
        <f>Beta!H44</f>
        <v/>
      </c>
      <c r="O42" t="str">
        <f>Beta!I44</f>
        <v/>
      </c>
      <c r="P42" t="str">
        <f t="shared" si="4"/>
        <v/>
      </c>
      <c r="Q42" t="str">
        <f t="shared" si="5"/>
        <v/>
      </c>
    </row>
    <row r="43" spans="2:17" x14ac:dyDescent="0.2">
      <c r="B43">
        <f>Survey!L46</f>
        <v>41</v>
      </c>
      <c r="C43" t="str">
        <f>IF(Survey!M46="","",Survey!M46)</f>
        <v/>
      </c>
      <c r="D43">
        <f>Survey!N46</f>
        <v>0</v>
      </c>
      <c r="E43">
        <f t="shared" si="2"/>
        <v>0</v>
      </c>
      <c r="F43" t="str" cm="1">
        <f t="array" ref="F43">IF(Survey!$F$13=INDEX(Tekst!$B$1:$U$300,259,Tabeller!$C$28),IF(E43=1,(RIGHT(C43,LEN(C43)-1)+0)*Survey!$E$13,IF(E43=2,C43*Survey!$E$13,"")),IF(E43=1,((RIGHT(C43,LEN(C43)-1)+0)*Survey!$E$13)/(D43/1000),IF(E43=2,(C43*Survey!$E$13)/(D43/1000),"")))</f>
        <v/>
      </c>
      <c r="G43" t="str">
        <f>IF(ISNUMBER($F43),INDEX($I$3:$N$52,$B43,'Tables (statistics)'!$H$149),"")</f>
        <v/>
      </c>
      <c r="I43" t="str">
        <f t="shared" si="3"/>
        <v/>
      </c>
      <c r="J43" t="str">
        <f t="shared" si="6"/>
        <v/>
      </c>
      <c r="K43" t="str">
        <f t="shared" si="7"/>
        <v/>
      </c>
      <c r="L43" t="str">
        <f>Beta!G45</f>
        <v/>
      </c>
      <c r="M43" t="str">
        <f>Beta!K45</f>
        <v/>
      </c>
      <c r="N43" t="str">
        <f>Beta!H45</f>
        <v/>
      </c>
      <c r="O43" t="str">
        <f>Beta!I45</f>
        <v/>
      </c>
      <c r="P43" t="str">
        <f t="shared" si="4"/>
        <v/>
      </c>
      <c r="Q43" t="str">
        <f t="shared" si="5"/>
        <v/>
      </c>
    </row>
    <row r="44" spans="2:17" x14ac:dyDescent="0.2">
      <c r="B44">
        <f>Survey!L47</f>
        <v>42</v>
      </c>
      <c r="C44" t="str">
        <f>IF(Survey!M47="","",Survey!M47)</f>
        <v/>
      </c>
      <c r="D44">
        <f>Survey!N47</f>
        <v>0</v>
      </c>
      <c r="E44">
        <f t="shared" si="2"/>
        <v>0</v>
      </c>
      <c r="F44" t="str" cm="1">
        <f t="array" ref="F44">IF(Survey!$F$13=INDEX(Tekst!$B$1:$U$300,259,Tabeller!$C$28),IF(E44=1,(RIGHT(C44,LEN(C44)-1)+0)*Survey!$E$13,IF(E44=2,C44*Survey!$E$13,"")),IF(E44=1,((RIGHT(C44,LEN(C44)-1)+0)*Survey!$E$13)/(D44/1000),IF(E44=2,(C44*Survey!$E$13)/(D44/1000),"")))</f>
        <v/>
      </c>
      <c r="G44" t="str">
        <f>IF(ISNUMBER($F44),INDEX($I$3:$N$52,$B44,'Tables (statistics)'!$H$149),"")</f>
        <v/>
      </c>
      <c r="I44" t="str">
        <f t="shared" si="3"/>
        <v/>
      </c>
      <c r="J44" t="str">
        <f t="shared" si="6"/>
        <v/>
      </c>
      <c r="K44" t="str">
        <f t="shared" si="7"/>
        <v/>
      </c>
      <c r="L44" t="str">
        <f>Beta!G46</f>
        <v/>
      </c>
      <c r="M44" t="str">
        <f>Beta!K46</f>
        <v/>
      </c>
      <c r="N44" t="str">
        <f>Beta!H46</f>
        <v/>
      </c>
      <c r="O44" t="str">
        <f>Beta!I46</f>
        <v/>
      </c>
      <c r="P44" t="str">
        <f t="shared" si="4"/>
        <v/>
      </c>
      <c r="Q44" t="str">
        <f t="shared" si="5"/>
        <v/>
      </c>
    </row>
    <row r="45" spans="2:17" x14ac:dyDescent="0.2">
      <c r="B45">
        <f>Survey!L48</f>
        <v>43</v>
      </c>
      <c r="C45" t="str">
        <f>IF(Survey!M48="","",Survey!M48)</f>
        <v/>
      </c>
      <c r="D45">
        <f>Survey!N48</f>
        <v>0</v>
      </c>
      <c r="E45">
        <f t="shared" si="2"/>
        <v>0</v>
      </c>
      <c r="F45" t="str" cm="1">
        <f t="array" ref="F45">IF(Survey!$F$13=INDEX(Tekst!$B$1:$U$300,259,Tabeller!$C$28),IF(E45=1,(RIGHT(C45,LEN(C45)-1)+0)*Survey!$E$13,IF(E45=2,C45*Survey!$E$13,"")),IF(E45=1,((RIGHT(C45,LEN(C45)-1)+0)*Survey!$E$13)/(D45/1000),IF(E45=2,(C45*Survey!$E$13)/(D45/1000),"")))</f>
        <v/>
      </c>
      <c r="G45" t="str">
        <f>IF(ISNUMBER($F45),INDEX($I$3:$N$52,$B45,'Tables (statistics)'!$H$149),"")</f>
        <v/>
      </c>
      <c r="I45" t="str">
        <f t="shared" si="3"/>
        <v/>
      </c>
      <c r="J45" t="str">
        <f t="shared" si="6"/>
        <v/>
      </c>
      <c r="K45" t="str">
        <f t="shared" si="7"/>
        <v/>
      </c>
      <c r="L45" t="str">
        <f>Beta!G47</f>
        <v/>
      </c>
      <c r="M45" t="str">
        <f>Beta!K47</f>
        <v/>
      </c>
      <c r="N45" t="str">
        <f>Beta!H47</f>
        <v/>
      </c>
      <c r="O45" t="str">
        <f>Beta!I47</f>
        <v/>
      </c>
      <c r="P45" t="str">
        <f t="shared" si="4"/>
        <v/>
      </c>
      <c r="Q45" t="str">
        <f t="shared" si="5"/>
        <v/>
      </c>
    </row>
    <row r="46" spans="2:17" x14ac:dyDescent="0.2">
      <c r="B46">
        <f>Survey!L49</f>
        <v>44</v>
      </c>
      <c r="C46" t="str">
        <f>IF(Survey!M49="","",Survey!M49)</f>
        <v/>
      </c>
      <c r="D46">
        <f>Survey!N49</f>
        <v>0</v>
      </c>
      <c r="E46">
        <f t="shared" si="2"/>
        <v>0</v>
      </c>
      <c r="F46" t="str" cm="1">
        <f t="array" ref="F46">IF(Survey!$F$13=INDEX(Tekst!$B$1:$U$300,259,Tabeller!$C$28),IF(E46=1,(RIGHT(C46,LEN(C46)-1)+0)*Survey!$E$13,IF(E46=2,C46*Survey!$E$13,"")),IF(E46=1,((RIGHT(C46,LEN(C46)-1)+0)*Survey!$E$13)/(D46/1000),IF(E46=2,(C46*Survey!$E$13)/(D46/1000),"")))</f>
        <v/>
      </c>
      <c r="G46" t="str">
        <f>IF(ISNUMBER($F46),INDEX($I$3:$N$52,$B46,'Tables (statistics)'!$H$149),"")</f>
        <v/>
      </c>
      <c r="I46" t="str">
        <f t="shared" si="3"/>
        <v/>
      </c>
      <c r="J46" t="str">
        <f t="shared" si="6"/>
        <v/>
      </c>
      <c r="K46" t="str">
        <f t="shared" si="7"/>
        <v/>
      </c>
      <c r="L46" t="str">
        <f>Beta!G48</f>
        <v/>
      </c>
      <c r="M46" t="str">
        <f>Beta!K48</f>
        <v/>
      </c>
      <c r="N46" t="str">
        <f>Beta!H48</f>
        <v/>
      </c>
      <c r="O46" t="str">
        <f>Beta!I48</f>
        <v/>
      </c>
      <c r="P46" t="str">
        <f t="shared" si="4"/>
        <v/>
      </c>
      <c r="Q46" t="str">
        <f t="shared" si="5"/>
        <v/>
      </c>
    </row>
    <row r="47" spans="2:17" x14ac:dyDescent="0.2">
      <c r="B47">
        <f>Survey!L50</f>
        <v>45</v>
      </c>
      <c r="C47" t="str">
        <f>IF(Survey!M50="","",Survey!M50)</f>
        <v/>
      </c>
      <c r="D47">
        <f>Survey!N50</f>
        <v>0</v>
      </c>
      <c r="E47">
        <f t="shared" si="2"/>
        <v>0</v>
      </c>
      <c r="F47" t="str" cm="1">
        <f t="array" ref="F47">IF(Survey!$F$13=INDEX(Tekst!$B$1:$U$300,259,Tabeller!$C$28),IF(E47=1,(RIGHT(C47,LEN(C47)-1)+0)*Survey!$E$13,IF(E47=2,C47*Survey!$E$13,"")),IF(E47=1,((RIGHT(C47,LEN(C47)-1)+0)*Survey!$E$13)/(D47/1000),IF(E47=2,(C47*Survey!$E$13)/(D47/1000),"")))</f>
        <v/>
      </c>
      <c r="G47" t="str">
        <f>IF(ISNUMBER($F47),INDEX($I$3:$N$52,$B47,'Tables (statistics)'!$H$149),"")</f>
        <v/>
      </c>
      <c r="I47" t="str">
        <f t="shared" si="3"/>
        <v/>
      </c>
      <c r="J47" t="str">
        <f t="shared" si="6"/>
        <v/>
      </c>
      <c r="K47" t="str">
        <f t="shared" si="7"/>
        <v/>
      </c>
      <c r="L47" t="str">
        <f>Beta!G49</f>
        <v/>
      </c>
      <c r="M47" t="str">
        <f>Beta!K49</f>
        <v/>
      </c>
      <c r="N47" t="str">
        <f>Beta!H49</f>
        <v/>
      </c>
      <c r="O47" t="str">
        <f>Beta!I49</f>
        <v/>
      </c>
      <c r="P47" t="str">
        <f t="shared" si="4"/>
        <v/>
      </c>
      <c r="Q47" t="str">
        <f t="shared" si="5"/>
        <v/>
      </c>
    </row>
    <row r="48" spans="2:17" x14ac:dyDescent="0.2">
      <c r="B48">
        <f>Survey!L51</f>
        <v>46</v>
      </c>
      <c r="C48" t="str">
        <f>IF(Survey!M51="","",Survey!M51)</f>
        <v/>
      </c>
      <c r="D48">
        <f>Survey!N51</f>
        <v>0</v>
      </c>
      <c r="E48">
        <f t="shared" si="2"/>
        <v>0</v>
      </c>
      <c r="F48" t="str" cm="1">
        <f t="array" ref="F48">IF(Survey!$F$13=INDEX(Tekst!$B$1:$U$300,259,Tabeller!$C$28),IF(E48=1,(RIGHT(C48,LEN(C48)-1)+0)*Survey!$E$13,IF(E48=2,C48*Survey!$E$13,"")),IF(E48=1,((RIGHT(C48,LEN(C48)-1)+0)*Survey!$E$13)/(D48/1000),IF(E48=2,(C48*Survey!$E$13)/(D48/1000),"")))</f>
        <v/>
      </c>
      <c r="G48" t="str">
        <f>IF(ISNUMBER($F48),INDEX($I$3:$N$52,$B48,'Tables (statistics)'!$H$149),"")</f>
        <v/>
      </c>
      <c r="I48" t="str">
        <f t="shared" si="3"/>
        <v/>
      </c>
      <c r="J48" t="str">
        <f t="shared" si="6"/>
        <v/>
      </c>
      <c r="K48" t="str">
        <f t="shared" si="7"/>
        <v/>
      </c>
      <c r="L48" t="str">
        <f>Beta!G50</f>
        <v/>
      </c>
      <c r="M48" t="str">
        <f>Beta!K50</f>
        <v/>
      </c>
      <c r="N48" t="str">
        <f>Beta!H50</f>
        <v/>
      </c>
      <c r="O48" t="str">
        <f>Beta!I50</f>
        <v/>
      </c>
      <c r="P48" t="str">
        <f t="shared" si="4"/>
        <v/>
      </c>
      <c r="Q48" t="str">
        <f t="shared" si="5"/>
        <v/>
      </c>
    </row>
    <row r="49" spans="2:17" x14ac:dyDescent="0.2">
      <c r="B49">
        <f>Survey!L52</f>
        <v>47</v>
      </c>
      <c r="C49" t="str">
        <f>IF(Survey!M52="","",Survey!M52)</f>
        <v/>
      </c>
      <c r="D49">
        <f>Survey!N52</f>
        <v>0</v>
      </c>
      <c r="E49">
        <f t="shared" si="2"/>
        <v>0</v>
      </c>
      <c r="F49" t="str" cm="1">
        <f t="array" ref="F49">IF(Survey!$F$13=INDEX(Tekst!$B$1:$U$300,259,Tabeller!$C$28),IF(E49=1,(RIGHT(C49,LEN(C49)-1)+0)*Survey!$E$13,IF(E49=2,C49*Survey!$E$13,"")),IF(E49=1,((RIGHT(C49,LEN(C49)-1)+0)*Survey!$E$13)/(D49/1000),IF(E49=2,(C49*Survey!$E$13)/(D49/1000),"")))</f>
        <v/>
      </c>
      <c r="G49" t="str">
        <f>IF(ISNUMBER($F49),INDEX($I$3:$N$52,$B49,'Tables (statistics)'!$H$149),"")</f>
        <v/>
      </c>
      <c r="I49" t="str">
        <f t="shared" si="3"/>
        <v/>
      </c>
      <c r="J49" t="str">
        <f t="shared" si="6"/>
        <v/>
      </c>
      <c r="K49" t="str">
        <f t="shared" si="7"/>
        <v/>
      </c>
      <c r="L49" t="str">
        <f>Beta!G51</f>
        <v/>
      </c>
      <c r="M49" t="str">
        <f>Beta!K51</f>
        <v/>
      </c>
      <c r="N49" t="str">
        <f>Beta!H51</f>
        <v/>
      </c>
      <c r="O49" t="str">
        <f>Beta!I51</f>
        <v/>
      </c>
      <c r="P49" t="str">
        <f t="shared" si="4"/>
        <v/>
      </c>
      <c r="Q49" t="str">
        <f t="shared" si="5"/>
        <v/>
      </c>
    </row>
    <row r="50" spans="2:17" x14ac:dyDescent="0.2">
      <c r="B50">
        <f>Survey!L53</f>
        <v>48</v>
      </c>
      <c r="C50" t="str">
        <f>IF(Survey!M53="","",Survey!M53)</f>
        <v/>
      </c>
      <c r="D50">
        <f>Survey!N53</f>
        <v>0</v>
      </c>
      <c r="E50">
        <f t="shared" si="2"/>
        <v>0</v>
      </c>
      <c r="F50" t="str" cm="1">
        <f t="array" ref="F50">IF(Survey!$F$13=INDEX(Tekst!$B$1:$U$300,259,Tabeller!$C$28),IF(E50=1,(RIGHT(C50,LEN(C50)-1)+0)*Survey!$E$13,IF(E50=2,C50*Survey!$E$13,"")),IF(E50=1,((RIGHT(C50,LEN(C50)-1)+0)*Survey!$E$13)/(D50/1000),IF(E50=2,(C50*Survey!$E$13)/(D50/1000),"")))</f>
        <v/>
      </c>
      <c r="G50" t="str">
        <f>IF(ISNUMBER($F50),INDEX($I$3:$N$52,$B50,'Tables (statistics)'!$H$149),"")</f>
        <v/>
      </c>
      <c r="I50" t="str">
        <f t="shared" si="3"/>
        <v/>
      </c>
      <c r="J50" t="str">
        <f t="shared" si="6"/>
        <v/>
      </c>
      <c r="K50" t="str">
        <f t="shared" si="7"/>
        <v/>
      </c>
      <c r="L50" t="str">
        <f>Beta!G52</f>
        <v/>
      </c>
      <c r="M50" t="str">
        <f>Beta!K52</f>
        <v/>
      </c>
      <c r="N50" t="str">
        <f>Beta!H52</f>
        <v/>
      </c>
      <c r="O50" t="str">
        <f>Beta!I52</f>
        <v/>
      </c>
      <c r="P50" t="str">
        <f t="shared" si="4"/>
        <v/>
      </c>
      <c r="Q50" t="str">
        <f t="shared" si="5"/>
        <v/>
      </c>
    </row>
    <row r="51" spans="2:17" x14ac:dyDescent="0.2">
      <c r="B51">
        <f>Survey!L54</f>
        <v>49</v>
      </c>
      <c r="C51" t="str">
        <f>IF(Survey!M54="","",Survey!M54)</f>
        <v/>
      </c>
      <c r="D51">
        <f>Survey!N54</f>
        <v>0</v>
      </c>
      <c r="E51">
        <f t="shared" si="2"/>
        <v>0</v>
      </c>
      <c r="F51" t="str" cm="1">
        <f t="array" ref="F51">IF(Survey!$F$13=INDEX(Tekst!$B$1:$U$300,259,Tabeller!$C$28),IF(E51=1,(RIGHT(C51,LEN(C51)-1)+0)*Survey!$E$13,IF(E51=2,C51*Survey!$E$13,"")),IF(E51=1,((RIGHT(C51,LEN(C51)-1)+0)*Survey!$E$13)/(D51/1000),IF(E51=2,(C51*Survey!$E$13)/(D51/1000),"")))</f>
        <v/>
      </c>
      <c r="G51" t="str">
        <f>IF(ISNUMBER($F51),INDEX($I$3:$N$52,$B51,'Tables (statistics)'!$H$149),"")</f>
        <v/>
      </c>
      <c r="I51" t="str">
        <f t="shared" si="3"/>
        <v/>
      </c>
      <c r="J51" t="str">
        <f t="shared" si="6"/>
        <v/>
      </c>
      <c r="K51" t="str">
        <f t="shared" si="7"/>
        <v/>
      </c>
      <c r="L51" t="str">
        <f>Beta!G53</f>
        <v/>
      </c>
      <c r="M51" t="str">
        <f>Beta!K53</f>
        <v/>
      </c>
      <c r="N51" t="str">
        <f>Beta!H53</f>
        <v/>
      </c>
      <c r="O51" t="str">
        <f>Beta!I53</f>
        <v/>
      </c>
      <c r="P51" t="str">
        <f t="shared" si="4"/>
        <v/>
      </c>
      <c r="Q51" t="str">
        <f t="shared" si="5"/>
        <v/>
      </c>
    </row>
    <row r="52" spans="2:17" x14ac:dyDescent="0.2">
      <c r="B52">
        <f>Survey!L55</f>
        <v>50</v>
      </c>
      <c r="C52" t="str">
        <f>IF(Survey!M55="","",Survey!M55)</f>
        <v/>
      </c>
      <c r="D52">
        <f>Survey!N55</f>
        <v>0</v>
      </c>
      <c r="E52">
        <f t="shared" si="2"/>
        <v>0</v>
      </c>
      <c r="F52" t="str" cm="1">
        <f t="array" ref="F52">IF(Survey!$F$13=INDEX(Tekst!$B$1:$U$300,259,Tabeller!$C$28),IF(E52=1,(RIGHT(C52,LEN(C52)-1)+0)*Survey!$E$13,IF(E52=2,C52*Survey!$E$13,"")),IF(E52=1,((RIGHT(C52,LEN(C52)-1)+0)*Survey!$E$13)/(D52/1000),IF(E52=2,(C52*Survey!$E$13)/(D52/1000),"")))</f>
        <v/>
      </c>
      <c r="G52" t="str">
        <f>IF(ISNUMBER($F52),INDEX($I$3:$N$52,$B52,'Tables (statistics)'!$H$149),"")</f>
        <v/>
      </c>
      <c r="I52" t="str">
        <f t="shared" si="3"/>
        <v/>
      </c>
      <c r="J52" t="str">
        <f t="shared" si="6"/>
        <v/>
      </c>
      <c r="K52" t="str">
        <f t="shared" si="7"/>
        <v/>
      </c>
      <c r="L52" t="str">
        <f>Beta!G54</f>
        <v/>
      </c>
      <c r="M52" t="str">
        <f>Beta!K54</f>
        <v/>
      </c>
      <c r="N52" t="str">
        <f>Beta!H54</f>
        <v/>
      </c>
      <c r="O52" t="str">
        <f>Beta!I54</f>
        <v/>
      </c>
      <c r="P52" t="str">
        <f t="shared" si="4"/>
        <v/>
      </c>
      <c r="Q52" t="str">
        <f t="shared" si="5"/>
        <v/>
      </c>
    </row>
  </sheetData>
  <mergeCells count="4">
    <mergeCell ref="V14:V15"/>
    <mergeCell ref="V1:V3"/>
    <mergeCell ref="N1:O1"/>
    <mergeCell ref="V11:V12"/>
  </mergeCells>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73C91-F265-4FE3-8A91-FFC9FB13A563}">
  <sheetPr>
    <tabColor theme="1"/>
  </sheetPr>
  <dimension ref="B1:AH58"/>
  <sheetViews>
    <sheetView showGridLines="0" topLeftCell="A4" workbookViewId="0">
      <selection activeCell="G54" sqref="G54"/>
    </sheetView>
  </sheetViews>
  <sheetFormatPr baseColWidth="10" defaultRowHeight="15" x14ac:dyDescent="0.2"/>
  <cols>
    <col min="3" max="3" width="8.5" customWidth="1"/>
    <col min="4" max="4" width="3.5" customWidth="1"/>
    <col min="5" max="5" width="6.5" customWidth="1"/>
    <col min="6" max="6" width="6.83203125" customWidth="1"/>
    <col min="7" max="7" width="11.5" customWidth="1"/>
    <col min="9" max="9" width="3.5" customWidth="1"/>
    <col min="16" max="16" width="17.83203125" customWidth="1"/>
    <col min="21" max="21" width="17.1640625" customWidth="1"/>
    <col min="22" max="22" width="74.5" bestFit="1" customWidth="1"/>
    <col min="33" max="33" width="23.5" bestFit="1" customWidth="1"/>
  </cols>
  <sheetData>
    <row r="1" spans="2:34" x14ac:dyDescent="0.2">
      <c r="B1" t="s">
        <v>72</v>
      </c>
    </row>
    <row r="2" spans="2:34" x14ac:dyDescent="0.2">
      <c r="R2" s="660" t="s">
        <v>118</v>
      </c>
      <c r="S2" s="660"/>
      <c r="T2" s="660"/>
      <c r="U2" s="25" t="s">
        <v>33</v>
      </c>
    </row>
    <row r="3" spans="2:34" x14ac:dyDescent="0.2">
      <c r="B3" s="8" t="s">
        <v>73</v>
      </c>
      <c r="C3">
        <f>($F$4^2)*(Calc!$X$3-1)</f>
        <v>465.56874999999968</v>
      </c>
      <c r="E3" s="8" t="s">
        <v>98</v>
      </c>
      <c r="F3">
        <f>AVERAGE($F$9:$F$58)</f>
        <v>9.4125000000000014</v>
      </c>
      <c r="H3">
        <f>AVERAGE($H$9:$H$58)</f>
        <v>1.8226298956299933</v>
      </c>
      <c r="R3" t="s">
        <v>37</v>
      </c>
      <c r="S3">
        <f>HLOOKUP(0.05,'Tables (statistics)'!$B$37:$G$86,Calc!$X$1)</f>
        <v>0.81799999999999995</v>
      </c>
      <c r="T3" s="2" t="str">
        <f>IF(OR($C$5="",Calc!$X$3&lt;3),"",IF($C$5&lt;=$S$3,"Nei","Ja"))</f>
        <v>Ja</v>
      </c>
      <c r="U3" t="str">
        <f>IF(AND(Calc!$X$1&gt;2,Calc!$X$1&lt;6),IF(Calc!$X$7&gt;=IF(Survey!E11="",Survey!$E$12,Survey!$E$11),"K1",IF((Calc!$X$7/IF(Survey!E11="",Survey!$E$12,Survey!$E$11))&gt;INDEX('Tables (statistics)'!$B$142:$D$144,MATCH(Calc!$X$1,'Tables (statistics)'!$B$142:$B$144,0),3),"K2","K3")),"K4")</f>
        <v>K4</v>
      </c>
    </row>
    <row r="4" spans="2:34" x14ac:dyDescent="0.2">
      <c r="B4" s="8" t="s">
        <v>74</v>
      </c>
      <c r="C4">
        <f>INT(Calc!$X$3/2)</f>
        <v>4</v>
      </c>
      <c r="E4" s="8" t="s">
        <v>96</v>
      </c>
      <c r="F4">
        <f>STDEV($F$9:$F$58)</f>
        <v>8.1553553833399182</v>
      </c>
      <c r="H4">
        <f>STDEV($H$9:$H$58)</f>
        <v>1.0362589918421163</v>
      </c>
      <c r="R4" t="s">
        <v>117</v>
      </c>
      <c r="S4">
        <f>$S$3</f>
        <v>0.81799999999999995</v>
      </c>
      <c r="T4" s="2" t="str">
        <f>IF(OR($C$6="",Calc!$X$3&lt;3),"",IF($C$6&lt;=$S$4,"Nei","Ja"))</f>
        <v>Ja</v>
      </c>
      <c r="U4" t="str">
        <f>IF(Calc!$X$1&lt;6,"N/A",IF(MAXA(Calc!$X$7,Calc!$Y$7)&gt;=Survey!E11,"K11",IF(OR(AND(Analysis!$K$9="Nei",Analysis!$J$9="Nei"),AND(Analysis!$K$8="N/A",Analysis!$J$8="N/A")),"K12",IF('Stats - distribution'!$H$4&gt;5,IF(Analysis!$K$17&gt;=Survey!E11,"K13","K14"),"K15"))))</f>
        <v>K13</v>
      </c>
    </row>
    <row r="5" spans="2:34" x14ac:dyDescent="0.2">
      <c r="B5" s="8" t="s">
        <v>75</v>
      </c>
      <c r="C5" s="23">
        <f>IF(OR(ISERROR($O$6),Calc!$X$3&lt;3),"",($O$6^2)/$C$3)</f>
        <v>0.82343295612087408</v>
      </c>
      <c r="E5" s="8" t="s">
        <v>97</v>
      </c>
      <c r="F5" s="17"/>
      <c r="H5">
        <f>EXP($H$3)</f>
        <v>6.1881111555421828</v>
      </c>
      <c r="U5" t="s">
        <v>308</v>
      </c>
    </row>
    <row r="6" spans="2:34" x14ac:dyDescent="0.2">
      <c r="B6" s="8" t="s">
        <v>114</v>
      </c>
      <c r="C6" s="23">
        <f>IF(OR(ISERROR($P$6),Calc!$X$3&lt;3),"",($P$6^2)/(($H$4^2)*(Calc!$X$3-1)))</f>
        <v>0.88115970935373888</v>
      </c>
      <c r="E6" s="8" t="s">
        <v>100</v>
      </c>
      <c r="F6" s="17"/>
      <c r="H6">
        <f>EXP($H$4)</f>
        <v>2.8186526634027844</v>
      </c>
      <c r="N6" s="1" t="s">
        <v>113</v>
      </c>
      <c r="O6">
        <f>SUM($O$9:$O$58)</f>
        <v>19.579699999999999</v>
      </c>
      <c r="P6">
        <f>SUM($P$9:$P$58)</f>
        <v>2.573621331416216</v>
      </c>
    </row>
    <row r="7" spans="2:34" x14ac:dyDescent="0.2">
      <c r="B7" s="1"/>
      <c r="E7" s="660" t="s">
        <v>105</v>
      </c>
      <c r="F7" s="660"/>
      <c r="G7" s="660"/>
      <c r="H7" s="660"/>
      <c r="I7" s="22"/>
    </row>
    <row r="8" spans="2:34" x14ac:dyDescent="0.2">
      <c r="B8" s="9" t="s">
        <v>76</v>
      </c>
      <c r="C8" s="9" t="s">
        <v>78</v>
      </c>
      <c r="D8" s="9"/>
      <c r="E8" s="9"/>
      <c r="F8" s="9" t="s">
        <v>84</v>
      </c>
      <c r="G8" s="9" t="s">
        <v>107</v>
      </c>
      <c r="H8" s="9" t="s">
        <v>106</v>
      </c>
      <c r="I8" s="9"/>
      <c r="J8" s="9" t="s">
        <v>77</v>
      </c>
      <c r="K8" s="9" t="s">
        <v>110</v>
      </c>
      <c r="L8" s="9" t="s">
        <v>108</v>
      </c>
      <c r="M8" s="9" t="s">
        <v>111</v>
      </c>
      <c r="N8" s="9"/>
      <c r="O8" s="9" t="s">
        <v>109</v>
      </c>
      <c r="P8" s="9" t="s">
        <v>112</v>
      </c>
      <c r="AE8" s="1" t="s">
        <v>1578</v>
      </c>
    </row>
    <row r="9" spans="2:34" x14ac:dyDescent="0.2">
      <c r="B9">
        <f>IF($C$4=0,"",1)</f>
        <v>1</v>
      </c>
      <c r="C9">
        <f>IFERROR(VLOOKUP($B9,'Tables (statistics)'!$B$5:$AW$30,Calc!$X$3,FALSE),"")</f>
        <v>0.60519999999999996</v>
      </c>
      <c r="E9">
        <v>1</v>
      </c>
      <c r="F9">
        <f>IF(AND(ISNUMBER(Beta!$E5),Calc!$X$3&gt;0),Beta!$E5,"")</f>
        <v>21</v>
      </c>
      <c r="G9">
        <f>IF($E9&lt;Calc!$X$3+1,SMALL($F$9:$F$58,$E9),"")</f>
        <v>1.7</v>
      </c>
      <c r="H9">
        <f>IF(ISNUMBER($G9),LN($G9),"")</f>
        <v>0.53062825106217038</v>
      </c>
      <c r="J9">
        <f t="shared" ref="J9:J40" si="0">IFERROR(IF($B9&lt;$C$4+1,LARGE($G$9:$G$58,$B9),NA()),"")</f>
        <v>21</v>
      </c>
      <c r="K9">
        <f>IF($J9&lt;&gt;"",LN($J9),"")</f>
        <v>3.044522437723423</v>
      </c>
      <c r="L9">
        <f t="shared" ref="L9:L40" si="1">IFERROR(IF($B9&lt;$C$4+1,SMALL($G$9:$G$58,$B9),NA()),"")</f>
        <v>1.7</v>
      </c>
      <c r="M9">
        <f>IF($L9&lt;&gt;"",LN($L9),"")</f>
        <v>0.53062825106217038</v>
      </c>
      <c r="O9">
        <f>IF($B9="","",$C9*($J9-$L9))</f>
        <v>11.68036</v>
      </c>
      <c r="P9">
        <f>IF($B9="","",$C9*($K9-$M9))</f>
        <v>1.5214087617673901</v>
      </c>
      <c r="AE9" t="str">
        <f>IFERROR(LN(Survey!#REF!),"")</f>
        <v/>
      </c>
      <c r="AG9" s="1" t="s">
        <v>1579</v>
      </c>
      <c r="AH9" t="e">
        <f>AVERAGE($AE$9:$AE$58)</f>
        <v>#DIV/0!</v>
      </c>
    </row>
    <row r="10" spans="2:34" x14ac:dyDescent="0.2">
      <c r="B10">
        <f t="shared" ref="B10:B41" si="2">IF(B9&lt;$C$4,B9+1,"")</f>
        <v>2</v>
      </c>
      <c r="C10">
        <f>IFERROR(VLOOKUP($B10,'Tables (statistics)'!$B$5:$AW$30,Calc!$X$3,FALSE),"")</f>
        <v>0.31640000000000001</v>
      </c>
      <c r="E10">
        <v>2</v>
      </c>
      <c r="F10">
        <f>IF(AND(ISNUMBER(Beta!$E6),Calc!$X$3&gt;0),Beta!$E6,"")</f>
        <v>1.9</v>
      </c>
      <c r="G10">
        <f>IF($E10&lt;Calc!$X$3+1,SMALL($F$9:$F$58,$E10),"")</f>
        <v>1.9</v>
      </c>
      <c r="H10">
        <f t="shared" ref="H10:H58" si="3">IF(ISNUMBER($G10),LN($G10),"")</f>
        <v>0.64185388617239469</v>
      </c>
      <c r="J10">
        <f t="shared" si="0"/>
        <v>18.899999999999999</v>
      </c>
      <c r="K10">
        <f t="shared" ref="K10:K58" si="4">IF($J10&lt;&gt;"",LN($J10),"")</f>
        <v>2.9391619220655967</v>
      </c>
      <c r="L10">
        <f t="shared" si="1"/>
        <v>1.9</v>
      </c>
      <c r="M10">
        <f t="shared" ref="M10:M58" si="5">IF($L10&lt;&gt;"",LN($L10),"")</f>
        <v>0.64185388617239469</v>
      </c>
      <c r="O10">
        <f t="shared" ref="O10:O58" si="6">IF($B10="","",$C10*($J10-$L10))</f>
        <v>5.3788</v>
      </c>
      <c r="P10">
        <f t="shared" ref="P10:P58" si="7">IF($B10="","",$C10*($K10-$M10))</f>
        <v>0.72686826255660908</v>
      </c>
      <c r="AE10" t="str">
        <f>IFERROR(LN(Survey!#REF!),"")</f>
        <v/>
      </c>
      <c r="AG10" s="1" t="s">
        <v>1580</v>
      </c>
      <c r="AH10" t="e">
        <f>STDEV($AE$9:$AE$32)</f>
        <v>#DIV/0!</v>
      </c>
    </row>
    <row r="11" spans="2:34" x14ac:dyDescent="0.2">
      <c r="B11">
        <f t="shared" si="2"/>
        <v>3</v>
      </c>
      <c r="C11">
        <f>IFERROR(VLOOKUP($B11,'Tables (statistics)'!$B$5:$AW$30,Calc!$X$3,FALSE),"")</f>
        <v>0.17430000000000001</v>
      </c>
      <c r="E11">
        <v>3</v>
      </c>
      <c r="F11">
        <f>IF(AND(ISNUMBER(Beta!$E7),Calc!$X$3&gt;0),Beta!$E7,"")</f>
        <v>5.8</v>
      </c>
      <c r="G11">
        <f>IF($E11&lt;Calc!$X$3+1,SMALL($F$9:$F$58,$E11),"")</f>
        <v>2.7</v>
      </c>
      <c r="H11">
        <f t="shared" si="3"/>
        <v>0.99325177301028345</v>
      </c>
      <c r="J11">
        <f t="shared" si="0"/>
        <v>17</v>
      </c>
      <c r="K11">
        <f t="shared" si="4"/>
        <v>2.8332133440562162</v>
      </c>
      <c r="L11">
        <f t="shared" si="1"/>
        <v>2.7</v>
      </c>
      <c r="M11">
        <f t="shared" si="5"/>
        <v>0.99325177301028345</v>
      </c>
      <c r="O11">
        <f t="shared" si="6"/>
        <v>2.4924900000000001</v>
      </c>
      <c r="P11">
        <f t="shared" si="7"/>
        <v>0.32070530183330609</v>
      </c>
      <c r="U11" t="s">
        <v>137</v>
      </c>
      <c r="V11" t="s">
        <v>273</v>
      </c>
      <c r="W11" t="s">
        <v>139</v>
      </c>
      <c r="AE11" t="str">
        <f>IFERROR(LN(Survey!#REF!),"")</f>
        <v/>
      </c>
      <c r="AG11" s="1"/>
    </row>
    <row r="12" spans="2:34" x14ac:dyDescent="0.2">
      <c r="B12">
        <f t="shared" si="2"/>
        <v>4</v>
      </c>
      <c r="C12">
        <f>IFERROR(VLOOKUP($B12,'Tables (statistics)'!$B$5:$AW$30,Calc!$X$3,FALSE),"")</f>
        <v>5.6099999999999997E-2</v>
      </c>
      <c r="E12">
        <v>4</v>
      </c>
      <c r="F12">
        <f>IF(AND(ISNUMBER(Beta!$E8),Calc!$X$3&gt;0),Beta!$E8,"")</f>
        <v>17</v>
      </c>
      <c r="G12">
        <f>IF($E12&lt;Calc!$X$3+1,SMALL($F$9:$F$58,$E12),"")</f>
        <v>5.8</v>
      </c>
      <c r="H12">
        <f t="shared" si="3"/>
        <v>1.7578579175523736</v>
      </c>
      <c r="J12">
        <f t="shared" si="0"/>
        <v>6.3</v>
      </c>
      <c r="K12">
        <f t="shared" si="4"/>
        <v>1.8405496333974869</v>
      </c>
      <c r="L12">
        <f t="shared" si="1"/>
        <v>5.8</v>
      </c>
      <c r="M12">
        <f t="shared" si="5"/>
        <v>1.7578579175523736</v>
      </c>
      <c r="O12">
        <f t="shared" si="6"/>
        <v>2.8049999999999999E-2</v>
      </c>
      <c r="P12">
        <f t="shared" si="7"/>
        <v>4.6390052589108536E-3</v>
      </c>
      <c r="U12" t="s">
        <v>140</v>
      </c>
      <c r="V12" t="s">
        <v>272</v>
      </c>
      <c r="W12" t="s">
        <v>141</v>
      </c>
      <c r="AE12" t="str">
        <f>IFERROR(LN(Survey!#REF!),"")</f>
        <v/>
      </c>
      <c r="AG12" s="1"/>
    </row>
    <row r="13" spans="2:34" x14ac:dyDescent="0.2">
      <c r="B13" t="str">
        <f t="shared" si="2"/>
        <v/>
      </c>
      <c r="C13" t="str">
        <f>IFERROR(VLOOKUP($B13,'Tables (statistics)'!$B$5:$AW$30,Calc!$X$3,FALSE),"")</f>
        <v/>
      </c>
      <c r="E13">
        <v>5</v>
      </c>
      <c r="F13">
        <f>IF(AND(ISNUMBER(Beta!$E9),Calc!$X$3&gt;0),Beta!$E9,"")</f>
        <v>1.7</v>
      </c>
      <c r="G13">
        <f>IF($E13&lt;Calc!$X$3+1,SMALL($F$9:$F$58,$E13),"")</f>
        <v>6.3</v>
      </c>
      <c r="H13">
        <f t="shared" si="3"/>
        <v>1.8405496333974869</v>
      </c>
      <c r="J13" t="str">
        <f t="shared" si="0"/>
        <v/>
      </c>
      <c r="K13" t="str">
        <f t="shared" si="4"/>
        <v/>
      </c>
      <c r="L13" t="str">
        <f t="shared" si="1"/>
        <v/>
      </c>
      <c r="M13" t="str">
        <f t="shared" si="5"/>
        <v/>
      </c>
      <c r="O13" t="str">
        <f t="shared" si="6"/>
        <v/>
      </c>
      <c r="P13" t="str">
        <f t="shared" si="7"/>
        <v/>
      </c>
      <c r="U13" t="s">
        <v>142</v>
      </c>
      <c r="V13" t="s">
        <v>172</v>
      </c>
      <c r="W13" t="s">
        <v>274</v>
      </c>
      <c r="AE13" t="str">
        <f>IFERROR(LN(Survey!#REF!),"")</f>
        <v/>
      </c>
    </row>
    <row r="14" spans="2:34" x14ac:dyDescent="0.2">
      <c r="B14" t="str">
        <f t="shared" si="2"/>
        <v/>
      </c>
      <c r="C14" t="str">
        <f>IFERROR(VLOOKUP($B14,'Tables (statistics)'!$B$5:$AW$30,Calc!$X$3,FALSE),"")</f>
        <v/>
      </c>
      <c r="E14">
        <v>6</v>
      </c>
      <c r="F14">
        <f>IF(AND(ISNUMBER(Beta!$E10),Calc!$X$3&gt;0),Beta!$E10,"")</f>
        <v>2.7</v>
      </c>
      <c r="G14">
        <f>IF($E14&lt;Calc!$X$3+1,SMALL($F$9:$F$58,$E14),"")</f>
        <v>17</v>
      </c>
      <c r="H14">
        <f t="shared" si="3"/>
        <v>2.8332133440562162</v>
      </c>
      <c r="J14" t="str">
        <f t="shared" si="0"/>
        <v/>
      </c>
      <c r="K14" t="str">
        <f t="shared" si="4"/>
        <v/>
      </c>
      <c r="L14" t="str">
        <f t="shared" si="1"/>
        <v/>
      </c>
      <c r="M14" t="str">
        <f t="shared" si="5"/>
        <v/>
      </c>
      <c r="O14" t="str">
        <f t="shared" si="6"/>
        <v/>
      </c>
      <c r="P14" t="str">
        <f t="shared" si="7"/>
        <v/>
      </c>
      <c r="U14" t="s">
        <v>143</v>
      </c>
      <c r="V14" t="s">
        <v>164</v>
      </c>
      <c r="W14" t="s">
        <v>164</v>
      </c>
      <c r="AE14" t="str">
        <f>IFERROR(LN(Survey!#REF!),"")</f>
        <v/>
      </c>
    </row>
    <row r="15" spans="2:34" x14ac:dyDescent="0.2">
      <c r="B15" t="str">
        <f t="shared" si="2"/>
        <v/>
      </c>
      <c r="C15" t="str">
        <f>IFERROR(VLOOKUP($B15,'Tables (statistics)'!$B$5:$AW$30,Calc!$X$3,FALSE),"")</f>
        <v/>
      </c>
      <c r="E15">
        <v>7</v>
      </c>
      <c r="F15">
        <f>IF(AND(ISNUMBER(Beta!$E11),Calc!$X$3&gt;0),Beta!$E11,"")</f>
        <v>6.3</v>
      </c>
      <c r="G15">
        <f>IF($E15&lt;Calc!$X$3+1,SMALL($F$9:$F$58,$E15),"")</f>
        <v>18.899999999999999</v>
      </c>
      <c r="H15">
        <f t="shared" si="3"/>
        <v>2.9391619220655967</v>
      </c>
      <c r="J15" t="str">
        <f t="shared" si="0"/>
        <v/>
      </c>
      <c r="K15" t="str">
        <f t="shared" si="4"/>
        <v/>
      </c>
      <c r="L15" t="str">
        <f t="shared" si="1"/>
        <v/>
      </c>
      <c r="M15" t="str">
        <f t="shared" si="5"/>
        <v/>
      </c>
      <c r="O15" t="str">
        <f t="shared" si="6"/>
        <v/>
      </c>
      <c r="P15" t="str">
        <f t="shared" si="7"/>
        <v/>
      </c>
      <c r="AE15" t="str">
        <f>IFERROR(LN(Survey!#REF!),"")</f>
        <v/>
      </c>
    </row>
    <row r="16" spans="2:34" x14ac:dyDescent="0.2">
      <c r="B16" t="str">
        <f t="shared" si="2"/>
        <v/>
      </c>
      <c r="C16" t="str">
        <f>IFERROR(VLOOKUP($B16,'Tables (statistics)'!$B$5:$AW$30,Calc!$X$3,FALSE),"")</f>
        <v/>
      </c>
      <c r="E16">
        <v>8</v>
      </c>
      <c r="F16">
        <f>IF(AND(ISNUMBER(Beta!$E12),Calc!$X$3&gt;0),Beta!$E12,"")</f>
        <v>18.899999999999999</v>
      </c>
      <c r="G16">
        <f>IF($E16&lt;Calc!$X$3+1,SMALL($F$9:$F$58,$E16),"")</f>
        <v>21</v>
      </c>
      <c r="H16">
        <f t="shared" si="3"/>
        <v>3.044522437723423</v>
      </c>
      <c r="J16" t="str">
        <f t="shared" si="0"/>
        <v/>
      </c>
      <c r="K16" t="str">
        <f t="shared" si="4"/>
        <v/>
      </c>
      <c r="L16" t="str">
        <f t="shared" si="1"/>
        <v/>
      </c>
      <c r="M16" t="str">
        <f t="shared" si="5"/>
        <v/>
      </c>
      <c r="O16" t="str">
        <f t="shared" si="6"/>
        <v/>
      </c>
      <c r="P16" t="str">
        <f t="shared" si="7"/>
        <v/>
      </c>
      <c r="AE16" t="str">
        <f>IFERROR(LN(Survey!#REF!),"")</f>
        <v/>
      </c>
    </row>
    <row r="17" spans="2:31" x14ac:dyDescent="0.2">
      <c r="B17" t="str">
        <f t="shared" si="2"/>
        <v/>
      </c>
      <c r="C17" t="str">
        <f>IFERROR(VLOOKUP($B17,'Tables (statistics)'!$B$5:$AW$30,Calc!$X$3,FALSE),"")</f>
        <v/>
      </c>
      <c r="E17">
        <v>9</v>
      </c>
      <c r="F17" t="str">
        <f>IF(AND(ISNUMBER(Beta!$E13),Calc!$X$3&gt;0),Beta!$E13,"")</f>
        <v/>
      </c>
      <c r="G17" t="str">
        <f>IF($E17&lt;Calc!$X$3+1,SMALL($F$9:$F$58,$E17),"")</f>
        <v/>
      </c>
      <c r="H17" t="str">
        <f t="shared" si="3"/>
        <v/>
      </c>
      <c r="J17" t="str">
        <f t="shared" si="0"/>
        <v/>
      </c>
      <c r="K17" t="str">
        <f t="shared" si="4"/>
        <v/>
      </c>
      <c r="L17" t="str">
        <f t="shared" si="1"/>
        <v/>
      </c>
      <c r="M17" t="str">
        <f t="shared" si="5"/>
        <v/>
      </c>
      <c r="O17" t="str">
        <f t="shared" si="6"/>
        <v/>
      </c>
      <c r="P17" t="str">
        <f t="shared" si="7"/>
        <v/>
      </c>
      <c r="V17" s="1" t="s">
        <v>71</v>
      </c>
      <c r="W17" s="1" t="s">
        <v>144</v>
      </c>
      <c r="AE17" t="str">
        <f>IFERROR(LN(Survey!#REF!),"")</f>
        <v/>
      </c>
    </row>
    <row r="18" spans="2:31" x14ac:dyDescent="0.2">
      <c r="B18" t="str">
        <f t="shared" si="2"/>
        <v/>
      </c>
      <c r="C18" t="str">
        <f>IFERROR(VLOOKUP($B18,'Tables (statistics)'!$B$5:$AW$30,Calc!$X$3,FALSE),"")</f>
        <v/>
      </c>
      <c r="E18">
        <v>10</v>
      </c>
      <c r="F18" t="str">
        <f>IF(AND(ISNUMBER(Beta!$E14),Calc!$X$3&gt;0),Beta!$E14,"")</f>
        <v/>
      </c>
      <c r="G18" t="str">
        <f>IF($E18&lt;Calc!$X$3+1,SMALL($F$9:$F$58,$E18),"")</f>
        <v/>
      </c>
      <c r="H18" t="str">
        <f t="shared" si="3"/>
        <v/>
      </c>
      <c r="J18" t="str">
        <f t="shared" si="0"/>
        <v/>
      </c>
      <c r="K18" t="str">
        <f t="shared" si="4"/>
        <v/>
      </c>
      <c r="L18" t="str">
        <f t="shared" si="1"/>
        <v/>
      </c>
      <c r="M18" t="str">
        <f t="shared" si="5"/>
        <v/>
      </c>
      <c r="O18" t="str">
        <f t="shared" si="6"/>
        <v/>
      </c>
      <c r="P18" t="str">
        <f t="shared" si="7"/>
        <v/>
      </c>
      <c r="U18" t="s">
        <v>145</v>
      </c>
      <c r="V18" t="s">
        <v>146</v>
      </c>
      <c r="W18" t="s">
        <v>147</v>
      </c>
      <c r="AE18" t="str">
        <f>IFERROR(LN(Survey!#REF!),"")</f>
        <v/>
      </c>
    </row>
    <row r="19" spans="2:31" x14ac:dyDescent="0.2">
      <c r="B19" t="str">
        <f t="shared" si="2"/>
        <v/>
      </c>
      <c r="C19" t="str">
        <f>IFERROR(VLOOKUP($B19,'Tables (statistics)'!$B$5:$AW$30,Calc!$X$3,FALSE),"")</f>
        <v/>
      </c>
      <c r="E19">
        <v>11</v>
      </c>
      <c r="F19" t="str">
        <f>IF(AND(ISNUMBER(Beta!$E15),Calc!$X$3&gt;0),Beta!$E15,"")</f>
        <v/>
      </c>
      <c r="G19" t="str">
        <f>IF($E19&lt;Calc!$X$3+1,SMALL($F$9:$F$58,$E19),"")</f>
        <v/>
      </c>
      <c r="H19" t="str">
        <f t="shared" si="3"/>
        <v/>
      </c>
      <c r="J19" t="str">
        <f t="shared" si="0"/>
        <v/>
      </c>
      <c r="K19" t="str">
        <f t="shared" si="4"/>
        <v/>
      </c>
      <c r="L19" t="str">
        <f t="shared" si="1"/>
        <v/>
      </c>
      <c r="M19" t="str">
        <f t="shared" si="5"/>
        <v/>
      </c>
      <c r="O19" t="str">
        <f t="shared" si="6"/>
        <v/>
      </c>
      <c r="P19" t="str">
        <f t="shared" si="7"/>
        <v/>
      </c>
      <c r="U19" t="s">
        <v>148</v>
      </c>
      <c r="V19" t="s">
        <v>149</v>
      </c>
      <c r="W19" t="s">
        <v>159</v>
      </c>
      <c r="AE19" t="str">
        <f>IFERROR(LN(Survey!#REF!),"")</f>
        <v/>
      </c>
    </row>
    <row r="20" spans="2:31" x14ac:dyDescent="0.2">
      <c r="B20" t="str">
        <f t="shared" si="2"/>
        <v/>
      </c>
      <c r="C20" t="str">
        <f>IFERROR(VLOOKUP($B20,'Tables (statistics)'!$B$5:$AW$30,Calc!$X$3,FALSE),"")</f>
        <v/>
      </c>
      <c r="E20">
        <v>12</v>
      </c>
      <c r="F20" t="str">
        <f>IF(AND(ISNUMBER(Beta!$E16),Calc!$X$3&gt;0),Beta!$E16,"")</f>
        <v/>
      </c>
      <c r="G20" t="str">
        <f>IF($E20&lt;Calc!$X$3+1,SMALL($F$9:$F$58,$E20),"")</f>
        <v/>
      </c>
      <c r="H20" t="str">
        <f t="shared" si="3"/>
        <v/>
      </c>
      <c r="J20" t="str">
        <f t="shared" si="0"/>
        <v/>
      </c>
      <c r="K20" t="str">
        <f t="shared" si="4"/>
        <v/>
      </c>
      <c r="L20" t="str">
        <f t="shared" si="1"/>
        <v/>
      </c>
      <c r="M20" t="str">
        <f t="shared" si="5"/>
        <v/>
      </c>
      <c r="O20" t="str">
        <f t="shared" si="6"/>
        <v/>
      </c>
      <c r="P20" t="str">
        <f t="shared" si="7"/>
        <v/>
      </c>
      <c r="U20" t="s">
        <v>150</v>
      </c>
      <c r="V20" t="s">
        <v>36</v>
      </c>
      <c r="W20" t="s">
        <v>36</v>
      </c>
      <c r="AE20" t="str">
        <f>IFERROR(LN(Survey!#REF!),"")</f>
        <v/>
      </c>
    </row>
    <row r="21" spans="2:31" x14ac:dyDescent="0.2">
      <c r="B21" t="str">
        <f t="shared" si="2"/>
        <v/>
      </c>
      <c r="C21" t="str">
        <f>IFERROR(VLOOKUP($B21,'Tables (statistics)'!$B$5:$AW$30,Calc!$X$3,FALSE),"")</f>
        <v/>
      </c>
      <c r="E21">
        <v>13</v>
      </c>
      <c r="F21" t="str">
        <f>IF(AND(ISNUMBER(Beta!$E17),Calc!$X$3&gt;0),Beta!$E17,"")</f>
        <v/>
      </c>
      <c r="G21" t="str">
        <f>IF($E21&lt;Calc!$X$3+1,SMALL($F$9:$F$58,$E21),"")</f>
        <v/>
      </c>
      <c r="H21" t="str">
        <f t="shared" si="3"/>
        <v/>
      </c>
      <c r="J21" t="str">
        <f t="shared" si="0"/>
        <v/>
      </c>
      <c r="K21" t="str">
        <f t="shared" si="4"/>
        <v/>
      </c>
      <c r="L21" t="str">
        <f t="shared" si="1"/>
        <v/>
      </c>
      <c r="M21" t="str">
        <f t="shared" si="5"/>
        <v/>
      </c>
      <c r="O21" t="str">
        <f t="shared" si="6"/>
        <v/>
      </c>
      <c r="P21" t="str">
        <f t="shared" si="7"/>
        <v/>
      </c>
      <c r="U21" t="s">
        <v>151</v>
      </c>
      <c r="V21" t="s">
        <v>37</v>
      </c>
      <c r="W21" t="s">
        <v>37</v>
      </c>
      <c r="AE21" t="str">
        <f>IFERROR(LN(Survey!#REF!),"")</f>
        <v/>
      </c>
    </row>
    <row r="22" spans="2:31" x14ac:dyDescent="0.2">
      <c r="B22" t="str">
        <f t="shared" si="2"/>
        <v/>
      </c>
      <c r="C22" t="str">
        <f>IFERROR(VLOOKUP($B22,'Tables (statistics)'!$B$5:$AW$30,Calc!$X$3,FALSE),"")</f>
        <v/>
      </c>
      <c r="E22">
        <v>14</v>
      </c>
      <c r="F22" t="str">
        <f>IF(AND(ISNUMBER(Beta!$E18),Calc!$X$3&gt;0),Beta!$E18,"")</f>
        <v/>
      </c>
      <c r="G22" t="str">
        <f>IF($E22&lt;Calc!$X$3+1,SMALL($F$9:$F$58,$E22),"")</f>
        <v/>
      </c>
      <c r="H22" t="str">
        <f t="shared" si="3"/>
        <v/>
      </c>
      <c r="J22" t="str">
        <f t="shared" si="0"/>
        <v/>
      </c>
      <c r="K22" t="str">
        <f t="shared" si="4"/>
        <v/>
      </c>
      <c r="L22" t="str">
        <f t="shared" si="1"/>
        <v/>
      </c>
      <c r="M22" t="str">
        <f t="shared" si="5"/>
        <v/>
      </c>
      <c r="O22" t="str">
        <f t="shared" si="6"/>
        <v/>
      </c>
      <c r="P22" t="str">
        <f t="shared" si="7"/>
        <v/>
      </c>
      <c r="AE22" t="str">
        <f>IFERROR(LN(Survey!#REF!),"")</f>
        <v/>
      </c>
    </row>
    <row r="23" spans="2:31" x14ac:dyDescent="0.2">
      <c r="B23" t="str">
        <f t="shared" si="2"/>
        <v/>
      </c>
      <c r="C23" t="str">
        <f>IFERROR(VLOOKUP($B23,'Tables (statistics)'!$B$5:$AW$30,Calc!$X$3,FALSE),"")</f>
        <v/>
      </c>
      <c r="E23">
        <v>15</v>
      </c>
      <c r="F23" t="str">
        <f>IF(AND(ISNUMBER(Beta!$E19),Calc!$X$3&gt;0),Beta!$E19,"")</f>
        <v/>
      </c>
      <c r="G23" t="str">
        <f>IF($E23&lt;Calc!$X$3+1,SMALL($F$9:$F$58,$E23),"")</f>
        <v/>
      </c>
      <c r="H23" t="str">
        <f t="shared" si="3"/>
        <v/>
      </c>
      <c r="J23" t="str">
        <f t="shared" si="0"/>
        <v/>
      </c>
      <c r="K23" t="str">
        <f t="shared" si="4"/>
        <v/>
      </c>
      <c r="L23" t="str">
        <f t="shared" si="1"/>
        <v/>
      </c>
      <c r="M23" t="str">
        <f t="shared" si="5"/>
        <v/>
      </c>
      <c r="O23" t="str">
        <f t="shared" si="6"/>
        <v/>
      </c>
      <c r="P23" t="str">
        <f t="shared" si="7"/>
        <v/>
      </c>
      <c r="V23" s="1" t="s">
        <v>160</v>
      </c>
      <c r="W23" s="1" t="s">
        <v>161</v>
      </c>
      <c r="AE23" t="str">
        <f>IFERROR(LN(Survey!#REF!),"")</f>
        <v/>
      </c>
    </row>
    <row r="24" spans="2:31" x14ac:dyDescent="0.2">
      <c r="B24" t="str">
        <f t="shared" si="2"/>
        <v/>
      </c>
      <c r="C24" t="str">
        <f>IFERROR(VLOOKUP($B24,'Tables (statistics)'!$B$5:$AW$30,Calc!$X$3,FALSE),"")</f>
        <v/>
      </c>
      <c r="E24">
        <v>16</v>
      </c>
      <c r="F24" t="str">
        <f>IF(AND(ISNUMBER(Beta!$E20),Calc!$X$3&gt;0),Beta!$E20,"")</f>
        <v/>
      </c>
      <c r="G24" t="str">
        <f>IF($E24&lt;Calc!$X$3+1,SMALL($F$9:$F$58,$E24),"")</f>
        <v/>
      </c>
      <c r="H24" t="str">
        <f t="shared" si="3"/>
        <v/>
      </c>
      <c r="J24" t="str">
        <f t="shared" si="0"/>
        <v/>
      </c>
      <c r="K24" t="str">
        <f t="shared" si="4"/>
        <v/>
      </c>
      <c r="L24" t="str">
        <f t="shared" si="1"/>
        <v/>
      </c>
      <c r="M24" t="str">
        <f t="shared" si="5"/>
        <v/>
      </c>
      <c r="O24" t="str">
        <f t="shared" si="6"/>
        <v/>
      </c>
      <c r="P24" t="str">
        <f t="shared" si="7"/>
        <v/>
      </c>
      <c r="U24" t="s">
        <v>152</v>
      </c>
      <c r="V24" t="s">
        <v>138</v>
      </c>
      <c r="W24" t="s">
        <v>139</v>
      </c>
      <c r="AE24" t="str">
        <f>IFERROR(LN(Survey!#REF!),"")</f>
        <v/>
      </c>
    </row>
    <row r="25" spans="2:31" x14ac:dyDescent="0.2">
      <c r="B25" t="str">
        <f t="shared" si="2"/>
        <v/>
      </c>
      <c r="C25" t="str">
        <f>IFERROR(VLOOKUP($B25,'Tables (statistics)'!$B$5:$AW$30,Calc!$X$3,FALSE),"")</f>
        <v/>
      </c>
      <c r="E25">
        <v>17</v>
      </c>
      <c r="F25" t="str">
        <f>IF(AND(ISNUMBER(Beta!$E21),Calc!$X$3&gt;0),Beta!$E21,"")</f>
        <v/>
      </c>
      <c r="G25" t="str">
        <f>IF($E25&lt;Calc!$X$3+1,SMALL($F$9:$F$58,$E25),"")</f>
        <v/>
      </c>
      <c r="H25" t="str">
        <f t="shared" si="3"/>
        <v/>
      </c>
      <c r="J25" t="str">
        <f t="shared" si="0"/>
        <v/>
      </c>
      <c r="K25" t="str">
        <f t="shared" si="4"/>
        <v/>
      </c>
      <c r="L25" t="str">
        <f t="shared" si="1"/>
        <v/>
      </c>
      <c r="M25" t="str">
        <f t="shared" si="5"/>
        <v/>
      </c>
      <c r="O25" t="str">
        <f t="shared" si="6"/>
        <v/>
      </c>
      <c r="P25" t="str">
        <f t="shared" si="7"/>
        <v/>
      </c>
      <c r="U25" t="s">
        <v>153</v>
      </c>
      <c r="V25" t="s">
        <v>154</v>
      </c>
      <c r="W25" t="s">
        <v>155</v>
      </c>
      <c r="AE25" t="str">
        <f>IFERROR(LN(Survey!#REF!),"")</f>
        <v/>
      </c>
    </row>
    <row r="26" spans="2:31" x14ac:dyDescent="0.2">
      <c r="B26" t="str">
        <f t="shared" si="2"/>
        <v/>
      </c>
      <c r="C26" t="str">
        <f>IFERROR(VLOOKUP($B26,'Tables (statistics)'!$B$5:$AW$30,Calc!$X$3,FALSE),"")</f>
        <v/>
      </c>
      <c r="E26">
        <v>18</v>
      </c>
      <c r="F26" t="str">
        <f>IF(AND(ISNUMBER(Beta!$E22),Calc!$X$3&gt;0),Beta!$E22,"")</f>
        <v/>
      </c>
      <c r="G26" t="str">
        <f>IF($E26&lt;Calc!$X$3+1,SMALL($F$9:$F$58,$E26),"")</f>
        <v/>
      </c>
      <c r="H26" t="str">
        <f t="shared" si="3"/>
        <v/>
      </c>
      <c r="J26" t="str">
        <f t="shared" si="0"/>
        <v/>
      </c>
      <c r="K26" t="str">
        <f t="shared" si="4"/>
        <v/>
      </c>
      <c r="L26" t="str">
        <f t="shared" si="1"/>
        <v/>
      </c>
      <c r="M26" t="str">
        <f t="shared" si="5"/>
        <v/>
      </c>
      <c r="O26" t="str">
        <f t="shared" si="6"/>
        <v/>
      </c>
      <c r="P26" t="str">
        <f t="shared" si="7"/>
        <v/>
      </c>
      <c r="U26" t="s">
        <v>156</v>
      </c>
      <c r="V26" t="s">
        <v>275</v>
      </c>
      <c r="W26" t="s">
        <v>141</v>
      </c>
      <c r="AE26" t="str">
        <f>IFERROR(LN(Survey!#REF!),"")</f>
        <v/>
      </c>
    </row>
    <row r="27" spans="2:31" x14ac:dyDescent="0.2">
      <c r="B27" t="str">
        <f t="shared" si="2"/>
        <v/>
      </c>
      <c r="C27" t="str">
        <f>IFERROR(VLOOKUP($B27,'Tables (statistics)'!$B$5:$AW$30,Calc!$X$3,FALSE),"")</f>
        <v/>
      </c>
      <c r="E27">
        <v>19</v>
      </c>
      <c r="F27" t="str">
        <f>IF(AND(ISNUMBER(Beta!$E23),Calc!$X$3&gt;0),Beta!$E23,"")</f>
        <v/>
      </c>
      <c r="G27" t="str">
        <f>IF($E27&lt;Calc!$X$3+1,SMALL($F$9:$F$58,$E27),"")</f>
        <v/>
      </c>
      <c r="H27" t="str">
        <f t="shared" si="3"/>
        <v/>
      </c>
      <c r="J27" t="str">
        <f t="shared" si="0"/>
        <v/>
      </c>
      <c r="K27" t="str">
        <f t="shared" si="4"/>
        <v/>
      </c>
      <c r="L27" t="str">
        <f t="shared" si="1"/>
        <v/>
      </c>
      <c r="M27" t="str">
        <f t="shared" si="5"/>
        <v/>
      </c>
      <c r="O27" t="str">
        <f t="shared" si="6"/>
        <v/>
      </c>
      <c r="P27" t="str">
        <f t="shared" si="7"/>
        <v/>
      </c>
      <c r="U27" t="s">
        <v>157</v>
      </c>
      <c r="V27" t="s">
        <v>172</v>
      </c>
      <c r="W27" t="s">
        <v>274</v>
      </c>
      <c r="AE27" t="str">
        <f>IFERROR(LN(Survey!#REF!),"")</f>
        <v/>
      </c>
    </row>
    <row r="28" spans="2:31" x14ac:dyDescent="0.2">
      <c r="B28" t="str">
        <f t="shared" si="2"/>
        <v/>
      </c>
      <c r="C28" t="str">
        <f>IFERROR(VLOOKUP($B28,'Tables (statistics)'!$B$5:$AW$30,Calc!$X$3,FALSE),"")</f>
        <v/>
      </c>
      <c r="E28">
        <v>20</v>
      </c>
      <c r="F28" t="str">
        <f>IF(AND(ISNUMBER(Beta!$E24),Calc!$X$3&gt;0),Beta!$E24,"")</f>
        <v/>
      </c>
      <c r="G28" t="str">
        <f>IF($E28&lt;Calc!$X$3+1,SMALL($F$9:$F$58,$E28),"")</f>
        <v/>
      </c>
      <c r="H28" t="str">
        <f t="shared" si="3"/>
        <v/>
      </c>
      <c r="J28" t="str">
        <f t="shared" si="0"/>
        <v/>
      </c>
      <c r="K28" t="str">
        <f t="shared" si="4"/>
        <v/>
      </c>
      <c r="L28" t="str">
        <f t="shared" si="1"/>
        <v/>
      </c>
      <c r="M28" t="str">
        <f t="shared" si="5"/>
        <v/>
      </c>
      <c r="O28" t="str">
        <f t="shared" si="6"/>
        <v/>
      </c>
      <c r="P28" t="str">
        <f t="shared" si="7"/>
        <v/>
      </c>
      <c r="U28" t="s">
        <v>158</v>
      </c>
      <c r="V28" t="s">
        <v>164</v>
      </c>
      <c r="W28" t="s">
        <v>164</v>
      </c>
      <c r="AE28" t="str">
        <f>IFERROR(LN(Survey!#REF!),"")</f>
        <v/>
      </c>
    </row>
    <row r="29" spans="2:31" x14ac:dyDescent="0.2">
      <c r="B29" t="str">
        <f t="shared" si="2"/>
        <v/>
      </c>
      <c r="C29" t="str">
        <f>IFERROR(VLOOKUP($B29,'Tables (statistics)'!$B$5:$AW$30,Calc!$X$3,FALSE),"")</f>
        <v/>
      </c>
      <c r="E29">
        <v>21</v>
      </c>
      <c r="F29" t="str">
        <f>IF(AND(ISNUMBER(Beta!$E25),Calc!$X$3&gt;0),Beta!$E25,"")</f>
        <v/>
      </c>
      <c r="G29" t="str">
        <f>IF($E29&lt;Calc!$X$3+1,SMALL($F$9:$F$58,$E29),"")</f>
        <v/>
      </c>
      <c r="H29" t="str">
        <f t="shared" si="3"/>
        <v/>
      </c>
      <c r="J29" t="str">
        <f t="shared" si="0"/>
        <v/>
      </c>
      <c r="K29" t="str">
        <f t="shared" si="4"/>
        <v/>
      </c>
      <c r="L29" t="str">
        <f t="shared" si="1"/>
        <v/>
      </c>
      <c r="M29" t="str">
        <f t="shared" si="5"/>
        <v/>
      </c>
      <c r="O29" t="str">
        <f t="shared" si="6"/>
        <v/>
      </c>
      <c r="P29" t="str">
        <f t="shared" si="7"/>
        <v/>
      </c>
      <c r="AE29" t="str">
        <f>IFERROR(LN(Survey!#REF!),"")</f>
        <v/>
      </c>
    </row>
    <row r="30" spans="2:31" x14ac:dyDescent="0.2">
      <c r="B30" t="str">
        <f t="shared" si="2"/>
        <v/>
      </c>
      <c r="C30" t="str">
        <f>IFERROR(VLOOKUP($B30,'Tables (statistics)'!$B$5:$AW$30,Calc!$X$3,FALSE),"")</f>
        <v/>
      </c>
      <c r="E30">
        <v>22</v>
      </c>
      <c r="F30" t="str">
        <f>IF(AND(ISNUMBER(Beta!$E26),Calc!$X$3&gt;0),Beta!$E26,"")</f>
        <v/>
      </c>
      <c r="G30" t="str">
        <f>IF($E30&lt;Calc!$X$3+1,SMALL($F$9:$F$58,$E30),"")</f>
        <v/>
      </c>
      <c r="H30" t="str">
        <f t="shared" si="3"/>
        <v/>
      </c>
      <c r="J30" t="str">
        <f t="shared" si="0"/>
        <v/>
      </c>
      <c r="K30" t="str">
        <f t="shared" si="4"/>
        <v/>
      </c>
      <c r="L30" t="str">
        <f t="shared" si="1"/>
        <v/>
      </c>
      <c r="M30" t="str">
        <f t="shared" si="5"/>
        <v/>
      </c>
      <c r="O30" t="str">
        <f t="shared" si="6"/>
        <v/>
      </c>
      <c r="P30" t="str">
        <f t="shared" si="7"/>
        <v/>
      </c>
      <c r="AE30" t="str">
        <f>IFERROR(LN(Survey!#REF!),"")</f>
        <v/>
      </c>
    </row>
    <row r="31" spans="2:31" x14ac:dyDescent="0.2">
      <c r="B31" t="str">
        <f t="shared" si="2"/>
        <v/>
      </c>
      <c r="C31" t="str">
        <f>IFERROR(VLOOKUP($B31,'Tables (statistics)'!$B$5:$AW$30,Calc!$X$3,FALSE),"")</f>
        <v/>
      </c>
      <c r="E31">
        <v>23</v>
      </c>
      <c r="F31" t="str">
        <f>IF(AND(ISNUMBER(Beta!$E27),Calc!$X$3&gt;0),Beta!$E27,"")</f>
        <v/>
      </c>
      <c r="G31" t="str">
        <f>IF($E31&lt;Calc!$X$3+1,SMALL($F$9:$F$58,$E31),"")</f>
        <v/>
      </c>
      <c r="H31" t="str">
        <f t="shared" si="3"/>
        <v/>
      </c>
      <c r="J31" t="str">
        <f t="shared" si="0"/>
        <v/>
      </c>
      <c r="K31" t="str">
        <f t="shared" si="4"/>
        <v/>
      </c>
      <c r="L31" t="str">
        <f t="shared" si="1"/>
        <v/>
      </c>
      <c r="M31" t="str">
        <f t="shared" si="5"/>
        <v/>
      </c>
      <c r="O31" t="str">
        <f t="shared" si="6"/>
        <v/>
      </c>
      <c r="P31" t="str">
        <f t="shared" si="7"/>
        <v/>
      </c>
      <c r="AE31" t="str">
        <f>IFERROR(LN(Survey!#REF!),"")</f>
        <v/>
      </c>
    </row>
    <row r="32" spans="2:31" x14ac:dyDescent="0.2">
      <c r="B32" t="str">
        <f t="shared" si="2"/>
        <v/>
      </c>
      <c r="C32" t="str">
        <f>IFERROR(VLOOKUP($B32,'Tables (statistics)'!$B$5:$AW$30,Calc!$X$3,FALSE),"")</f>
        <v/>
      </c>
      <c r="E32">
        <v>24</v>
      </c>
      <c r="F32" t="str">
        <f>IF(AND(ISNUMBER(Beta!$E28),Calc!$X$3&gt;0),Beta!$E28,"")</f>
        <v/>
      </c>
      <c r="G32" t="str">
        <f>IF($E32&lt;Calc!$X$3+1,SMALL($F$9:$F$58,$E32),"")</f>
        <v/>
      </c>
      <c r="H32" t="str">
        <f t="shared" si="3"/>
        <v/>
      </c>
      <c r="J32" t="str">
        <f t="shared" si="0"/>
        <v/>
      </c>
      <c r="K32" t="str">
        <f t="shared" si="4"/>
        <v/>
      </c>
      <c r="L32" t="str">
        <f t="shared" si="1"/>
        <v/>
      </c>
      <c r="M32" t="str">
        <f t="shared" si="5"/>
        <v/>
      </c>
      <c r="O32" t="str">
        <f t="shared" si="6"/>
        <v/>
      </c>
      <c r="P32" t="str">
        <f t="shared" si="7"/>
        <v/>
      </c>
      <c r="AE32" t="str">
        <f>IFERROR(LN(Survey!#REF!),"")</f>
        <v/>
      </c>
    </row>
    <row r="33" spans="2:31" x14ac:dyDescent="0.2">
      <c r="B33" t="str">
        <f t="shared" si="2"/>
        <v/>
      </c>
      <c r="C33" t="str">
        <f>IFERROR(VLOOKUP($B33,'Tables (statistics)'!$B$5:$AW$30,Calc!$X$3,FALSE),"")</f>
        <v/>
      </c>
      <c r="E33">
        <v>25</v>
      </c>
      <c r="F33" t="str">
        <f>IF(AND(ISNUMBER(Beta!$E29),Calc!$X$3&gt;0),Beta!$E29,"")</f>
        <v/>
      </c>
      <c r="G33" t="str">
        <f>IF($E33&lt;Calc!$X$3+1,SMALL($F$9:$F$58,$E33),"")</f>
        <v/>
      </c>
      <c r="H33" t="str">
        <f t="shared" si="3"/>
        <v/>
      </c>
      <c r="J33" t="str">
        <f t="shared" si="0"/>
        <v/>
      </c>
      <c r="K33" t="str">
        <f t="shared" si="4"/>
        <v/>
      </c>
      <c r="L33" t="str">
        <f t="shared" si="1"/>
        <v/>
      </c>
      <c r="M33" t="str">
        <f t="shared" si="5"/>
        <v/>
      </c>
      <c r="O33" t="str">
        <f t="shared" si="6"/>
        <v/>
      </c>
      <c r="P33" t="str">
        <f t="shared" si="7"/>
        <v/>
      </c>
      <c r="AE33" t="str">
        <f>IFERROR(LN(Survey!#REF!),"")</f>
        <v/>
      </c>
    </row>
    <row r="34" spans="2:31" x14ac:dyDescent="0.2">
      <c r="B34" t="str">
        <f t="shared" si="2"/>
        <v/>
      </c>
      <c r="C34" t="str">
        <f>IFERROR(VLOOKUP($B34,'Tables (statistics)'!$B$5:$AW$30,Calc!$X$3,FALSE),"")</f>
        <v/>
      </c>
      <c r="E34">
        <v>26</v>
      </c>
      <c r="F34" t="str">
        <f>IF(AND(ISNUMBER(Beta!$E30),Calc!$X$3&gt;0),Beta!$E30,"")</f>
        <v/>
      </c>
      <c r="G34" t="str">
        <f>IF($E34&lt;Calc!$X$3+1,SMALL($F$9:$F$58,$E34),"")</f>
        <v/>
      </c>
      <c r="H34" t="str">
        <f t="shared" si="3"/>
        <v/>
      </c>
      <c r="J34" t="str">
        <f t="shared" si="0"/>
        <v/>
      </c>
      <c r="K34" t="str">
        <f t="shared" si="4"/>
        <v/>
      </c>
      <c r="L34" t="str">
        <f t="shared" si="1"/>
        <v/>
      </c>
      <c r="M34" t="str">
        <f t="shared" si="5"/>
        <v/>
      </c>
      <c r="O34" t="str">
        <f t="shared" si="6"/>
        <v/>
      </c>
      <c r="P34" t="str">
        <f t="shared" si="7"/>
        <v/>
      </c>
      <c r="AE34" t="str">
        <f>IFERROR(LN(Survey!#REF!),"")</f>
        <v/>
      </c>
    </row>
    <row r="35" spans="2:31" x14ac:dyDescent="0.2">
      <c r="B35" t="str">
        <f t="shared" si="2"/>
        <v/>
      </c>
      <c r="C35" t="str">
        <f>IFERROR(VLOOKUP($B35,'Tables (statistics)'!$B$5:$AW$30,Calc!$X$3,FALSE),"")</f>
        <v/>
      </c>
      <c r="E35">
        <v>27</v>
      </c>
      <c r="F35" t="str">
        <f>IF(AND(ISNUMBER(Beta!$E31),Calc!$X$3&gt;0),Beta!$E31,"")</f>
        <v/>
      </c>
      <c r="G35" t="str">
        <f>IF($E35&lt;Calc!$X$3+1,SMALL($F$9:$F$58,$E35),"")</f>
        <v/>
      </c>
      <c r="H35" t="str">
        <f t="shared" si="3"/>
        <v/>
      </c>
      <c r="J35" t="str">
        <f t="shared" si="0"/>
        <v/>
      </c>
      <c r="K35" t="str">
        <f t="shared" si="4"/>
        <v/>
      </c>
      <c r="L35" t="str">
        <f t="shared" si="1"/>
        <v/>
      </c>
      <c r="M35" t="str">
        <f t="shared" si="5"/>
        <v/>
      </c>
      <c r="O35" t="str">
        <f t="shared" si="6"/>
        <v/>
      </c>
      <c r="P35" t="str">
        <f t="shared" si="7"/>
        <v/>
      </c>
      <c r="AE35" t="str">
        <f>IFERROR(LN(Survey!#REF!),"")</f>
        <v/>
      </c>
    </row>
    <row r="36" spans="2:31" x14ac:dyDescent="0.2">
      <c r="B36" t="str">
        <f t="shared" si="2"/>
        <v/>
      </c>
      <c r="C36" t="str">
        <f>IFERROR(VLOOKUP($B36,'Tables (statistics)'!$B$5:$AW$30,Calc!$X$3,FALSE),"")</f>
        <v/>
      </c>
      <c r="E36">
        <v>28</v>
      </c>
      <c r="F36" t="str">
        <f>IF(AND(ISNUMBER(Beta!$E32),Calc!$X$3&gt;0),Beta!$E32,"")</f>
        <v/>
      </c>
      <c r="G36" t="str">
        <f>IF($E36&lt;Calc!$X$3+1,SMALL($F$9:$F$58,$E36),"")</f>
        <v/>
      </c>
      <c r="H36" t="str">
        <f t="shared" si="3"/>
        <v/>
      </c>
      <c r="J36" t="str">
        <f t="shared" si="0"/>
        <v/>
      </c>
      <c r="K36" t="str">
        <f t="shared" si="4"/>
        <v/>
      </c>
      <c r="L36" t="str">
        <f t="shared" si="1"/>
        <v/>
      </c>
      <c r="M36" t="str">
        <f t="shared" si="5"/>
        <v/>
      </c>
      <c r="O36" t="str">
        <f t="shared" si="6"/>
        <v/>
      </c>
      <c r="P36" t="str">
        <f t="shared" si="7"/>
        <v/>
      </c>
      <c r="AE36" t="str">
        <f>IFERROR(LN(Survey!#REF!),"")</f>
        <v/>
      </c>
    </row>
    <row r="37" spans="2:31" x14ac:dyDescent="0.2">
      <c r="B37" t="str">
        <f t="shared" si="2"/>
        <v/>
      </c>
      <c r="C37" t="str">
        <f>IFERROR(VLOOKUP($B37,'Tables (statistics)'!$B$5:$AW$30,Calc!$X$3,FALSE),"")</f>
        <v/>
      </c>
      <c r="E37">
        <v>29</v>
      </c>
      <c r="F37" t="str">
        <f>IF(AND(ISNUMBER(Beta!$E33),Calc!$X$3&gt;0),Beta!$E33,"")</f>
        <v/>
      </c>
      <c r="G37" t="str">
        <f>IF($E37&lt;Calc!$X$3+1,SMALL($F$9:$F$58,$E37),"")</f>
        <v/>
      </c>
      <c r="H37" t="str">
        <f t="shared" si="3"/>
        <v/>
      </c>
      <c r="J37" t="str">
        <f t="shared" si="0"/>
        <v/>
      </c>
      <c r="K37" t="str">
        <f t="shared" si="4"/>
        <v/>
      </c>
      <c r="L37" t="str">
        <f t="shared" si="1"/>
        <v/>
      </c>
      <c r="M37" t="str">
        <f t="shared" si="5"/>
        <v/>
      </c>
      <c r="O37" t="str">
        <f t="shared" si="6"/>
        <v/>
      </c>
      <c r="P37" t="str">
        <f t="shared" si="7"/>
        <v/>
      </c>
      <c r="AE37" t="str">
        <f>IFERROR(LN(Survey!#REF!),"")</f>
        <v/>
      </c>
    </row>
    <row r="38" spans="2:31" x14ac:dyDescent="0.2">
      <c r="B38" t="str">
        <f t="shared" si="2"/>
        <v/>
      </c>
      <c r="C38" t="str">
        <f>IFERROR(VLOOKUP($B38,'Tables (statistics)'!$B$5:$AW$30,Calc!$X$3,FALSE),"")</f>
        <v/>
      </c>
      <c r="E38">
        <v>30</v>
      </c>
      <c r="F38" t="str">
        <f>IF(AND(ISNUMBER(Beta!$E34),Calc!$X$3&gt;0),Beta!$E34,"")</f>
        <v/>
      </c>
      <c r="G38" t="str">
        <f>IF($E38&lt;Calc!$X$3+1,SMALL($F$9:$F$58,$E38),"")</f>
        <v/>
      </c>
      <c r="H38" t="str">
        <f t="shared" si="3"/>
        <v/>
      </c>
      <c r="J38" t="str">
        <f t="shared" si="0"/>
        <v/>
      </c>
      <c r="K38" t="str">
        <f t="shared" si="4"/>
        <v/>
      </c>
      <c r="L38" t="str">
        <f t="shared" si="1"/>
        <v/>
      </c>
      <c r="M38" t="str">
        <f t="shared" si="5"/>
        <v/>
      </c>
      <c r="O38" t="str">
        <f t="shared" si="6"/>
        <v/>
      </c>
      <c r="P38" t="str">
        <f t="shared" si="7"/>
        <v/>
      </c>
      <c r="AE38" t="str">
        <f>IFERROR(LN(Survey!#REF!),"")</f>
        <v/>
      </c>
    </row>
    <row r="39" spans="2:31" x14ac:dyDescent="0.2">
      <c r="B39" t="str">
        <f t="shared" si="2"/>
        <v/>
      </c>
      <c r="C39" t="str">
        <f>IFERROR(VLOOKUP($B39,'Tables (statistics)'!$B$5:$AW$30,Calc!$X$3,FALSE),"")</f>
        <v/>
      </c>
      <c r="E39">
        <v>31</v>
      </c>
      <c r="F39" t="str">
        <f>IF(AND(ISNUMBER(Beta!$E35),Calc!$X$3&gt;0),Beta!$E35,"")</f>
        <v/>
      </c>
      <c r="G39" t="str">
        <f>IF($E39&lt;Calc!$X$3+1,SMALL($F$9:$F$58,$E39),"")</f>
        <v/>
      </c>
      <c r="H39" t="str">
        <f t="shared" si="3"/>
        <v/>
      </c>
      <c r="J39" t="str">
        <f t="shared" si="0"/>
        <v/>
      </c>
      <c r="K39" t="str">
        <f t="shared" si="4"/>
        <v/>
      </c>
      <c r="L39" t="str">
        <f t="shared" si="1"/>
        <v/>
      </c>
      <c r="M39" t="str">
        <f t="shared" si="5"/>
        <v/>
      </c>
      <c r="O39" t="str">
        <f t="shared" si="6"/>
        <v/>
      </c>
      <c r="P39" t="str">
        <f t="shared" si="7"/>
        <v/>
      </c>
      <c r="AE39" t="str">
        <f>IFERROR(LN(Survey!#REF!),"")</f>
        <v/>
      </c>
    </row>
    <row r="40" spans="2:31" x14ac:dyDescent="0.2">
      <c r="B40" t="str">
        <f t="shared" si="2"/>
        <v/>
      </c>
      <c r="C40" t="str">
        <f>IFERROR(VLOOKUP($B40,'Tables (statistics)'!$B$5:$AW$30,Calc!$X$3,FALSE),"")</f>
        <v/>
      </c>
      <c r="E40">
        <v>32</v>
      </c>
      <c r="F40" t="str">
        <f>IF(AND(ISNUMBER(Beta!$E36),Calc!$X$3&gt;0),Beta!$E36,"")</f>
        <v/>
      </c>
      <c r="G40" t="str">
        <f>IF($E40&lt;Calc!$X$3+1,SMALL($F$9:$F$58,$E40),"")</f>
        <v/>
      </c>
      <c r="H40" t="str">
        <f t="shared" si="3"/>
        <v/>
      </c>
      <c r="J40" t="str">
        <f t="shared" si="0"/>
        <v/>
      </c>
      <c r="K40" t="str">
        <f t="shared" si="4"/>
        <v/>
      </c>
      <c r="L40" t="str">
        <f t="shared" si="1"/>
        <v/>
      </c>
      <c r="M40" t="str">
        <f t="shared" si="5"/>
        <v/>
      </c>
      <c r="O40" t="str">
        <f t="shared" si="6"/>
        <v/>
      </c>
      <c r="P40" t="str">
        <f t="shared" si="7"/>
        <v/>
      </c>
      <c r="AE40" t="str">
        <f>IFERROR(LN(Survey!#REF!),"")</f>
        <v/>
      </c>
    </row>
    <row r="41" spans="2:31" x14ac:dyDescent="0.2">
      <c r="B41" t="str">
        <f t="shared" si="2"/>
        <v/>
      </c>
      <c r="C41" t="str">
        <f>IFERROR(VLOOKUP($B41,'Tables (statistics)'!$B$5:$AW$30,Calc!$X$3,FALSE),"")</f>
        <v/>
      </c>
      <c r="E41">
        <v>33</v>
      </c>
      <c r="F41" t="str">
        <f>IF(AND(ISNUMBER(Beta!$E37),Calc!$X$3&gt;0),Beta!$E37,"")</f>
        <v/>
      </c>
      <c r="G41" t="str">
        <f>IF($E41&lt;Calc!$X$3+1,SMALL($F$9:$F$58,$E41),"")</f>
        <v/>
      </c>
      <c r="H41" t="str">
        <f t="shared" si="3"/>
        <v/>
      </c>
      <c r="J41" t="str">
        <f t="shared" ref="J41:J58" si="8">IFERROR(IF($B41&lt;$C$4+1,LARGE($G$9:$G$58,$B41),NA()),"")</f>
        <v/>
      </c>
      <c r="K41" t="str">
        <f t="shared" si="4"/>
        <v/>
      </c>
      <c r="L41" t="str">
        <f t="shared" ref="L41:L58" si="9">IFERROR(IF($B41&lt;$C$4+1,SMALL($G$9:$G$58,$B41),NA()),"")</f>
        <v/>
      </c>
      <c r="M41" t="str">
        <f t="shared" si="5"/>
        <v/>
      </c>
      <c r="O41" t="str">
        <f t="shared" si="6"/>
        <v/>
      </c>
      <c r="P41" t="str">
        <f t="shared" si="7"/>
        <v/>
      </c>
      <c r="AE41" t="str">
        <f>IFERROR(LN(Survey!#REF!),"")</f>
        <v/>
      </c>
    </row>
    <row r="42" spans="2:31" x14ac:dyDescent="0.2">
      <c r="B42" t="str">
        <f t="shared" ref="B42:B58" si="10">IF(B41&lt;$C$4,B41+1,"")</f>
        <v/>
      </c>
      <c r="C42" t="str">
        <f>IFERROR(VLOOKUP($B42,'Tables (statistics)'!$B$5:$AW$30,Calc!$X$3,FALSE),"")</f>
        <v/>
      </c>
      <c r="E42">
        <v>34</v>
      </c>
      <c r="F42" t="str">
        <f>IF(AND(ISNUMBER(Beta!$E38),Calc!$X$3&gt;0),Beta!$E38,"")</f>
        <v/>
      </c>
      <c r="G42" t="str">
        <f>IF($E42&lt;Calc!$X$3+1,SMALL($F$9:$F$58,$E42),"")</f>
        <v/>
      </c>
      <c r="H42" t="str">
        <f t="shared" si="3"/>
        <v/>
      </c>
      <c r="J42" t="str">
        <f t="shared" si="8"/>
        <v/>
      </c>
      <c r="K42" t="str">
        <f t="shared" si="4"/>
        <v/>
      </c>
      <c r="L42" t="str">
        <f t="shared" si="9"/>
        <v/>
      </c>
      <c r="M42" t="str">
        <f t="shared" si="5"/>
        <v/>
      </c>
      <c r="O42" t="str">
        <f t="shared" si="6"/>
        <v/>
      </c>
      <c r="P42" t="str">
        <f t="shared" si="7"/>
        <v/>
      </c>
      <c r="AE42" t="str">
        <f>IFERROR(LN(Survey!#REF!),"")</f>
        <v/>
      </c>
    </row>
    <row r="43" spans="2:31" x14ac:dyDescent="0.2">
      <c r="B43" t="str">
        <f t="shared" si="10"/>
        <v/>
      </c>
      <c r="C43" t="str">
        <f>IFERROR(VLOOKUP($B43,'Tables (statistics)'!$B$5:$AW$30,Calc!$X$3,FALSE),"")</f>
        <v/>
      </c>
      <c r="E43">
        <v>35</v>
      </c>
      <c r="F43" t="str">
        <f>IF(AND(ISNUMBER(Beta!$E39),Calc!$X$3&gt;0),Beta!$E39,"")</f>
        <v/>
      </c>
      <c r="G43" t="str">
        <f>IF($E43&lt;Calc!$X$3+1,SMALL($F$9:$F$58,$E43),"")</f>
        <v/>
      </c>
      <c r="H43" t="str">
        <f t="shared" si="3"/>
        <v/>
      </c>
      <c r="J43" t="str">
        <f t="shared" si="8"/>
        <v/>
      </c>
      <c r="K43" t="str">
        <f t="shared" si="4"/>
        <v/>
      </c>
      <c r="L43" t="str">
        <f t="shared" si="9"/>
        <v/>
      </c>
      <c r="M43" t="str">
        <f t="shared" si="5"/>
        <v/>
      </c>
      <c r="O43" t="str">
        <f t="shared" si="6"/>
        <v/>
      </c>
      <c r="P43" t="str">
        <f t="shared" si="7"/>
        <v/>
      </c>
      <c r="AE43" t="str">
        <f>IFERROR(LN(Survey!#REF!),"")</f>
        <v/>
      </c>
    </row>
    <row r="44" spans="2:31" x14ac:dyDescent="0.2">
      <c r="B44" t="str">
        <f t="shared" si="10"/>
        <v/>
      </c>
      <c r="C44" t="str">
        <f>IFERROR(VLOOKUP($B44,'Tables (statistics)'!$B$5:$AW$30,Calc!$X$3,FALSE),"")</f>
        <v/>
      </c>
      <c r="E44">
        <v>36</v>
      </c>
      <c r="F44" t="str">
        <f>IF(AND(ISNUMBER(Beta!$E40),Calc!$X$3&gt;0),Beta!$E40,"")</f>
        <v/>
      </c>
      <c r="G44" t="str">
        <f>IF($E44&lt;Calc!$X$3+1,SMALL($F$9:$F$58,$E44),"")</f>
        <v/>
      </c>
      <c r="H44" t="str">
        <f t="shared" si="3"/>
        <v/>
      </c>
      <c r="J44" t="str">
        <f t="shared" si="8"/>
        <v/>
      </c>
      <c r="K44" t="str">
        <f t="shared" si="4"/>
        <v/>
      </c>
      <c r="L44" t="str">
        <f t="shared" si="9"/>
        <v/>
      </c>
      <c r="M44" t="str">
        <f t="shared" si="5"/>
        <v/>
      </c>
      <c r="O44" t="str">
        <f t="shared" si="6"/>
        <v/>
      </c>
      <c r="P44" t="str">
        <f t="shared" si="7"/>
        <v/>
      </c>
      <c r="AE44" t="str">
        <f>IFERROR(LN(Survey!#REF!),"")</f>
        <v/>
      </c>
    </row>
    <row r="45" spans="2:31" x14ac:dyDescent="0.2">
      <c r="B45" t="str">
        <f t="shared" si="10"/>
        <v/>
      </c>
      <c r="C45" t="str">
        <f>IFERROR(VLOOKUP($B45,'Tables (statistics)'!$B$5:$AW$30,Calc!$X$3,FALSE),"")</f>
        <v/>
      </c>
      <c r="E45">
        <v>37</v>
      </c>
      <c r="F45" t="str">
        <f>IF(AND(ISNUMBER(Beta!$E41),Calc!$X$3&gt;0),Beta!$E41,"")</f>
        <v/>
      </c>
      <c r="G45" t="str">
        <f>IF($E45&lt;Calc!$X$3+1,SMALL($F$9:$F$58,$E45),"")</f>
        <v/>
      </c>
      <c r="H45" t="str">
        <f t="shared" si="3"/>
        <v/>
      </c>
      <c r="J45" t="str">
        <f t="shared" si="8"/>
        <v/>
      </c>
      <c r="K45" t="str">
        <f t="shared" si="4"/>
        <v/>
      </c>
      <c r="L45" t="str">
        <f t="shared" si="9"/>
        <v/>
      </c>
      <c r="M45" t="str">
        <f t="shared" si="5"/>
        <v/>
      </c>
      <c r="O45" t="str">
        <f t="shared" si="6"/>
        <v/>
      </c>
      <c r="P45" t="str">
        <f t="shared" si="7"/>
        <v/>
      </c>
      <c r="AE45" t="str">
        <f>IFERROR(LN(Survey!#REF!),"")</f>
        <v/>
      </c>
    </row>
    <row r="46" spans="2:31" x14ac:dyDescent="0.2">
      <c r="B46" t="str">
        <f t="shared" si="10"/>
        <v/>
      </c>
      <c r="C46" t="str">
        <f>IFERROR(VLOOKUP($B46,'Tables (statistics)'!$B$5:$AW$30,Calc!$X$3,FALSE),"")</f>
        <v/>
      </c>
      <c r="E46">
        <v>38</v>
      </c>
      <c r="F46" t="str">
        <f>IF(AND(ISNUMBER(Beta!$E42),Calc!$X$3&gt;0),Beta!$E42,"")</f>
        <v/>
      </c>
      <c r="G46" t="str">
        <f>IF($E46&lt;Calc!$X$3+1,SMALL($F$9:$F$58,$E46),"")</f>
        <v/>
      </c>
      <c r="H46" t="str">
        <f t="shared" si="3"/>
        <v/>
      </c>
      <c r="J46" t="str">
        <f t="shared" si="8"/>
        <v/>
      </c>
      <c r="K46" t="str">
        <f t="shared" si="4"/>
        <v/>
      </c>
      <c r="L46" t="str">
        <f t="shared" si="9"/>
        <v/>
      </c>
      <c r="M46" t="str">
        <f t="shared" si="5"/>
        <v/>
      </c>
      <c r="O46" t="str">
        <f t="shared" si="6"/>
        <v/>
      </c>
      <c r="P46" t="str">
        <f t="shared" si="7"/>
        <v/>
      </c>
      <c r="AE46" t="str">
        <f>IFERROR(LN(Survey!#REF!),"")</f>
        <v/>
      </c>
    </row>
    <row r="47" spans="2:31" x14ac:dyDescent="0.2">
      <c r="B47" t="str">
        <f t="shared" si="10"/>
        <v/>
      </c>
      <c r="C47" t="str">
        <f>IFERROR(VLOOKUP($B47,'Tables (statistics)'!$B$5:$AW$30,Calc!$X$3,FALSE),"")</f>
        <v/>
      </c>
      <c r="E47">
        <v>39</v>
      </c>
      <c r="F47" t="str">
        <f>IF(AND(ISNUMBER(Beta!$E43),Calc!$X$3&gt;0),Beta!$E43,"")</f>
        <v/>
      </c>
      <c r="G47" t="str">
        <f>IF($E47&lt;Calc!$X$3+1,SMALL($F$9:$F$58,$E47),"")</f>
        <v/>
      </c>
      <c r="H47" t="str">
        <f t="shared" si="3"/>
        <v/>
      </c>
      <c r="J47" t="str">
        <f t="shared" si="8"/>
        <v/>
      </c>
      <c r="K47" t="str">
        <f t="shared" si="4"/>
        <v/>
      </c>
      <c r="L47" t="str">
        <f t="shared" si="9"/>
        <v/>
      </c>
      <c r="M47" t="str">
        <f t="shared" si="5"/>
        <v/>
      </c>
      <c r="O47" t="str">
        <f t="shared" si="6"/>
        <v/>
      </c>
      <c r="P47" t="str">
        <f t="shared" si="7"/>
        <v/>
      </c>
      <c r="AE47" t="str">
        <f>IFERROR(LN(Survey!#REF!),"")</f>
        <v/>
      </c>
    </row>
    <row r="48" spans="2:31" x14ac:dyDescent="0.2">
      <c r="B48" t="str">
        <f t="shared" si="10"/>
        <v/>
      </c>
      <c r="C48" t="str">
        <f>IFERROR(VLOOKUP($B48,'Tables (statistics)'!$B$5:$AW$30,Calc!$X$3,FALSE),"")</f>
        <v/>
      </c>
      <c r="E48">
        <v>40</v>
      </c>
      <c r="F48" t="str">
        <f>IF(AND(ISNUMBER(Beta!$E44),Calc!$X$3&gt;0),Beta!$E44,"")</f>
        <v/>
      </c>
      <c r="G48" t="str">
        <f>IF($E48&lt;Calc!$X$3+1,SMALL($F$9:$F$58,$E48),"")</f>
        <v/>
      </c>
      <c r="H48" t="str">
        <f t="shared" si="3"/>
        <v/>
      </c>
      <c r="J48" t="str">
        <f t="shared" si="8"/>
        <v/>
      </c>
      <c r="K48" t="str">
        <f t="shared" si="4"/>
        <v/>
      </c>
      <c r="L48" t="str">
        <f t="shared" si="9"/>
        <v/>
      </c>
      <c r="M48" t="str">
        <f t="shared" si="5"/>
        <v/>
      </c>
      <c r="O48" t="str">
        <f t="shared" si="6"/>
        <v/>
      </c>
      <c r="P48" t="str">
        <f t="shared" si="7"/>
        <v/>
      </c>
      <c r="AE48" t="str">
        <f>IFERROR(LN(Survey!#REF!),"")</f>
        <v/>
      </c>
    </row>
    <row r="49" spans="2:31" x14ac:dyDescent="0.2">
      <c r="B49" t="str">
        <f t="shared" si="10"/>
        <v/>
      </c>
      <c r="C49" t="str">
        <f>IFERROR(VLOOKUP($B49,'Tables (statistics)'!$B$5:$AW$30,Calc!$X$3,FALSE),"")</f>
        <v/>
      </c>
      <c r="E49">
        <v>41</v>
      </c>
      <c r="F49" t="str">
        <f>IF(AND(ISNUMBER(Beta!$E45),Calc!$X$3&gt;0),Beta!$E45,"")</f>
        <v/>
      </c>
      <c r="G49" t="str">
        <f>IF($E49&lt;Calc!$X$3+1,SMALL($F$9:$F$58,$E49),"")</f>
        <v/>
      </c>
      <c r="H49" t="str">
        <f t="shared" si="3"/>
        <v/>
      </c>
      <c r="J49" t="str">
        <f t="shared" si="8"/>
        <v/>
      </c>
      <c r="K49" t="str">
        <f t="shared" si="4"/>
        <v/>
      </c>
      <c r="L49" t="str">
        <f t="shared" si="9"/>
        <v/>
      </c>
      <c r="M49" t="str">
        <f t="shared" si="5"/>
        <v/>
      </c>
      <c r="O49" t="str">
        <f t="shared" si="6"/>
        <v/>
      </c>
      <c r="P49" t="str">
        <f t="shared" si="7"/>
        <v/>
      </c>
      <c r="AE49" t="str">
        <f>IFERROR(LN(Survey!#REF!),"")</f>
        <v/>
      </c>
    </row>
    <row r="50" spans="2:31" x14ac:dyDescent="0.2">
      <c r="B50" t="str">
        <f t="shared" si="10"/>
        <v/>
      </c>
      <c r="C50" t="str">
        <f>IFERROR(VLOOKUP($B50,'Tables (statistics)'!$B$5:$AW$30,Calc!$X$3,FALSE),"")</f>
        <v/>
      </c>
      <c r="E50">
        <v>42</v>
      </c>
      <c r="F50" t="str">
        <f>IF(AND(ISNUMBER(Beta!$E46),Calc!$X$3&gt;0),Beta!$E46,"")</f>
        <v/>
      </c>
      <c r="G50" t="str">
        <f>IF($E50&lt;Calc!$X$3+1,SMALL($F$9:$F$58,$E50),"")</f>
        <v/>
      </c>
      <c r="H50" t="str">
        <f t="shared" si="3"/>
        <v/>
      </c>
      <c r="J50" t="str">
        <f t="shared" si="8"/>
        <v/>
      </c>
      <c r="K50" t="str">
        <f t="shared" si="4"/>
        <v/>
      </c>
      <c r="L50" t="str">
        <f t="shared" si="9"/>
        <v/>
      </c>
      <c r="M50" t="str">
        <f t="shared" si="5"/>
        <v/>
      </c>
      <c r="O50" t="str">
        <f t="shared" si="6"/>
        <v/>
      </c>
      <c r="P50" t="str">
        <f t="shared" si="7"/>
        <v/>
      </c>
      <c r="AE50" t="str">
        <f>IFERROR(LN(Survey!#REF!),"")</f>
        <v/>
      </c>
    </row>
    <row r="51" spans="2:31" x14ac:dyDescent="0.2">
      <c r="B51" t="str">
        <f t="shared" si="10"/>
        <v/>
      </c>
      <c r="C51" t="str">
        <f>IFERROR(VLOOKUP($B51,'Tables (statistics)'!$B$5:$AW$30,Calc!$X$3,FALSE),"")</f>
        <v/>
      </c>
      <c r="E51">
        <v>43</v>
      </c>
      <c r="F51" t="str">
        <f>IF(AND(ISNUMBER(Beta!$E47),Calc!$X$3&gt;0),Beta!$E47,"")</f>
        <v/>
      </c>
      <c r="G51" t="str">
        <f>IF($E51&lt;Calc!$X$3+1,SMALL($F$9:$F$58,$E51),"")</f>
        <v/>
      </c>
      <c r="H51" t="str">
        <f t="shared" si="3"/>
        <v/>
      </c>
      <c r="J51" t="str">
        <f t="shared" si="8"/>
        <v/>
      </c>
      <c r="K51" t="str">
        <f t="shared" si="4"/>
        <v/>
      </c>
      <c r="L51" t="str">
        <f t="shared" si="9"/>
        <v/>
      </c>
      <c r="M51" t="str">
        <f t="shared" si="5"/>
        <v/>
      </c>
      <c r="O51" t="str">
        <f t="shared" si="6"/>
        <v/>
      </c>
      <c r="P51" t="str">
        <f t="shared" si="7"/>
        <v/>
      </c>
      <c r="AE51" t="str">
        <f>IFERROR(LN(Survey!#REF!),"")</f>
        <v/>
      </c>
    </row>
    <row r="52" spans="2:31" x14ac:dyDescent="0.2">
      <c r="B52" t="str">
        <f t="shared" si="10"/>
        <v/>
      </c>
      <c r="C52" t="str">
        <f>IFERROR(VLOOKUP($B52,'Tables (statistics)'!$B$5:$AW$30,Calc!$X$3,FALSE),"")</f>
        <v/>
      </c>
      <c r="E52">
        <v>44</v>
      </c>
      <c r="F52" t="str">
        <f>IF(AND(ISNUMBER(Beta!$E48),Calc!$X$3&gt;0),Beta!$E48,"")</f>
        <v/>
      </c>
      <c r="G52" t="str">
        <f>IF($E52&lt;Calc!$X$3+1,SMALL($F$9:$F$58,$E52),"")</f>
        <v/>
      </c>
      <c r="H52" t="str">
        <f t="shared" si="3"/>
        <v/>
      </c>
      <c r="J52" t="str">
        <f t="shared" si="8"/>
        <v/>
      </c>
      <c r="K52" t="str">
        <f t="shared" si="4"/>
        <v/>
      </c>
      <c r="L52" t="str">
        <f t="shared" si="9"/>
        <v/>
      </c>
      <c r="M52" t="str">
        <f t="shared" si="5"/>
        <v/>
      </c>
      <c r="O52" t="str">
        <f t="shared" si="6"/>
        <v/>
      </c>
      <c r="P52" t="str">
        <f t="shared" si="7"/>
        <v/>
      </c>
      <c r="AE52" t="str">
        <f>IFERROR(LN(Survey!#REF!),"")</f>
        <v/>
      </c>
    </row>
    <row r="53" spans="2:31" x14ac:dyDescent="0.2">
      <c r="B53" t="str">
        <f t="shared" si="10"/>
        <v/>
      </c>
      <c r="C53" t="str">
        <f>IFERROR(VLOOKUP($B53,'Tables (statistics)'!$B$5:$AW$30,Calc!$X$3,FALSE),"")</f>
        <v/>
      </c>
      <c r="E53">
        <v>45</v>
      </c>
      <c r="F53" t="str">
        <f>IF(AND(ISNUMBER(Beta!$E49),Calc!$X$3&gt;0),Beta!$E49,"")</f>
        <v/>
      </c>
      <c r="G53" t="str">
        <f>IF($E53&lt;Calc!$X$3+1,SMALL($F$9:$F$58,$E53),"")</f>
        <v/>
      </c>
      <c r="H53" t="str">
        <f t="shared" si="3"/>
        <v/>
      </c>
      <c r="J53" t="str">
        <f t="shared" si="8"/>
        <v/>
      </c>
      <c r="K53" t="str">
        <f t="shared" si="4"/>
        <v/>
      </c>
      <c r="L53" t="str">
        <f t="shared" si="9"/>
        <v/>
      </c>
      <c r="M53" t="str">
        <f t="shared" si="5"/>
        <v/>
      </c>
      <c r="O53" t="str">
        <f t="shared" si="6"/>
        <v/>
      </c>
      <c r="P53" t="str">
        <f t="shared" si="7"/>
        <v/>
      </c>
      <c r="AE53" t="str">
        <f>IFERROR(LN(Survey!#REF!),"")</f>
        <v/>
      </c>
    </row>
    <row r="54" spans="2:31" x14ac:dyDescent="0.2">
      <c r="B54" t="str">
        <f t="shared" si="10"/>
        <v/>
      </c>
      <c r="C54" t="str">
        <f>IFERROR(VLOOKUP($B54,'Tables (statistics)'!$B$5:$AW$30,Calc!$X$3,FALSE),"")</f>
        <v/>
      </c>
      <c r="E54">
        <v>46</v>
      </c>
      <c r="F54" t="str">
        <f>IF(AND(ISNUMBER(Beta!$E50),Calc!$X$3&gt;0),Beta!$E50,"")</f>
        <v/>
      </c>
      <c r="G54" t="str">
        <f>IF($E54&lt;Calc!$X$3+1,SMALL($F$9:$F$58,$E54),"")</f>
        <v/>
      </c>
      <c r="H54" t="str">
        <f t="shared" si="3"/>
        <v/>
      </c>
      <c r="J54" t="str">
        <f t="shared" si="8"/>
        <v/>
      </c>
      <c r="K54" t="str">
        <f t="shared" si="4"/>
        <v/>
      </c>
      <c r="L54" t="str">
        <f t="shared" si="9"/>
        <v/>
      </c>
      <c r="M54" t="str">
        <f t="shared" si="5"/>
        <v/>
      </c>
      <c r="O54" t="str">
        <f t="shared" si="6"/>
        <v/>
      </c>
      <c r="P54" t="str">
        <f t="shared" si="7"/>
        <v/>
      </c>
      <c r="AE54" t="str">
        <f>IFERROR(LN(Survey!#REF!),"")</f>
        <v/>
      </c>
    </row>
    <row r="55" spans="2:31" x14ac:dyDescent="0.2">
      <c r="B55" t="str">
        <f t="shared" si="10"/>
        <v/>
      </c>
      <c r="C55" t="str">
        <f>IFERROR(VLOOKUP($B55,'Tables (statistics)'!$B$5:$AW$30,Calc!$X$3,FALSE),"")</f>
        <v/>
      </c>
      <c r="E55">
        <v>47</v>
      </c>
      <c r="F55" t="str">
        <f>IF(AND(ISNUMBER(Beta!$E51),Calc!$X$3&gt;0),Beta!$E51,"")</f>
        <v/>
      </c>
      <c r="G55" t="str">
        <f>IF($E55&lt;Calc!$X$3+1,SMALL($F$9:$F$58,$E55),"")</f>
        <v/>
      </c>
      <c r="H55" t="str">
        <f t="shared" si="3"/>
        <v/>
      </c>
      <c r="J55" t="str">
        <f t="shared" si="8"/>
        <v/>
      </c>
      <c r="K55" t="str">
        <f t="shared" si="4"/>
        <v/>
      </c>
      <c r="L55" t="str">
        <f t="shared" si="9"/>
        <v/>
      </c>
      <c r="M55" t="str">
        <f t="shared" si="5"/>
        <v/>
      </c>
      <c r="O55" t="str">
        <f t="shared" si="6"/>
        <v/>
      </c>
      <c r="P55" t="str">
        <f t="shared" si="7"/>
        <v/>
      </c>
      <c r="AE55" t="str">
        <f>IFERROR(LN(Survey!#REF!),"")</f>
        <v/>
      </c>
    </row>
    <row r="56" spans="2:31" x14ac:dyDescent="0.2">
      <c r="B56" t="str">
        <f t="shared" si="10"/>
        <v/>
      </c>
      <c r="C56" t="str">
        <f>IFERROR(VLOOKUP($B56,'Tables (statistics)'!$B$5:$AW$30,Calc!$X$3,FALSE),"")</f>
        <v/>
      </c>
      <c r="E56">
        <v>48</v>
      </c>
      <c r="F56" t="str">
        <f>IF(AND(ISNUMBER(Beta!$E52),Calc!$X$3&gt;0),Beta!$E52,"")</f>
        <v/>
      </c>
      <c r="G56" t="str">
        <f>IF($E56&lt;Calc!$X$3+1,SMALL($F$9:$F$58,$E56),"")</f>
        <v/>
      </c>
      <c r="H56" t="str">
        <f t="shared" si="3"/>
        <v/>
      </c>
      <c r="J56" t="str">
        <f t="shared" si="8"/>
        <v/>
      </c>
      <c r="K56" t="str">
        <f t="shared" si="4"/>
        <v/>
      </c>
      <c r="L56" t="str">
        <f t="shared" si="9"/>
        <v/>
      </c>
      <c r="M56" t="str">
        <f t="shared" si="5"/>
        <v/>
      </c>
      <c r="O56" t="str">
        <f t="shared" si="6"/>
        <v/>
      </c>
      <c r="P56" t="str">
        <f t="shared" si="7"/>
        <v/>
      </c>
      <c r="AE56" t="str">
        <f>IFERROR(LN(Survey!#REF!),"")</f>
        <v/>
      </c>
    </row>
    <row r="57" spans="2:31" x14ac:dyDescent="0.2">
      <c r="B57" t="str">
        <f t="shared" si="10"/>
        <v/>
      </c>
      <c r="C57" t="str">
        <f>IFERROR(VLOOKUP($B57,'Tables (statistics)'!$B$5:$AW$30,Calc!$X$3,FALSE),"")</f>
        <v/>
      </c>
      <c r="E57">
        <v>49</v>
      </c>
      <c r="F57" t="str">
        <f>IF(AND(ISNUMBER(Beta!$E53),Calc!$X$3&gt;0),Beta!$E53,"")</f>
        <v/>
      </c>
      <c r="G57" t="str">
        <f>IF($E57&lt;Calc!$X$3+1,SMALL($F$9:$F$58,$E57),"")</f>
        <v/>
      </c>
      <c r="H57" t="str">
        <f t="shared" si="3"/>
        <v/>
      </c>
      <c r="J57" t="str">
        <f t="shared" si="8"/>
        <v/>
      </c>
      <c r="K57" t="str">
        <f t="shared" si="4"/>
        <v/>
      </c>
      <c r="L57" t="str">
        <f t="shared" si="9"/>
        <v/>
      </c>
      <c r="M57" t="str">
        <f t="shared" si="5"/>
        <v/>
      </c>
      <c r="O57" t="str">
        <f t="shared" si="6"/>
        <v/>
      </c>
      <c r="P57" t="str">
        <f t="shared" si="7"/>
        <v/>
      </c>
      <c r="AE57" t="str">
        <f>IFERROR(LN(Survey!#REF!),"")</f>
        <v/>
      </c>
    </row>
    <row r="58" spans="2:31" x14ac:dyDescent="0.2">
      <c r="B58" t="str">
        <f t="shared" si="10"/>
        <v/>
      </c>
      <c r="C58" t="str">
        <f>IFERROR(VLOOKUP($B58,'Tables (statistics)'!$B$5:$AW$30,Calc!$X$3,FALSE),"")</f>
        <v/>
      </c>
      <c r="E58">
        <v>50</v>
      </c>
      <c r="F58" t="str">
        <f>IF(AND(ISNUMBER(Beta!$E54),Calc!$X$3&gt;0),Beta!$E54,"")</f>
        <v/>
      </c>
      <c r="G58" t="str">
        <f>IF($E58&lt;Calc!$X$3+1,SMALL($F$9:$F$58,$E58),"")</f>
        <v/>
      </c>
      <c r="H58" t="str">
        <f t="shared" si="3"/>
        <v/>
      </c>
      <c r="J58" t="str">
        <f t="shared" si="8"/>
        <v/>
      </c>
      <c r="K58" t="str">
        <f t="shared" si="4"/>
        <v/>
      </c>
      <c r="L58" t="str">
        <f t="shared" si="9"/>
        <v/>
      </c>
      <c r="M58" t="str">
        <f t="shared" si="5"/>
        <v/>
      </c>
      <c r="O58" t="str">
        <f t="shared" si="6"/>
        <v/>
      </c>
      <c r="P58" t="str">
        <f t="shared" si="7"/>
        <v/>
      </c>
      <c r="AE58" t="str">
        <f>IFERROR(LN(Survey!#REF!),"")</f>
        <v/>
      </c>
    </row>
  </sheetData>
  <mergeCells count="2">
    <mergeCell ref="E7:H7"/>
    <mergeCell ref="R2:T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91EC1-85B6-464B-AE1C-C5B120614F0B}">
  <sheetPr>
    <tabColor theme="1"/>
  </sheetPr>
  <dimension ref="A1:AD224"/>
  <sheetViews>
    <sheetView showGridLines="0" workbookViewId="0">
      <selection activeCell="J13" sqref="J13"/>
    </sheetView>
  </sheetViews>
  <sheetFormatPr baseColWidth="10" defaultRowHeight="15" x14ac:dyDescent="0.2"/>
  <cols>
    <col min="5" max="5" width="11.5" customWidth="1"/>
    <col min="13" max="13" width="16.5" bestFit="1" customWidth="1"/>
  </cols>
  <sheetData>
    <row r="1" spans="1:14" ht="30" customHeight="1" x14ac:dyDescent="0.2">
      <c r="A1" s="664" t="str" cm="1">
        <f t="array" ref="A1">IFERROR(INDEX(Tekst!$B$1:$U$300,51,Tabeller!$C$28),"")</f>
        <v>Serieplott
(måledata benyttet uten korrigering av verdier under DG)</v>
      </c>
      <c r="B1" s="664"/>
      <c r="C1" s="664"/>
      <c r="D1" s="664"/>
      <c r="E1" s="664"/>
      <c r="F1" s="664"/>
      <c r="G1" s="664"/>
      <c r="N1" t="str" cm="1">
        <f t="array" ref="N1">IFERROR(INDEX(Tekst!$B$1:$U$300,60,Tabeller!$C$28),"")</f>
        <v>Log-sannsynlighetsplott og minste kvadratsums linjetilpassing</v>
      </c>
    </row>
    <row r="2" spans="1:14" x14ac:dyDescent="0.2">
      <c r="B2" t="s">
        <v>212</v>
      </c>
      <c r="C2" t="s">
        <v>213</v>
      </c>
      <c r="D2" t="s">
        <v>214</v>
      </c>
      <c r="E2" t="s">
        <v>215</v>
      </c>
      <c r="F2" t="s">
        <v>219</v>
      </c>
      <c r="G2" t="str" cm="1">
        <f t="array" ref="G2">IFERROR(INDEX(Tekst!$B$1:$U$300,52,Tabeller!$C$28),"")</f>
        <v>Nummer</v>
      </c>
      <c r="N2" t="str" cm="1">
        <f t="array" ref="N2">IFERROR(INDEX(Tekst!$B$1:$U$300,61,Tabeller!$C$28),"")</f>
        <v>Sannsynlighetsplott og minste kvadratsums linjetilpassing</v>
      </c>
    </row>
    <row r="3" spans="1:14" x14ac:dyDescent="0.2">
      <c r="B3">
        <v>1</v>
      </c>
      <c r="C3">
        <f>IFERROR(IF($B3&lt;=Analysis!$D$5+1,SMALL(Calc!$G$3:$G$52,$B3),""),"")</f>
        <v>1.7</v>
      </c>
      <c r="D3">
        <f>IF(ISNUMBER($C3),$B3,"")</f>
        <v>1</v>
      </c>
      <c r="E3">
        <f>IF(ISNUMBER(Calc!G3),Calc!G3,"")</f>
        <v>21</v>
      </c>
      <c r="F3" t="s">
        <v>218</v>
      </c>
      <c r="G3" t="str" cm="1">
        <f t="array" ref="G3">CONCATENATE(IFERROR(INDEX(Tekst!$B$1:$U$300,53,Tabeller!$C$28),"")," (",Survey!$H$11,")")</f>
        <v>Konsentrasjon (ppm)</v>
      </c>
    </row>
    <row r="4" spans="1:14" x14ac:dyDescent="0.2">
      <c r="B4">
        <v>2</v>
      </c>
      <c r="C4">
        <f>IFERROR(IF($B4&lt;=Analysis!$D$5+1,SMALL(Calc!$G$3:$G$52,$B4),""),"")</f>
        <v>1.9</v>
      </c>
      <c r="D4">
        <f t="shared" ref="D4:D53" si="0">IF(ISNUMBER($C4),$B4,NA())</f>
        <v>2</v>
      </c>
      <c r="E4">
        <f>IF(ISNUMBER(Calc!G4),Calc!G4,NA())</f>
        <v>1.9</v>
      </c>
    </row>
    <row r="5" spans="1:14" x14ac:dyDescent="0.2">
      <c r="B5">
        <v>3</v>
      </c>
      <c r="C5">
        <f>IFERROR(IF($B5&lt;=Analysis!$D$5+1,SMALL(Calc!$G$3:$G$52,$B5),""),"")</f>
        <v>2.7</v>
      </c>
      <c r="D5">
        <f t="shared" si="0"/>
        <v>3</v>
      </c>
      <c r="E5">
        <f>IF(ISNUMBER(Calc!G5),Calc!G5,NA())</f>
        <v>5.8</v>
      </c>
    </row>
    <row r="6" spans="1:14" x14ac:dyDescent="0.2">
      <c r="B6">
        <v>4</v>
      </c>
      <c r="C6">
        <f>IFERROR(IF($B6&lt;=Analysis!$D$5+1,SMALL(Calc!$G$3:$G$52,$B6),""),"")</f>
        <v>5.8</v>
      </c>
      <c r="D6">
        <f t="shared" si="0"/>
        <v>4</v>
      </c>
      <c r="E6">
        <f>IF(ISNUMBER(Calc!G6),Calc!G6,NA())</f>
        <v>17</v>
      </c>
    </row>
    <row r="7" spans="1:14" x14ac:dyDescent="0.2">
      <c r="B7">
        <v>5</v>
      </c>
      <c r="C7">
        <f>IFERROR(IF($B7&lt;=Analysis!$D$5+1,SMALL(Calc!$G$3:$G$52,$B7),""),"")</f>
        <v>6.3</v>
      </c>
      <c r="D7">
        <f t="shared" si="0"/>
        <v>5</v>
      </c>
      <c r="E7">
        <f>IF(ISNUMBER(Calc!G7),Calc!G7,NA())</f>
        <v>1.7</v>
      </c>
    </row>
    <row r="8" spans="1:14" x14ac:dyDescent="0.2">
      <c r="B8">
        <v>6</v>
      </c>
      <c r="C8">
        <f>IFERROR(IF($B8&lt;=Analysis!$D$5+1,SMALL(Calc!$G$3:$G$52,$B8),""),"")</f>
        <v>17</v>
      </c>
      <c r="D8">
        <f t="shared" si="0"/>
        <v>6</v>
      </c>
      <c r="E8">
        <f>IF(ISNUMBER(Calc!G8),Calc!G8,NA())</f>
        <v>2.7</v>
      </c>
    </row>
    <row r="9" spans="1:14" x14ac:dyDescent="0.2">
      <c r="B9">
        <v>7</v>
      </c>
      <c r="C9">
        <f>IFERROR(IF($B9&lt;=Analysis!$D$5+1,SMALL(Calc!$G$3:$G$52,$B9),""),"")</f>
        <v>18.899999999999999</v>
      </c>
      <c r="D9">
        <f t="shared" si="0"/>
        <v>7</v>
      </c>
      <c r="E9">
        <f>IF(ISNUMBER(Calc!G9),Calc!G9,NA())</f>
        <v>6.3</v>
      </c>
    </row>
    <row r="10" spans="1:14" x14ac:dyDescent="0.2">
      <c r="B10">
        <v>8</v>
      </c>
      <c r="C10">
        <f>IFERROR(IF($B10&lt;=Analysis!$D$5+1,SMALL(Calc!$G$3:$G$52,$B10),""),"")</f>
        <v>21</v>
      </c>
      <c r="D10">
        <f t="shared" si="0"/>
        <v>8</v>
      </c>
      <c r="E10">
        <f>IF(ISNUMBER(Calc!G10),Calc!G10,NA())</f>
        <v>18.899999999999999</v>
      </c>
    </row>
    <row r="11" spans="1:14" x14ac:dyDescent="0.2">
      <c r="B11">
        <v>9</v>
      </c>
      <c r="C11" t="str">
        <f>IFERROR(IF($B11&lt;=Analysis!$D$5+1,SMALL(Calc!$G$3:$G$52,$B11),""),"")</f>
        <v/>
      </c>
      <c r="D11" t="e">
        <f t="shared" si="0"/>
        <v>#N/A</v>
      </c>
      <c r="E11" t="e">
        <f>IF(ISNUMBER(Calc!G11),Calc!G11,NA())</f>
        <v>#N/A</v>
      </c>
    </row>
    <row r="12" spans="1:14" x14ac:dyDescent="0.2">
      <c r="B12">
        <v>10</v>
      </c>
      <c r="C12" t="str">
        <f>IFERROR(IF($B12&lt;=Analysis!$D$5+1,SMALL(Calc!$G$3:$G$52,$B12),""),"")</f>
        <v/>
      </c>
      <c r="D12" t="e">
        <f t="shared" si="0"/>
        <v>#N/A</v>
      </c>
      <c r="E12" t="e">
        <f>IF(ISNUMBER(Calc!G12),Calc!G12,NA())</f>
        <v>#N/A</v>
      </c>
    </row>
    <row r="13" spans="1:14" x14ac:dyDescent="0.2">
      <c r="B13">
        <v>11</v>
      </c>
      <c r="C13" t="str">
        <f>IFERROR(IF($B13&lt;=Analysis!$D$5+1,SMALL(Calc!$G$3:$G$52,$B13),""),"")</f>
        <v/>
      </c>
      <c r="D13" t="e">
        <f t="shared" si="0"/>
        <v>#N/A</v>
      </c>
      <c r="E13" t="e">
        <f>IF(ISNUMBER(Calc!G13),Calc!G13,NA())</f>
        <v>#N/A</v>
      </c>
    </row>
    <row r="14" spans="1:14" x14ac:dyDescent="0.2">
      <c r="B14">
        <v>12</v>
      </c>
      <c r="C14" t="str">
        <f>IFERROR(IF($B14&lt;=Analysis!$D$5+1,SMALL(Calc!$G$3:$G$52,$B14),""),"")</f>
        <v/>
      </c>
      <c r="D14" t="e">
        <f t="shared" si="0"/>
        <v>#N/A</v>
      </c>
      <c r="E14" t="e">
        <f>IF(ISNUMBER(Calc!G14),Calc!G14,NA())</f>
        <v>#N/A</v>
      </c>
    </row>
    <row r="15" spans="1:14" x14ac:dyDescent="0.2">
      <c r="B15">
        <v>13</v>
      </c>
      <c r="C15" t="str">
        <f>IFERROR(IF($B15&lt;=Analysis!$D$5+1,SMALL(Calc!$G$3:$G$52,$B15),""),"")</f>
        <v/>
      </c>
      <c r="D15" t="e">
        <f t="shared" si="0"/>
        <v>#N/A</v>
      </c>
      <c r="E15" t="e">
        <f>IF(ISNUMBER(Calc!G15),Calc!G15,NA())</f>
        <v>#N/A</v>
      </c>
    </row>
    <row r="16" spans="1:14" x14ac:dyDescent="0.2">
      <c r="B16">
        <v>14</v>
      </c>
      <c r="C16" t="str">
        <f>IFERROR(IF($B16&lt;=Analysis!$D$5+1,SMALL(Calc!$G$3:$G$52,$B16),""),"")</f>
        <v/>
      </c>
      <c r="D16" t="e">
        <f t="shared" si="0"/>
        <v>#N/A</v>
      </c>
      <c r="E16" t="e">
        <f>IF(ISNUMBER(Calc!G16),Calc!G16,NA())</f>
        <v>#N/A</v>
      </c>
    </row>
    <row r="17" spans="2:5" x14ac:dyDescent="0.2">
      <c r="B17">
        <v>15</v>
      </c>
      <c r="C17" t="str">
        <f>IFERROR(IF($B17&lt;=Analysis!$D$5+1,SMALL(Calc!$G$3:$G$52,$B17),""),"")</f>
        <v/>
      </c>
      <c r="D17" t="e">
        <f t="shared" si="0"/>
        <v>#N/A</v>
      </c>
      <c r="E17" t="e">
        <f>IF(ISNUMBER(Calc!G17),Calc!G17,NA())</f>
        <v>#N/A</v>
      </c>
    </row>
    <row r="18" spans="2:5" x14ac:dyDescent="0.2">
      <c r="B18">
        <v>16</v>
      </c>
      <c r="C18" t="str">
        <f>IFERROR(IF($B18&lt;=Analysis!$D$5+1,SMALL(Calc!$G$3:$G$52,$B18),""),"")</f>
        <v/>
      </c>
      <c r="D18" t="e">
        <f t="shared" si="0"/>
        <v>#N/A</v>
      </c>
      <c r="E18" t="e">
        <f>IF(ISNUMBER(Calc!G18),Calc!G18,NA())</f>
        <v>#N/A</v>
      </c>
    </row>
    <row r="19" spans="2:5" x14ac:dyDescent="0.2">
      <c r="B19">
        <v>17</v>
      </c>
      <c r="C19" t="str">
        <f>IFERROR(IF($B19&lt;=Analysis!$D$5+1,SMALL(Calc!$G$3:$G$52,$B19),""),"")</f>
        <v/>
      </c>
      <c r="D19" t="e">
        <f t="shared" si="0"/>
        <v>#N/A</v>
      </c>
      <c r="E19" t="e">
        <f>IF(ISNUMBER(Calc!G19),Calc!G19,NA())</f>
        <v>#N/A</v>
      </c>
    </row>
    <row r="20" spans="2:5" x14ac:dyDescent="0.2">
      <c r="B20">
        <v>18</v>
      </c>
      <c r="C20" t="str">
        <f>IFERROR(IF($B20&lt;=Analysis!$D$5+1,SMALL(Calc!$G$3:$G$52,$B20),""),"")</f>
        <v/>
      </c>
      <c r="D20" t="e">
        <f t="shared" si="0"/>
        <v>#N/A</v>
      </c>
      <c r="E20" t="e">
        <f>IF(ISNUMBER(Calc!G20),Calc!G20,NA())</f>
        <v>#N/A</v>
      </c>
    </row>
    <row r="21" spans="2:5" x14ac:dyDescent="0.2">
      <c r="B21">
        <v>19</v>
      </c>
      <c r="C21" t="str">
        <f>IFERROR(IF($B21&lt;=Analysis!$D$5+1,SMALL(Calc!$G$3:$G$52,$B21),""),"")</f>
        <v/>
      </c>
      <c r="D21" t="e">
        <f t="shared" si="0"/>
        <v>#N/A</v>
      </c>
      <c r="E21" t="e">
        <f>IF(ISNUMBER(Calc!G21),Calc!G21,NA())</f>
        <v>#N/A</v>
      </c>
    </row>
    <row r="22" spans="2:5" x14ac:dyDescent="0.2">
      <c r="B22">
        <v>20</v>
      </c>
      <c r="C22" t="str">
        <f>IFERROR(IF($B22&lt;=Analysis!$D$5+1,SMALL(Calc!$G$3:$G$52,$B22),""),"")</f>
        <v/>
      </c>
      <c r="D22" t="e">
        <f t="shared" si="0"/>
        <v>#N/A</v>
      </c>
      <c r="E22" t="e">
        <f>IF(ISNUMBER(Calc!G22),Calc!G22,NA())</f>
        <v>#N/A</v>
      </c>
    </row>
    <row r="23" spans="2:5" x14ac:dyDescent="0.2">
      <c r="B23">
        <v>21</v>
      </c>
      <c r="C23" t="str">
        <f>IFERROR(IF($B23&lt;=Analysis!$D$5+1,SMALL(Calc!$G$3:$G$52,$B23),""),"")</f>
        <v/>
      </c>
      <c r="D23" t="e">
        <f t="shared" si="0"/>
        <v>#N/A</v>
      </c>
      <c r="E23" t="e">
        <f>IF(ISNUMBER(Calc!G23),Calc!G23,NA())</f>
        <v>#N/A</v>
      </c>
    </row>
    <row r="24" spans="2:5" x14ac:dyDescent="0.2">
      <c r="B24">
        <v>22</v>
      </c>
      <c r="C24" t="str">
        <f>IFERROR(IF($B24&lt;=Analysis!$D$5+1,SMALL(Calc!$G$3:$G$52,$B24),""),"")</f>
        <v/>
      </c>
      <c r="D24" t="e">
        <f t="shared" si="0"/>
        <v>#N/A</v>
      </c>
      <c r="E24" t="e">
        <f>IF(ISNUMBER(Calc!G24),Calc!G24,NA())</f>
        <v>#N/A</v>
      </c>
    </row>
    <row r="25" spans="2:5" x14ac:dyDescent="0.2">
      <c r="B25">
        <v>23</v>
      </c>
      <c r="C25" t="str">
        <f>IFERROR(IF($B25&lt;=Analysis!$D$5+1,SMALL(Calc!$G$3:$G$52,$B25),""),"")</f>
        <v/>
      </c>
      <c r="D25" t="e">
        <f t="shared" si="0"/>
        <v>#N/A</v>
      </c>
      <c r="E25" t="e">
        <f>IF(ISNUMBER(Calc!G25),Calc!G25,NA())</f>
        <v>#N/A</v>
      </c>
    </row>
    <row r="26" spans="2:5" x14ac:dyDescent="0.2">
      <c r="B26">
        <v>24</v>
      </c>
      <c r="C26" t="str">
        <f>IFERROR(IF($B26&lt;=Analysis!$D$5+1,SMALL(Calc!$G$3:$G$52,$B26),""),"")</f>
        <v/>
      </c>
      <c r="D26" t="e">
        <f t="shared" si="0"/>
        <v>#N/A</v>
      </c>
      <c r="E26" t="e">
        <f>IF(ISNUMBER(Calc!G26),Calc!G26,NA())</f>
        <v>#N/A</v>
      </c>
    </row>
    <row r="27" spans="2:5" x14ac:dyDescent="0.2">
      <c r="B27">
        <v>25</v>
      </c>
      <c r="C27" t="str">
        <f>IFERROR(IF($B27&lt;=Analysis!$D$5+1,SMALL(Calc!$G$3:$G$52,$B27),""),"")</f>
        <v/>
      </c>
      <c r="D27" t="e">
        <f t="shared" si="0"/>
        <v>#N/A</v>
      </c>
      <c r="E27" t="e">
        <f>IF(ISNUMBER(Calc!G27),Calc!G27,NA())</f>
        <v>#N/A</v>
      </c>
    </row>
    <row r="28" spans="2:5" x14ac:dyDescent="0.2">
      <c r="B28">
        <v>26</v>
      </c>
      <c r="C28" t="str">
        <f>IFERROR(IF($B28&lt;=Analysis!$D$5+1,SMALL(Calc!$G$3:$G$52,$B28),""),"")</f>
        <v/>
      </c>
      <c r="D28" t="e">
        <f t="shared" si="0"/>
        <v>#N/A</v>
      </c>
      <c r="E28" t="e">
        <f>IF(ISNUMBER(Calc!G28),Calc!G28,NA())</f>
        <v>#N/A</v>
      </c>
    </row>
    <row r="29" spans="2:5" x14ac:dyDescent="0.2">
      <c r="B29">
        <v>27</v>
      </c>
      <c r="C29" t="str">
        <f>IFERROR(IF($B29&lt;=Analysis!$D$5+1,SMALL(Calc!$G$3:$G$52,$B29),""),"")</f>
        <v/>
      </c>
      <c r="D29" t="e">
        <f t="shared" si="0"/>
        <v>#N/A</v>
      </c>
      <c r="E29" t="e">
        <f>IF(ISNUMBER(Calc!G29),Calc!G29,NA())</f>
        <v>#N/A</v>
      </c>
    </row>
    <row r="30" spans="2:5" x14ac:dyDescent="0.2">
      <c r="B30">
        <v>28</v>
      </c>
      <c r="C30" t="str">
        <f>IFERROR(IF($B30&lt;=Analysis!$D$5+1,SMALL(Calc!$G$3:$G$52,$B30),""),"")</f>
        <v/>
      </c>
      <c r="D30" t="e">
        <f t="shared" si="0"/>
        <v>#N/A</v>
      </c>
      <c r="E30" t="e">
        <f>IF(ISNUMBER(Calc!G30),Calc!G30,NA())</f>
        <v>#N/A</v>
      </c>
    </row>
    <row r="31" spans="2:5" x14ac:dyDescent="0.2">
      <c r="B31">
        <v>29</v>
      </c>
      <c r="C31" t="str">
        <f>IFERROR(IF($B31&lt;=Analysis!$D$5+1,SMALL(Calc!$G$3:$G$52,$B31),""),"")</f>
        <v/>
      </c>
      <c r="D31" t="e">
        <f t="shared" si="0"/>
        <v>#N/A</v>
      </c>
      <c r="E31" t="e">
        <f>IF(ISNUMBER(Calc!G31),Calc!G31,NA())</f>
        <v>#N/A</v>
      </c>
    </row>
    <row r="32" spans="2:5" x14ac:dyDescent="0.2">
      <c r="B32">
        <v>30</v>
      </c>
      <c r="C32" t="str">
        <f>IFERROR(IF($B32&lt;=Analysis!$D$5+1,SMALL(Calc!$G$3:$G$52,$B32),""),"")</f>
        <v/>
      </c>
      <c r="D32" t="e">
        <f t="shared" si="0"/>
        <v>#N/A</v>
      </c>
      <c r="E32" t="e">
        <f>IF(ISNUMBER(Calc!G32),Calc!G32,NA())</f>
        <v>#N/A</v>
      </c>
    </row>
    <row r="33" spans="2:5" x14ac:dyDescent="0.2">
      <c r="B33">
        <v>31</v>
      </c>
      <c r="C33" t="str">
        <f>IFERROR(IF($B33&lt;=Analysis!$D$5+1,SMALL(Calc!$G$3:$G$52,$B33),""),"")</f>
        <v/>
      </c>
      <c r="D33" t="e">
        <f t="shared" si="0"/>
        <v>#N/A</v>
      </c>
      <c r="E33" t="e">
        <f>IF(ISNUMBER(Calc!G33),Calc!G33,NA())</f>
        <v>#N/A</v>
      </c>
    </row>
    <row r="34" spans="2:5" x14ac:dyDescent="0.2">
      <c r="B34">
        <v>32</v>
      </c>
      <c r="C34" t="str">
        <f>IFERROR(IF($B34&lt;=Analysis!$D$5+1,SMALL(Calc!$G$3:$G$52,$B34),""),"")</f>
        <v/>
      </c>
      <c r="D34" t="e">
        <f t="shared" si="0"/>
        <v>#N/A</v>
      </c>
      <c r="E34" t="e">
        <f>IF(ISNUMBER(Calc!G34),Calc!G34,NA())</f>
        <v>#N/A</v>
      </c>
    </row>
    <row r="35" spans="2:5" x14ac:dyDescent="0.2">
      <c r="B35">
        <v>33</v>
      </c>
      <c r="C35" t="str">
        <f>IFERROR(IF($B35&lt;=Analysis!$D$5+1,SMALL(Calc!$G$3:$G$52,$B35),""),"")</f>
        <v/>
      </c>
      <c r="D35" t="e">
        <f t="shared" si="0"/>
        <v>#N/A</v>
      </c>
      <c r="E35" t="e">
        <f>IF(ISNUMBER(Calc!G35),Calc!G35,NA())</f>
        <v>#N/A</v>
      </c>
    </row>
    <row r="36" spans="2:5" x14ac:dyDescent="0.2">
      <c r="B36">
        <v>34</v>
      </c>
      <c r="C36" t="str">
        <f>IFERROR(IF($B36&lt;=Analysis!$D$5+1,SMALL(Calc!$G$3:$G$52,$B36),""),"")</f>
        <v/>
      </c>
      <c r="D36" t="e">
        <f t="shared" si="0"/>
        <v>#N/A</v>
      </c>
      <c r="E36" t="e">
        <f>IF(ISNUMBER(Calc!G36),Calc!G36,NA())</f>
        <v>#N/A</v>
      </c>
    </row>
    <row r="37" spans="2:5" x14ac:dyDescent="0.2">
      <c r="B37">
        <v>35</v>
      </c>
      <c r="C37" t="str">
        <f>IFERROR(IF($B37&lt;=Analysis!$D$5+1,SMALL(Calc!$G$3:$G$52,$B37),""),"")</f>
        <v/>
      </c>
      <c r="D37" t="e">
        <f t="shared" si="0"/>
        <v>#N/A</v>
      </c>
      <c r="E37" t="e">
        <f>IF(ISNUMBER(Calc!G37),Calc!G37,NA())</f>
        <v>#N/A</v>
      </c>
    </row>
    <row r="38" spans="2:5" x14ac:dyDescent="0.2">
      <c r="B38">
        <v>36</v>
      </c>
      <c r="C38" t="str">
        <f>IFERROR(IF($B38&lt;=Analysis!$D$5+1,SMALL(Calc!$G$3:$G$52,$B38),""),"")</f>
        <v/>
      </c>
      <c r="D38" t="e">
        <f t="shared" si="0"/>
        <v>#N/A</v>
      </c>
      <c r="E38" t="e">
        <f>IF(ISNUMBER(Calc!G38),Calc!G38,NA())</f>
        <v>#N/A</v>
      </c>
    </row>
    <row r="39" spans="2:5" x14ac:dyDescent="0.2">
      <c r="B39">
        <v>37</v>
      </c>
      <c r="C39" t="str">
        <f>IFERROR(IF($B39&lt;=Analysis!$D$5+1,SMALL(Calc!$G$3:$G$52,$B39),""),"")</f>
        <v/>
      </c>
      <c r="D39" t="e">
        <f t="shared" si="0"/>
        <v>#N/A</v>
      </c>
      <c r="E39" t="e">
        <f>IF(ISNUMBER(Calc!G39),Calc!G39,NA())</f>
        <v>#N/A</v>
      </c>
    </row>
    <row r="40" spans="2:5" x14ac:dyDescent="0.2">
      <c r="B40">
        <v>38</v>
      </c>
      <c r="C40" t="str">
        <f>IFERROR(IF($B40&lt;=Analysis!$D$5+1,SMALL(Calc!$G$3:$G$52,$B40),""),"")</f>
        <v/>
      </c>
      <c r="D40" t="e">
        <f t="shared" si="0"/>
        <v>#N/A</v>
      </c>
      <c r="E40" t="e">
        <f>IF(ISNUMBER(Calc!G40),Calc!G40,NA())</f>
        <v>#N/A</v>
      </c>
    </row>
    <row r="41" spans="2:5" x14ac:dyDescent="0.2">
      <c r="B41">
        <v>39</v>
      </c>
      <c r="C41" t="str">
        <f>IFERROR(IF($B41&lt;=Analysis!$D$5+1,SMALL(Calc!$G$3:$G$52,$B41),""),"")</f>
        <v/>
      </c>
      <c r="D41" t="e">
        <f t="shared" si="0"/>
        <v>#N/A</v>
      </c>
      <c r="E41" t="e">
        <f>IF(ISNUMBER(Calc!G41),Calc!G41,NA())</f>
        <v>#N/A</v>
      </c>
    </row>
    <row r="42" spans="2:5" x14ac:dyDescent="0.2">
      <c r="B42">
        <v>40</v>
      </c>
      <c r="C42" t="str">
        <f>IFERROR(IF($B42&lt;=Analysis!$D$5+1,SMALL(Calc!$G$3:$G$52,$B42),""),"")</f>
        <v/>
      </c>
      <c r="D42" t="e">
        <f t="shared" si="0"/>
        <v>#N/A</v>
      </c>
      <c r="E42" t="e">
        <f>IF(ISNUMBER(Calc!G42),Calc!G42,NA())</f>
        <v>#N/A</v>
      </c>
    </row>
    <row r="43" spans="2:5" x14ac:dyDescent="0.2">
      <c r="B43">
        <v>41</v>
      </c>
      <c r="C43" t="str">
        <f>IFERROR(IF($B43&lt;=Analysis!$D$5+1,SMALL(Calc!$G$3:$G$52,$B43),""),"")</f>
        <v/>
      </c>
      <c r="D43" t="e">
        <f t="shared" si="0"/>
        <v>#N/A</v>
      </c>
      <c r="E43" t="e">
        <f>IF(ISNUMBER(Calc!G43),Calc!G43,NA())</f>
        <v>#N/A</v>
      </c>
    </row>
    <row r="44" spans="2:5" x14ac:dyDescent="0.2">
      <c r="B44">
        <v>42</v>
      </c>
      <c r="C44" t="str">
        <f>IFERROR(IF($B44&lt;=Analysis!$D$5+1,SMALL(Calc!$G$3:$G$52,$B44),""),"")</f>
        <v/>
      </c>
      <c r="D44" t="e">
        <f t="shared" si="0"/>
        <v>#N/A</v>
      </c>
      <c r="E44" t="e">
        <f>IF(ISNUMBER(Calc!G44),Calc!G44,NA())</f>
        <v>#N/A</v>
      </c>
    </row>
    <row r="45" spans="2:5" x14ac:dyDescent="0.2">
      <c r="B45">
        <v>43</v>
      </c>
      <c r="C45" t="str">
        <f>IFERROR(IF($B45&lt;=Analysis!$D$5+1,SMALL(Calc!$G$3:$G$52,$B45),""),"")</f>
        <v/>
      </c>
      <c r="D45" t="e">
        <f t="shared" si="0"/>
        <v>#N/A</v>
      </c>
      <c r="E45" t="e">
        <f>IF(ISNUMBER(Calc!G45),Calc!G45,NA())</f>
        <v>#N/A</v>
      </c>
    </row>
    <row r="46" spans="2:5" x14ac:dyDescent="0.2">
      <c r="B46">
        <v>44</v>
      </c>
      <c r="C46" t="str">
        <f>IFERROR(IF($B46&lt;=Analysis!$D$5+1,SMALL(Calc!$G$3:$G$52,$B46),""),"")</f>
        <v/>
      </c>
      <c r="D46" t="e">
        <f t="shared" si="0"/>
        <v>#N/A</v>
      </c>
      <c r="E46" t="e">
        <f>IF(ISNUMBER(Calc!G46),Calc!G46,NA())</f>
        <v>#N/A</v>
      </c>
    </row>
    <row r="47" spans="2:5" x14ac:dyDescent="0.2">
      <c r="B47">
        <v>45</v>
      </c>
      <c r="C47" t="str">
        <f>IFERROR(IF($B47&lt;=Analysis!$D$5+1,SMALL(Calc!$G$3:$G$52,$B47),""),"")</f>
        <v/>
      </c>
      <c r="D47" t="e">
        <f t="shared" si="0"/>
        <v>#N/A</v>
      </c>
      <c r="E47" t="e">
        <f>IF(ISNUMBER(Calc!G47),Calc!G47,NA())</f>
        <v>#N/A</v>
      </c>
    </row>
    <row r="48" spans="2:5" x14ac:dyDescent="0.2">
      <c r="B48">
        <v>46</v>
      </c>
      <c r="C48" t="str">
        <f>IFERROR(IF($B48&lt;=Analysis!$D$5+1,SMALL(Calc!$G$3:$G$52,$B48),""),"")</f>
        <v/>
      </c>
      <c r="D48" t="e">
        <f t="shared" si="0"/>
        <v>#N/A</v>
      </c>
      <c r="E48" t="e">
        <f>IF(ISNUMBER(Calc!G48),Calc!G48,NA())</f>
        <v>#N/A</v>
      </c>
    </row>
    <row r="49" spans="1:20" x14ac:dyDescent="0.2">
      <c r="B49">
        <v>47</v>
      </c>
      <c r="C49" t="str">
        <f>IFERROR(IF($B49&lt;=Analysis!$D$5+1,SMALL(Calc!$G$3:$G$52,$B49),""),"")</f>
        <v/>
      </c>
      <c r="D49" t="e">
        <f t="shared" si="0"/>
        <v>#N/A</v>
      </c>
      <c r="E49" t="e">
        <f>IF(ISNUMBER(Calc!G49),Calc!G49,NA())</f>
        <v>#N/A</v>
      </c>
    </row>
    <row r="50" spans="1:20" x14ac:dyDescent="0.2">
      <c r="B50">
        <v>48</v>
      </c>
      <c r="C50" t="str">
        <f>IFERROR(IF($B50&lt;=Analysis!$D$5+1,SMALL(Calc!$G$3:$G$52,$B50),""),"")</f>
        <v/>
      </c>
      <c r="D50" t="e">
        <f t="shared" si="0"/>
        <v>#N/A</v>
      </c>
      <c r="E50" t="e">
        <f>IF(ISNUMBER(Calc!G50),Calc!G50,NA())</f>
        <v>#N/A</v>
      </c>
    </row>
    <row r="51" spans="1:20" x14ac:dyDescent="0.2">
      <c r="B51">
        <v>49</v>
      </c>
      <c r="C51" t="str">
        <f>IFERROR(IF($B51&lt;=Analysis!$D$5+1,SMALL(Calc!$G$3:$G$52,$B51),""),"")</f>
        <v/>
      </c>
      <c r="D51" t="e">
        <f t="shared" si="0"/>
        <v>#N/A</v>
      </c>
      <c r="E51" t="e">
        <f>IF(ISNUMBER(Calc!G51),Calc!G51,NA())</f>
        <v>#N/A</v>
      </c>
    </row>
    <row r="52" spans="1:20" x14ac:dyDescent="0.2">
      <c r="B52">
        <v>50</v>
      </c>
      <c r="C52" t="str">
        <f>IFERROR(IF($B52&lt;=Analysis!$D$5+1,SMALL(Calc!$G$3:$G$52,$B52),""),"")</f>
        <v/>
      </c>
      <c r="D52" t="e">
        <f t="shared" si="0"/>
        <v>#N/A</v>
      </c>
      <c r="E52" t="e">
        <f>IF(ISNUMBER(Calc!G52),Calc!G52,NA())</f>
        <v>#N/A</v>
      </c>
    </row>
    <row r="53" spans="1:20" x14ac:dyDescent="0.2">
      <c r="B53">
        <v>51</v>
      </c>
      <c r="C53" t="str">
        <f>IFERROR(IF($B53&lt;=Analysis!$D$5+1,SMALL(Calc!$G$3:$G$52,$B53),""),"")</f>
        <v/>
      </c>
      <c r="D53" t="e">
        <f t="shared" si="0"/>
        <v>#N/A</v>
      </c>
      <c r="E53" t="e">
        <f>IF(ISNUMBER(Calc!G53),Calc!G53,NA())</f>
        <v>#N/A</v>
      </c>
    </row>
    <row r="55" spans="1:20" x14ac:dyDescent="0.2">
      <c r="A55" s="665" t="str" cm="1">
        <f t="array" ref="A55">IFERROR(INDEX(Tekst!$B$1:$U$300,59,Tabeller!$C$28),"")</f>
        <v>Fordeling</v>
      </c>
      <c r="B55" s="665"/>
      <c r="C55" s="665"/>
      <c r="D55" s="665"/>
      <c r="E55" s="665"/>
      <c r="F55" s="665"/>
      <c r="G55" s="665"/>
    </row>
    <row r="56" spans="1:20" x14ac:dyDescent="0.2">
      <c r="A56" s="665"/>
      <c r="B56" s="665"/>
      <c r="C56" s="665"/>
      <c r="D56" s="665"/>
      <c r="E56" s="665"/>
      <c r="F56" s="665"/>
      <c r="G56" s="665"/>
    </row>
    <row r="57" spans="1:20" x14ac:dyDescent="0.2">
      <c r="B57" s="577" t="str" cm="1">
        <f t="array" ref="B57">IFERROR(INDEX(Tekst!$B$1:$U$300,54,Tabeller!$C$28),"")</f>
        <v>Log-normalfordelingsplott</v>
      </c>
      <c r="C57" s="577"/>
      <c r="D57" s="577"/>
      <c r="E57" s="577" t="str" cm="1">
        <f t="array" ref="E57">IFERROR(INDEX(Tekst!$B$1:$U$300,55,Tabeller!$C$28),"")</f>
        <v>Normalfordelingsplott</v>
      </c>
      <c r="F57" s="577"/>
      <c r="G57" s="577"/>
      <c r="H57" t="s">
        <v>219</v>
      </c>
      <c r="I57" t="str" cm="1">
        <f t="array" ref="I57">IFERROR(INDEX(Tekst!$B$1:$U$300,52,Tabeller!$C$28),"")</f>
        <v>Nummer</v>
      </c>
      <c r="P57" s="274" t="str">
        <f>IF(Information!O41=Tekst!$B$1,CONCATENATE(Tekst!O71," (y)"),IF(Information!O41=Tekst!P36,CONCATENATE(Tekst!P71," (y)"),""))</f>
        <v xml:space="preserve"> (y)</v>
      </c>
      <c r="Q57" s="275">
        <f>'Calc (W-test)'!$H$3</f>
        <v>1.8226298956299933</v>
      </c>
      <c r="R57" s="277" t="s">
        <v>1589</v>
      </c>
      <c r="T57" s="277" t="s">
        <v>1591</v>
      </c>
    </row>
    <row r="58" spans="1:20" x14ac:dyDescent="0.2">
      <c r="A58" s="1" t="s">
        <v>225</v>
      </c>
      <c r="B58" s="398">
        <f>(Analysis!$D$19*(Analysis!$D$20^(2.33)))/100</f>
        <v>0.69226413445031543</v>
      </c>
      <c r="C58" s="398"/>
      <c r="D58" s="398"/>
      <c r="E58" s="398">
        <f>(Analysis!$D$16-Analysis!$D$17*-2.33)/100</f>
        <v>0.28414149999999999</v>
      </c>
      <c r="F58" s="398"/>
      <c r="G58" s="398"/>
      <c r="H58" t="s">
        <v>218</v>
      </c>
      <c r="I58" t="str" cm="1">
        <f t="array" ref="I58">CONCATENATE(IFERROR(INDEX(Tekst!$B$1:$U$300,53,Tabeller!$C$28),"")," (",Survey!$H$11,")")</f>
        <v>Konsentrasjon (ppm)</v>
      </c>
      <c r="P58" s="274" t="str">
        <f>IF(Information!O41=Tekst!$B$1,CONCATENATE(Tekst!O72," (s_y)"),IF(Information!O41=Tekst!P36,CONCATENATE(Tekst!P72," (s_y)"),""))</f>
        <v xml:space="preserve"> (s_y)</v>
      </c>
      <c r="Q58" s="276">
        <f>'Calc (W-test)'!$H$4</f>
        <v>1.0362589918421163</v>
      </c>
      <c r="R58" s="277" t="s">
        <v>1590</v>
      </c>
      <c r="T58" s="277" t="s">
        <v>1588</v>
      </c>
    </row>
    <row r="59" spans="1:20" x14ac:dyDescent="0.2">
      <c r="A59" s="1"/>
      <c r="B59" s="1" t="str" cm="1">
        <f t="array" ref="B59">IFERROR(INDEX(Tekst!$B$1:$U$300,56,Tabeller!$C$28),"")</f>
        <v>AM (MVUE)</v>
      </c>
      <c r="C59" s="1" t="str" cm="1">
        <f t="array" ref="C59">IFERROR(INDEX(Tekst!$B$1:$U$300,57,Tabeller!$C$28),"")</f>
        <v>95%-il</v>
      </c>
      <c r="D59" s="1" t="str" cm="1">
        <f t="array" ref="D59">IFERROR(INDEX(Tekst!$B$1:$U$300,58,Tabeller!$C$28),"")</f>
        <v>EØK</v>
      </c>
      <c r="E59" s="1" t="s">
        <v>98</v>
      </c>
      <c r="F59" s="1" t="str" cm="1">
        <f t="array" ref="F59">IFERROR(INDEX(Tekst!$B$1:$U$300,57,Tabeller!$C$28),"")</f>
        <v>95%-il</v>
      </c>
      <c r="G59" s="1" t="str" cm="1">
        <f t="array" ref="G59">IFERROR(INDEX(Tekst!$B$1:$U$300,58,Tabeller!$C$28),"")</f>
        <v>EØK</v>
      </c>
    </row>
    <row r="60" spans="1:20" x14ac:dyDescent="0.2">
      <c r="A60" s="1" t="s">
        <v>226</v>
      </c>
      <c r="B60">
        <v>0</v>
      </c>
      <c r="C60" s="43"/>
      <c r="D60" s="17"/>
      <c r="E60">
        <v>0</v>
      </c>
      <c r="F60" s="43"/>
      <c r="G60" s="17"/>
    </row>
    <row r="61" spans="1:20" x14ac:dyDescent="0.2">
      <c r="B61">
        <f>MAX($C$68:$C$167)</f>
        <v>0.10641384512892324</v>
      </c>
      <c r="C61" s="43"/>
      <c r="D61" s="17"/>
      <c r="E61">
        <f>MAX($F$68:$F$167)</f>
        <v>4.8919475354729347E-2</v>
      </c>
      <c r="F61" s="43"/>
      <c r="G61" s="17"/>
    </row>
    <row r="62" spans="1:20" x14ac:dyDescent="0.2">
      <c r="A62" s="1" t="s">
        <v>223</v>
      </c>
      <c r="B62" s="41">
        <f>Analysis!K$13</f>
        <v>9.6828720587525439</v>
      </c>
      <c r="C62" s="3">
        <f>Analysis!$K$16</f>
        <v>34.037425582807302</v>
      </c>
      <c r="D62" s="3">
        <f>Analysis!$K$17</f>
        <v>52.971738036210645</v>
      </c>
      <c r="E62" s="41">
        <f>Analysis!$J$13</f>
        <v>0</v>
      </c>
      <c r="F62" s="3">
        <f>Analysis!$J$16</f>
        <v>22.827974999999999</v>
      </c>
      <c r="G62" s="3">
        <f>Analysis!$J$17</f>
        <v>26.310396354280311</v>
      </c>
    </row>
    <row r="63" spans="1:20" x14ac:dyDescent="0.2">
      <c r="B63" s="41">
        <f>$B$62</f>
        <v>9.6828720587525439</v>
      </c>
      <c r="C63">
        <f>$C$62</f>
        <v>34.037425582807302</v>
      </c>
      <c r="D63">
        <f>$D$62</f>
        <v>52.971738036210645</v>
      </c>
      <c r="E63" s="41">
        <f>$E$62</f>
        <v>0</v>
      </c>
      <c r="F63">
        <f>$F$62</f>
        <v>22.827974999999999</v>
      </c>
      <c r="G63">
        <f>$G$62</f>
        <v>26.310396354280311</v>
      </c>
    </row>
    <row r="64" spans="1:20" x14ac:dyDescent="0.2">
      <c r="A64" s="1" t="s">
        <v>226</v>
      </c>
      <c r="B64">
        <v>0</v>
      </c>
      <c r="C64">
        <v>0</v>
      </c>
      <c r="D64">
        <v>0</v>
      </c>
      <c r="E64">
        <v>0</v>
      </c>
      <c r="F64">
        <v>0</v>
      </c>
      <c r="G64">
        <v>0</v>
      </c>
    </row>
    <row r="65" spans="1:7" x14ac:dyDescent="0.2">
      <c r="A65" s="1"/>
      <c r="B65">
        <f>MAX($C$68:$C$167)</f>
        <v>0.10641384512892324</v>
      </c>
      <c r="C65">
        <f>MAX($C$68:$C$167)</f>
        <v>0.10641384512892324</v>
      </c>
      <c r="D65">
        <f>$C$65</f>
        <v>0.10641384512892324</v>
      </c>
      <c r="E65">
        <f>MAX($F$68:$F$167)</f>
        <v>4.8919475354729347E-2</v>
      </c>
      <c r="F65">
        <f>MAX($F$68:$F$167)</f>
        <v>4.8919475354729347E-2</v>
      </c>
      <c r="G65">
        <f>$F$65</f>
        <v>4.8919475354729347E-2</v>
      </c>
    </row>
    <row r="66" spans="1:7" x14ac:dyDescent="0.2">
      <c r="A66" s="1"/>
    </row>
    <row r="67" spans="1:7" x14ac:dyDescent="0.2">
      <c r="B67" t="s">
        <v>84</v>
      </c>
      <c r="C67" t="s">
        <v>224</v>
      </c>
      <c r="E67" t="s">
        <v>84</v>
      </c>
      <c r="F67" t="s">
        <v>224</v>
      </c>
    </row>
    <row r="68" spans="1:7" x14ac:dyDescent="0.2">
      <c r="B68">
        <f>$B$58</f>
        <v>0.69226413445031543</v>
      </c>
      <c r="C68">
        <f>(EXP(((LN($B68)-'Calc (W-test)'!$H$3)^2)/(-2*('Calc (W-test)'!$H$4^2))))/($B68*'Calc (W-test)'!$H$4*SQRT(2*PI()))</f>
        <v>5.9558945720727445E-2</v>
      </c>
      <c r="E68">
        <f>$E$58</f>
        <v>0.28414149999999999</v>
      </c>
      <c r="F68">
        <f>_xlfn.NORM.DIST($E68,Analysis!$D$16,Analysis!$D$17,FALSE)</f>
        <v>2.6144439618557183E-2</v>
      </c>
    </row>
    <row r="69" spans="1:7" x14ac:dyDescent="0.2">
      <c r="B69">
        <f t="shared" ref="B69:B100" si="1">$B68+$B$58</f>
        <v>1.3845282689006309</v>
      </c>
      <c r="C69">
        <f>(EXP(((LN($B69)-'Calc (W-test)'!$H$3)^2)/(-2*('Calc (W-test)'!$H$4^2))))/($B69*'Calc (W-test)'!$H$4*SQRT(2*PI()))</f>
        <v>9.7905264714820153E-2</v>
      </c>
      <c r="E69">
        <f t="shared" ref="E69:E100" si="2">$E$58+$E68</f>
        <v>0.56828299999999998</v>
      </c>
      <c r="F69">
        <f>_xlfn.NORM.DIST($E69,Analysis!$D$16,Analysis!$D$17,FALSE)</f>
        <v>2.7167814903041831E-2</v>
      </c>
    </row>
    <row r="70" spans="1:7" x14ac:dyDescent="0.2">
      <c r="B70">
        <f t="shared" si="1"/>
        <v>2.0767924033509462</v>
      </c>
      <c r="C70">
        <f>(EXP(((LN($B70)-'Calc (W-test)'!$H$3)^2)/(-2*('Calc (W-test)'!$H$4^2))))/($B70*'Calc (W-test)'!$H$4*SQRT(2*PI()))</f>
        <v>0.10641384512892324</v>
      </c>
      <c r="E70">
        <f t="shared" si="2"/>
        <v>0.85242449999999992</v>
      </c>
      <c r="F70">
        <f>_xlfn.NORM.DIST($E70,Analysis!$D$16,Analysis!$D$17,FALSE)</f>
        <v>2.8196996147976508E-2</v>
      </c>
    </row>
    <row r="71" spans="1:7" x14ac:dyDescent="0.2">
      <c r="B71">
        <f t="shared" si="1"/>
        <v>2.7690565378012617</v>
      </c>
      <c r="C71">
        <f>(EXP(((LN($B71)-'Calc (W-test)'!$H$3)^2)/(-2*('Calc (W-test)'!$H$4^2))))/($B71*'Calc (W-test)'!$H$4*SQRT(2*PI()))</f>
        <v>0.10288535099407224</v>
      </c>
      <c r="E71">
        <f t="shared" si="2"/>
        <v>1.136566</v>
      </c>
      <c r="F71">
        <f>_xlfn.NORM.DIST($E71,Analysis!$D$16,Analysis!$D$17,FALSE)</f>
        <v>2.9229658642605967E-2</v>
      </c>
    </row>
    <row r="72" spans="1:7" x14ac:dyDescent="0.2">
      <c r="B72">
        <f t="shared" si="1"/>
        <v>3.4613206722515772</v>
      </c>
      <c r="C72">
        <f>(EXP(((LN($B72)-'Calc (W-test)'!$H$3)^2)/(-2*('Calc (W-test)'!$H$4^2))))/($B72*'Calc (W-test)'!$H$4*SQRT(2*PI()))</f>
        <v>9.5048247672692765E-2</v>
      </c>
      <c r="E72">
        <f t="shared" si="2"/>
        <v>1.4207075</v>
      </c>
      <c r="F72">
        <f>_xlfn.NORM.DIST($E72,Analysis!$D$16,Analysis!$D$17,FALSE)</f>
        <v>3.0263378197206023E-2</v>
      </c>
    </row>
    <row r="73" spans="1:7" x14ac:dyDescent="0.2">
      <c r="B73">
        <f t="shared" si="1"/>
        <v>4.1535848067018923</v>
      </c>
      <c r="C73">
        <f>(EXP(((LN($B73)-'Calc (W-test)'!$H$3)^2)/(-2*('Calc (W-test)'!$H$4^2))))/($B73*'Calc (W-test)'!$H$4*SQRT(2*PI()))</f>
        <v>8.6075720218165508E-2</v>
      </c>
      <c r="E73">
        <f t="shared" si="2"/>
        <v>1.7048490000000001</v>
      </c>
      <c r="F73">
        <f>_xlfn.NORM.DIST($E73,Analysis!$D$16,Analysis!$D$17,FALSE)</f>
        <v>3.1295639476568188E-2</v>
      </c>
    </row>
    <row r="74" spans="1:7" x14ac:dyDescent="0.2">
      <c r="B74">
        <f t="shared" si="1"/>
        <v>4.8458489411522079</v>
      </c>
      <c r="C74">
        <f>(EXP(((LN($B74)-'Calc (W-test)'!$H$3)^2)/(-2*('Calc (W-test)'!$H$4^2))))/($B74*'Calc (W-test)'!$H$4*SQRT(2*PI()))</f>
        <v>7.7264956083746811E-2</v>
      </c>
      <c r="E74">
        <f t="shared" si="2"/>
        <v>1.9889905000000001</v>
      </c>
      <c r="F74">
        <f>_xlfn.NORM.DIST($E74,Analysis!$D$16,Analysis!$D$17,FALSE)</f>
        <v>3.2323845195809824E-2</v>
      </c>
    </row>
    <row r="75" spans="1:7" x14ac:dyDescent="0.2">
      <c r="B75">
        <f t="shared" si="1"/>
        <v>5.5381130756025234</v>
      </c>
      <c r="C75">
        <f>(EXP(((LN($B75)-'Calc (W-test)'!$H$3)^2)/(-2*('Calc (W-test)'!$H$4^2))))/($B75*'Calc (W-test)'!$H$4*SQRT(2*PI()))</f>
        <v>6.9117734407736012E-2</v>
      </c>
      <c r="E75">
        <f t="shared" si="2"/>
        <v>2.2731319999999999</v>
      </c>
      <c r="F75">
        <f>_xlfn.NORM.DIST($E75,Analysis!$D$16,Analysis!$D$17,FALSE)</f>
        <v>3.3345326140917432E-2</v>
      </c>
    </row>
    <row r="76" spans="1:7" x14ac:dyDescent="0.2">
      <c r="B76">
        <f t="shared" si="1"/>
        <v>6.230377210052839</v>
      </c>
      <c r="C76">
        <f>(EXP(((LN($B76)-'Calc (W-test)'!$H$3)^2)/(-2*('Calc (W-test)'!$H$4^2))))/($B76*'Calc (W-test)'!$H$4*SQRT(2*PI()))</f>
        <v>6.1789978315544114E-2</v>
      </c>
      <c r="E76">
        <f t="shared" si="2"/>
        <v>2.5572735</v>
      </c>
      <c r="F76">
        <f>_xlfn.NORM.DIST($E76,Analysis!$D$16,Analysis!$D$17,FALSE)</f>
        <v>3.4357351968007148E-2</v>
      </c>
    </row>
    <row r="77" spans="1:7" x14ac:dyDescent="0.2">
      <c r="B77">
        <f t="shared" si="1"/>
        <v>6.9226413445031545</v>
      </c>
      <c r="C77">
        <f>(EXP(((LN($B77)-'Calc (W-test)'!$H$3)^2)/(-2*('Calc (W-test)'!$H$4^2))))/($B77*'Calc (W-test)'!$H$4*SQRT(2*PI()))</f>
        <v>5.5287342983067742E-2</v>
      </c>
      <c r="E77">
        <f t="shared" si="2"/>
        <v>2.841415</v>
      </c>
      <c r="F77">
        <f>_xlfn.NORM.DIST($E77,Analysis!$D$16,Analysis!$D$17,FALSE)</f>
        <v>3.5357142727029334E-2</v>
      </c>
    </row>
    <row r="78" spans="1:7" x14ac:dyDescent="0.2">
      <c r="B78">
        <f t="shared" si="1"/>
        <v>7.61490547895347</v>
      </c>
      <c r="C78">
        <f>(EXP(((LN($B78)-'Calc (W-test)'!$H$3)^2)/(-2*('Calc (W-test)'!$H$4^2))))/($B78*'Calc (W-test)'!$H$4*SQRT(2*PI()))</f>
        <v>4.9553279699030457E-2</v>
      </c>
      <c r="E78">
        <f t="shared" si="2"/>
        <v>3.1255565000000001</v>
      </c>
      <c r="F78">
        <f>_xlfn.NORM.DIST($E78,Analysis!$D$16,Analysis!$D$17,FALSE)</f>
        <v>3.634188104765082E-2</v>
      </c>
    </row>
    <row r="79" spans="1:7" x14ac:dyDescent="0.2">
      <c r="B79">
        <f t="shared" si="1"/>
        <v>8.3071696134037847</v>
      </c>
      <c r="C79">
        <f>(EXP(((LN($B79)-'Calc (W-test)'!$H$3)^2)/(-2*('Calc (W-test)'!$H$4^2))))/($B79*'Calc (W-test)'!$H$4*SQRT(2*PI()))</f>
        <v>4.45093905178632E-2</v>
      </c>
      <c r="E79">
        <f t="shared" si="2"/>
        <v>3.4096980000000001</v>
      </c>
      <c r="F79">
        <f>_xlfn.NORM.DIST($E79,Analysis!$D$16,Analysis!$D$17,FALSE)</f>
        <v>3.730872491741602E-2</v>
      </c>
    </row>
    <row r="80" spans="1:7" x14ac:dyDescent="0.2">
      <c r="B80">
        <f t="shared" si="1"/>
        <v>8.9994337478541002</v>
      </c>
      <c r="C80">
        <f>(EXP(((LN($B80)-'Calc (W-test)'!$H$3)^2)/(-2*('Calc (W-test)'!$H$4^2))))/($B80*'Calc (W-test)'!$H$4*SQRT(2*PI()))</f>
        <v>4.0073822662697031E-2</v>
      </c>
      <c r="E80">
        <f t="shared" si="2"/>
        <v>3.6938395000000002</v>
      </c>
      <c r="F80">
        <f>_xlfn.NORM.DIST($E80,Analysis!$D$16,Analysis!$D$17,FALSE)</f>
        <v>3.8254820975111563E-2</v>
      </c>
    </row>
    <row r="81" spans="2:6" x14ac:dyDescent="0.2">
      <c r="B81">
        <f t="shared" si="1"/>
        <v>9.6916978823044158</v>
      </c>
      <c r="C81">
        <f>(EXP(((LN($B81)-'Calc (W-test)'!$H$3)^2)/(-2*('Calc (W-test)'!$H$4^2))))/($B81*'Calc (W-test)'!$H$4*SQRT(2*PI()))</f>
        <v>3.6169302085945453E-2</v>
      </c>
      <c r="E81">
        <f t="shared" si="2"/>
        <v>3.9779810000000002</v>
      </c>
      <c r="F81">
        <f>_xlfn.NORM.DIST($E81,Analysis!$D$16,Analysis!$D$17,FALSE)</f>
        <v>3.9177318235633175E-2</v>
      </c>
    </row>
    <row r="82" spans="2:6" x14ac:dyDescent="0.2">
      <c r="B82">
        <f t="shared" si="1"/>
        <v>10.383962016754731</v>
      </c>
      <c r="C82">
        <f>(EXP(((LN($B82)-'Calc (W-test)'!$H$3)^2)/(-2*('Calc (W-test)'!$H$4^2))))/($B82*'Calc (W-test)'!$H$4*SQRT(2*PI()))</f>
        <v>3.2726226025366574E-2</v>
      </c>
      <c r="E82">
        <f t="shared" si="2"/>
        <v>4.2621225000000003</v>
      </c>
      <c r="F82">
        <f>_xlfn.NORM.DIST($E82,Analysis!$D$16,Analysis!$D$17,FALSE)</f>
        <v>4.0073382156664276E-2</v>
      </c>
    </row>
    <row r="83" spans="2:6" x14ac:dyDescent="0.2">
      <c r="B83">
        <f t="shared" si="1"/>
        <v>11.076226151205047</v>
      </c>
      <c r="C83">
        <f>(EXP(((LN($B83)-'Calc (W-test)'!$H$3)^2)/(-2*('Calc (W-test)'!$H$4^2))))/($B83*'Calc (W-test)'!$H$4*SQRT(2*PI()))</f>
        <v>2.9683417306384831E-2</v>
      </c>
      <c r="E83">
        <f t="shared" si="2"/>
        <v>4.5462639999999999</v>
      </c>
      <c r="F83">
        <f>_xlfn.NORM.DIST($E83,Analysis!$D$16,Analysis!$D$17,FALSE)</f>
        <v>4.09402089522104E-2</v>
      </c>
    </row>
    <row r="84" spans="2:6" x14ac:dyDescent="0.2">
      <c r="B84">
        <f t="shared" si="1"/>
        <v>11.768490285655362</v>
      </c>
      <c r="C84">
        <f>(EXP(((LN($B84)-'Calc (W-test)'!$H$3)^2)/(-2*('Calc (W-test)'!$H$4^2))))/($B84*'Calc (W-test)'!$H$4*SQRT(2*PI()))</f>
        <v>2.6987812601532827E-2</v>
      </c>
      <c r="E84">
        <f t="shared" si="2"/>
        <v>4.8304054999999995</v>
      </c>
      <c r="F84">
        <f>_xlfn.NORM.DIST($E84,Analysis!$D$16,Analysis!$D$17,FALSE)</f>
        <v>4.1775040053565048E-2</v>
      </c>
    </row>
    <row r="85" spans="2:6" x14ac:dyDescent="0.2">
      <c r="B85">
        <f t="shared" si="1"/>
        <v>12.460754420105678</v>
      </c>
      <c r="C85">
        <f>(EXP(((LN($B85)-'Calc (W-test)'!$H$3)^2)/(-2*('Calc (W-test)'!$H$4^2))))/($B85*'Calc (W-test)'!$H$4*SQRT(2*PI()))</f>
        <v>2.4593710499480264E-2</v>
      </c>
      <c r="E85">
        <f t="shared" si="2"/>
        <v>5.1145469999999991</v>
      </c>
      <c r="F85">
        <f>_xlfn.NORM.DIST($E85,Analysis!$D$16,Analysis!$D$17,FALSE)</f>
        <v>4.2575176614683546E-2</v>
      </c>
    </row>
    <row r="86" spans="2:6" x14ac:dyDescent="0.2">
      <c r="B86">
        <f t="shared" si="1"/>
        <v>13.153018554555993</v>
      </c>
      <c r="C86">
        <f>(EXP(((LN($B86)-'Calc (W-test)'!$H$3)^2)/(-2*('Calc (W-test)'!$H$4^2))))/($B86*'Calc (W-test)'!$H$4*SQRT(2*PI()))</f>
        <v>2.2461884634595863E-2</v>
      </c>
      <c r="E86">
        <f t="shared" si="2"/>
        <v>5.3986884999999987</v>
      </c>
      <c r="F86">
        <f>_xlfn.NORM.DIST($E86,Analysis!$D$16,Analysis!$D$17,FALSE)</f>
        <v>4.3337993956269256E-2</v>
      </c>
    </row>
    <row r="87" spans="2:6" x14ac:dyDescent="0.2">
      <c r="B87">
        <f t="shared" si="1"/>
        <v>13.845282689006309</v>
      </c>
      <c r="C87">
        <f>(EXP(((LN($B87)-'Calc (W-test)'!$H$3)^2)/(-2*('Calc (W-test)'!$H$4^2))))/($B87*'Calc (W-test)'!$H$4*SQRT(2*PI()))</f>
        <v>2.055870602381028E-2</v>
      </c>
      <c r="E87">
        <f t="shared" si="2"/>
        <v>5.6828299999999983</v>
      </c>
      <c r="F87">
        <f>_xlfn.NORM.DIST($E87,Analysis!$D$16,Analysis!$D$17,FALSE)</f>
        <v>4.4060955841182969E-2</v>
      </c>
    </row>
    <row r="88" spans="2:6" x14ac:dyDescent="0.2">
      <c r="B88">
        <f t="shared" si="1"/>
        <v>14.537546823456625</v>
      </c>
      <c r="C88">
        <f>(EXP(((LN($B88)-'Calc (W-test)'!$H$3)^2)/(-2*('Calc (W-test)'!$H$4^2))))/($B88*'Calc (W-test)'!$H$4*SQRT(2*PI()))</f>
        <v>1.885533749737579E-2</v>
      </c>
      <c r="E88">
        <f t="shared" si="2"/>
        <v>5.9669714999999979</v>
      </c>
      <c r="F88">
        <f>_xlfn.NORM.DIST($E88,Analysis!$D$16,Analysis!$D$17,FALSE)</f>
        <v>4.4741628473110064E-2</v>
      </c>
    </row>
    <row r="89" spans="2:6" x14ac:dyDescent="0.2">
      <c r="B89">
        <f t="shared" si="1"/>
        <v>15.22981095790694</v>
      </c>
      <c r="C89">
        <f>(EXP(((LN($B89)-'Calc (W-test)'!$H$3)^2)/(-2*('Calc (W-test)'!$H$4^2))))/($B89*'Calc (W-test)'!$H$4*SQRT(2*PI()))</f>
        <v>1.7327022476077425E-2</v>
      </c>
      <c r="E89">
        <f t="shared" si="2"/>
        <v>6.2511129999999975</v>
      </c>
      <c r="F89">
        <f>_xlfn.NORM.DIST($E89,Analysis!$D$16,Analysis!$D$17,FALSE)</f>
        <v>4.5377694110787813E-2</v>
      </c>
    </row>
    <row r="90" spans="2:6" x14ac:dyDescent="0.2">
      <c r="B90">
        <f t="shared" si="1"/>
        <v>15.922075092357256</v>
      </c>
      <c r="C90">
        <f>(EXP(((LN($B90)-'Calc (W-test)'!$H$3)^2)/(-2*('Calc (W-test)'!$H$4^2))))/($B90*'Calc (W-test)'!$H$4*SQRT(2*PI()))</f>
        <v>1.5952470589271947E-2</v>
      </c>
      <c r="E90">
        <f t="shared" si="2"/>
        <v>6.5352544999999971</v>
      </c>
      <c r="F90">
        <f>_xlfn.NORM.DIST($E90,Analysis!$D$16,Analysis!$D$17,FALSE)</f>
        <v>4.5966964191524212E-2</v>
      </c>
    </row>
    <row r="91" spans="2:6" x14ac:dyDescent="0.2">
      <c r="B91">
        <f t="shared" si="1"/>
        <v>16.614339226807569</v>
      </c>
      <c r="C91">
        <f>(EXP(((LN($B91)-'Calc (W-test)'!$H$3)^2)/(-2*('Calc (W-test)'!$H$4^2))))/($B91*'Calc (W-test)'!$H$4*SQRT(2*PI()))</f>
        <v>1.4713333619609394E-2</v>
      </c>
      <c r="E91">
        <f t="shared" si="2"/>
        <v>6.8193959999999967</v>
      </c>
      <c r="F91">
        <f>_xlfn.NORM.DIST($E91,Analysis!$D$16,Analysis!$D$17,FALSE)</f>
        <v>4.6507391860230153E-2</v>
      </c>
    </row>
    <row r="92" spans="2:6" x14ac:dyDescent="0.2">
      <c r="B92">
        <f t="shared" si="1"/>
        <v>17.306603361257885</v>
      </c>
      <c r="C92">
        <f>(EXP(((LN($B92)-'Calc (W-test)'!$H$3)^2)/(-2*('Calc (W-test)'!$H$4^2))))/($B92*'Calc (W-test)'!$H$4*SQRT(2*PI()))</f>
        <v>1.359376174128433E-2</v>
      </c>
      <c r="E92">
        <f t="shared" si="2"/>
        <v>7.1035374999999963</v>
      </c>
      <c r="F92">
        <f>_xlfn.NORM.DIST($E92,Analysis!$D$16,Analysis!$D$17,FALSE)</f>
        <v>4.6997083803730931E-2</v>
      </c>
    </row>
    <row r="93" spans="2:6" x14ac:dyDescent="0.2">
      <c r="B93">
        <f t="shared" si="1"/>
        <v>17.9988674957082</v>
      </c>
      <c r="C93">
        <f>(EXP(((LN($B93)-'Calc (W-test)'!$H$3)^2)/(-2*('Calc (W-test)'!$H$4^2))))/($B93*'Calc (W-test)'!$H$4*SQRT(2*PI()))</f>
        <v>1.2580029235754091E-2</v>
      </c>
      <c r="E93">
        <f t="shared" si="2"/>
        <v>7.3876789999999959</v>
      </c>
      <c r="F93">
        <f>_xlfn.NORM.DIST($E93,Analysis!$D$16,Analysis!$D$17,FALSE)</f>
        <v>4.7434311294694997E-2</v>
      </c>
    </row>
    <row r="94" spans="2:6" x14ac:dyDescent="0.2">
      <c r="B94">
        <f t="shared" si="1"/>
        <v>18.691131630158516</v>
      </c>
      <c r="C94">
        <f>(EXP(((LN($B94)-'Calc (W-test)'!$H$3)^2)/(-2*('Calc (W-test)'!$H$4^2))))/($B94*'Calc (W-test)'!$H$4*SQRT(2*PI()))</f>
        <v>1.1660219379236813E-2</v>
      </c>
      <c r="E94">
        <f t="shared" si="2"/>
        <v>7.6718204999999955</v>
      </c>
      <c r="F94">
        <f>_xlfn.NORM.DIST($E94,Analysis!$D$16,Analysis!$D$17,FALSE)</f>
        <v>4.7817520355083264E-2</v>
      </c>
    </row>
    <row r="95" spans="2:6" x14ac:dyDescent="0.2">
      <c r="B95">
        <f t="shared" si="1"/>
        <v>19.383395764608832</v>
      </c>
      <c r="C95">
        <f>(EXP(((LN($B95)-'Calc (W-test)'!$H$3)^2)/(-2*('Calc (W-test)'!$H$4^2))))/($B95*'Calc (W-test)'!$H$4*SQRT(2*PI()))</f>
        <v>1.0823959249781323E-2</v>
      </c>
      <c r="E95">
        <f t="shared" si="2"/>
        <v>7.9559619999999951</v>
      </c>
      <c r="F95">
        <f>_xlfn.NORM.DIST($E95,Analysis!$D$16,Analysis!$D$17,FALSE)</f>
        <v>4.8145340955531926E-2</v>
      </c>
    </row>
    <row r="96" spans="2:6" x14ac:dyDescent="0.2">
      <c r="B96">
        <f t="shared" si="1"/>
        <v>20.075659899059147</v>
      </c>
      <c r="C96">
        <f>(EXP(((LN($B96)-'Calc (W-test)'!$H$3)^2)/(-2*('Calc (W-test)'!$H$4^2))))/($B96*'Calc (W-test)'!$H$4*SQRT(2*PI()))</f>
        <v>1.0062196416374026E-2</v>
      </c>
      <c r="E96">
        <f t="shared" si="2"/>
        <v>8.2401034999999947</v>
      </c>
      <c r="F96">
        <f>_xlfn.NORM.DIST($E96,Analysis!$D$16,Analysis!$D$17,FALSE)</f>
        <v>4.8416595174473706E-2</v>
      </c>
    </row>
    <row r="97" spans="2:6" x14ac:dyDescent="0.2">
      <c r="B97">
        <f t="shared" si="1"/>
        <v>20.767924033509463</v>
      </c>
      <c r="C97">
        <f>(EXP(((LN($B97)-'Calc (W-test)'!$H$3)^2)/(-2*('Calc (W-test)'!$H$4^2))))/($B97*'Calc (W-test)'!$H$4*SQRT(2*PI()))</f>
        <v>9.367010662406243E-3</v>
      </c>
      <c r="E97">
        <f t="shared" si="2"/>
        <v>8.5242449999999952</v>
      </c>
      <c r="F97">
        <f>_xlfn.NORM.DIST($E97,Analysis!$D$16,Analysis!$D$17,FALSE)</f>
        <v>4.8630304249006259E-2</v>
      </c>
    </row>
    <row r="98" spans="2:6" x14ac:dyDescent="0.2">
      <c r="B98">
        <f t="shared" si="1"/>
        <v>21.460188167959778</v>
      </c>
      <c r="C98">
        <f>(EXP(((LN($B98)-'Calc (W-test)'!$H$3)^2)/(-2*('Calc (W-test)'!$H$4^2))))/($B98*'Calc (W-test)'!$H$4*SQRT(2*PI()))</f>
        <v>8.7314549783198536E-3</v>
      </c>
      <c r="E98">
        <f t="shared" si="2"/>
        <v>8.8083864999999957</v>
      </c>
      <c r="F98">
        <f>_xlfn.NORM.DIST($E98,Analysis!$D$16,Analysis!$D$17,FALSE)</f>
        <v>4.8785694458447479E-2</v>
      </c>
    </row>
    <row r="99" spans="2:6" x14ac:dyDescent="0.2">
      <c r="B99">
        <f t="shared" si="1"/>
        <v>22.152452302410094</v>
      </c>
      <c r="C99">
        <f>(EXP(((LN($B99)-'Calc (W-test)'!$H$3)^2)/(-2*('Calc (W-test)'!$H$4^2))))/($B99*'Calc (W-test)'!$H$4*SQRT(2*PI()))</f>
        <v>8.1494210044748272E-3</v>
      </c>
      <c r="E99">
        <f t="shared" si="2"/>
        <v>9.0925279999999962</v>
      </c>
      <c r="F99">
        <f>_xlfn.NORM.DIST($E99,Analysis!$D$16,Analysis!$D$17,FALSE)</f>
        <v>4.8882201791085045E-2</v>
      </c>
    </row>
    <row r="100" spans="2:6" x14ac:dyDescent="0.2">
      <c r="B100">
        <f t="shared" si="1"/>
        <v>22.844716436860409</v>
      </c>
      <c r="C100">
        <f>(EXP(((LN($B100)-'Calc (W-test)'!$H$3)^2)/(-2*('Calc (W-test)'!$H$4^2))))/($B100*'Calc (W-test)'!$H$4*SQRT(2*PI()))</f>
        <v>7.6155249131315446E-3</v>
      </c>
      <c r="E100">
        <f t="shared" si="2"/>
        <v>9.3766694999999967</v>
      </c>
      <c r="F100">
        <f>_xlfn.NORM.DIST($E100,Analysis!$D$16,Analysis!$D$17,FALSE)</f>
        <v>4.8919475354729347E-2</v>
      </c>
    </row>
    <row r="101" spans="2:6" x14ac:dyDescent="0.2">
      <c r="B101">
        <f t="shared" ref="B101:B132" si="3">$B100+$B$58</f>
        <v>23.536980571310725</v>
      </c>
      <c r="C101">
        <f>(EXP(((LN($B101)-'Calc (W-test)'!$H$3)^2)/(-2*('Calc (W-test)'!$H$4^2))))/($B101*'Calc (W-test)'!$H$4*SQRT(2*PI()))</f>
        <v>7.125010398226236E-3</v>
      </c>
      <c r="E101">
        <f t="shared" ref="E101:E132" si="4">$E$58+$E100</f>
        <v>9.6608109999999972</v>
      </c>
      <c r="F101">
        <f>_xlfn.NORM.DIST($E101,Analysis!$D$16,Analysis!$D$17,FALSE)</f>
        <v>4.8897379502208821E-2</v>
      </c>
    </row>
    <row r="102" spans="2:6" x14ac:dyDescent="0.2">
      <c r="B102">
        <f t="shared" si="3"/>
        <v>24.22924470576104</v>
      </c>
      <c r="C102">
        <f>(EXP(((LN($B102)-'Calc (W-test)'!$H$3)^2)/(-2*('Calc (W-test)'!$H$4^2))))/($B102*'Calc (W-test)'!$H$4*SQRT(2*PI()))</f>
        <v>6.6736660084993852E-3</v>
      </c>
      <c r="E102">
        <f t="shared" si="4"/>
        <v>9.9449524999999976</v>
      </c>
      <c r="F102">
        <f>_xlfn.NORM.DIST($E102,Analysis!$D$16,Analysis!$D$17,FALSE)</f>
        <v>4.8815994653789926E-2</v>
      </c>
    </row>
    <row r="103" spans="2:6" x14ac:dyDescent="0.2">
      <c r="B103">
        <f t="shared" si="3"/>
        <v>24.921508840211356</v>
      </c>
      <c r="C103">
        <f>(EXP(((LN($B103)-'Calc (W-test)'!$H$3)^2)/(-2*('Calc (W-test)'!$H$4^2))))/($B103*'Calc (W-test)'!$H$4*SQRT(2*PI()))</f>
        <v>6.2577545296564748E-3</v>
      </c>
      <c r="E103">
        <f t="shared" si="4"/>
        <v>10.229093999999998</v>
      </c>
      <c r="F103">
        <f>_xlfn.NORM.DIST($E103,Analysis!$D$16,Analysis!$D$17,FALSE)</f>
        <v>4.8675616809543923E-2</v>
      </c>
    </row>
    <row r="104" spans="2:6" x14ac:dyDescent="0.2">
      <c r="B104">
        <f t="shared" si="3"/>
        <v>25.613772974661671</v>
      </c>
      <c r="C104">
        <f>(EXP(((LN($B104)-'Calc (W-test)'!$H$3)^2)/(-2*('Calc (W-test)'!$H$4^2))))/($B104*'Calc (W-test)'!$H$4*SQRT(2*PI()))</f>
        <v>5.8739525098648535E-3</v>
      </c>
      <c r="E104">
        <f t="shared" si="4"/>
        <v>10.513235499999999</v>
      </c>
      <c r="F104">
        <f>_xlfn.NORM.DIST($E104,Analysis!$D$16,Analysis!$D$17,FALSE)</f>
        <v>4.8476755755798108E-2</v>
      </c>
    </row>
    <row r="105" spans="2:6" x14ac:dyDescent="0.2">
      <c r="B105">
        <f t="shared" si="3"/>
        <v>26.306037109111987</v>
      </c>
      <c r="C105">
        <f>(EXP(((LN($B105)-'Calc (W-test)'!$H$3)^2)/(-2*('Calc (W-test)'!$H$4^2))))/($B105*'Calc (W-test)'!$H$4*SQRT(2*PI()))</f>
        <v>5.5192983436301527E-3</v>
      </c>
      <c r="E105">
        <f t="shared" si="4"/>
        <v>10.797376999999999</v>
      </c>
      <c r="F105">
        <f>_xlfn.NORM.DIST($E105,Analysis!$D$16,Analysis!$D$17,FALSE)</f>
        <v>4.8220131980880147E-2</v>
      </c>
    </row>
    <row r="106" spans="2:6" x14ac:dyDescent="0.2">
      <c r="B106">
        <f t="shared" si="3"/>
        <v>26.998301243562302</v>
      </c>
      <c r="C106">
        <f>(EXP(((LN($B106)-'Calc (W-test)'!$H$3)^2)/(-2*('Calc (W-test)'!$H$4^2))))/($B106*'Calc (W-test)'!$H$4*SQRT(2*PI()))</f>
        <v>5.1911475936802284E-3</v>
      </c>
      <c r="E106">
        <f t="shared" si="4"/>
        <v>11.0815185</v>
      </c>
      <c r="F106">
        <f>_xlfn.NORM.DIST($E106,Analysis!$D$16,Analysis!$D$17,FALSE)</f>
        <v>4.7906672326268988E-2</v>
      </c>
    </row>
    <row r="107" spans="2:6" x14ac:dyDescent="0.2">
      <c r="B107">
        <f t="shared" si="3"/>
        <v>27.690565378012618</v>
      </c>
      <c r="C107">
        <f>(EXP(((LN($B107)-'Calc (W-test)'!$H$3)^2)/(-2*('Calc (W-test)'!$H$4^2))))/($B107*'Calc (W-test)'!$H$4*SQRT(2*PI()))</f>
        <v>4.8871344488149553E-3</v>
      </c>
      <c r="E107">
        <f t="shared" si="4"/>
        <v>11.36566</v>
      </c>
      <c r="F107">
        <f>_xlfn.NORM.DIST($E107,Analysis!$D$16,Analysis!$D$17,FALSE)</f>
        <v>4.7537504409886515E-2</v>
      </c>
    </row>
    <row r="108" spans="2:6" x14ac:dyDescent="0.2">
      <c r="B108">
        <f t="shared" si="3"/>
        <v>28.382829512462934</v>
      </c>
      <c r="C108">
        <f>(EXP(((LN($B108)-'Calc (W-test)'!$H$3)^2)/(-2*('Calc (W-test)'!$H$4^2))))/($B108*'Calc (W-test)'!$H$4*SQRT(2*PI()))</f>
        <v>4.6051383960046127E-3</v>
      </c>
      <c r="E108">
        <f t="shared" si="4"/>
        <v>11.649801500000001</v>
      </c>
      <c r="F108">
        <f>_xlfn.NORM.DIST($E108,Analysis!$D$16,Analysis!$D$17,FALSE)</f>
        <v>4.7113949868486237E-2</v>
      </c>
    </row>
    <row r="109" spans="2:6" x14ac:dyDescent="0.2">
      <c r="B109">
        <f t="shared" si="3"/>
        <v>29.075093646913249</v>
      </c>
      <c r="C109">
        <f>(EXP(((LN($B109)-'Calc (W-test)'!$H$3)^2)/(-2*('Calc (W-test)'!$H$4^2))))/($B109*'Calc (W-test)'!$H$4*SQRT(2*PI()))</f>
        <v>4.3432553341504407E-3</v>
      </c>
      <c r="E109">
        <f t="shared" si="4"/>
        <v>11.933943000000001</v>
      </c>
      <c r="F109">
        <f>_xlfn.NORM.DIST($E109,Analysis!$D$16,Analysis!$D$17,FALSE)</f>
        <v>4.6637516475809271E-2</v>
      </c>
    </row>
    <row r="110" spans="2:6" x14ac:dyDescent="0.2">
      <c r="B110">
        <f t="shared" si="3"/>
        <v>29.767357781363565</v>
      </c>
      <c r="C110">
        <f>(EXP(((LN($B110)-'Calc (W-test)'!$H$3)^2)/(-2*('Calc (W-test)'!$H$4^2))))/($B110*'Calc (W-test)'!$H$4*SQRT(2*PI()))</f>
        <v>4.0997724804551156E-3</v>
      </c>
      <c r="E110">
        <f t="shared" si="4"/>
        <v>12.218084500000002</v>
      </c>
      <c r="F110">
        <f>_xlfn.NORM.DIST($E110,Analysis!$D$16,Analysis!$D$17,FALSE)</f>
        <v>4.6109889202280742E-2</v>
      </c>
    </row>
    <row r="111" spans="2:6" x14ac:dyDescent="0.2">
      <c r="B111">
        <f t="shared" si="3"/>
        <v>30.45962191581388</v>
      </c>
      <c r="C111">
        <f>(EXP(((LN($B111)-'Calc (W-test)'!$H$3)^2)/(-2*('Calc (W-test)'!$H$4^2))))/($B111*'Calc (W-test)'!$H$4*SQRT(2*PI()))</f>
        <v>3.8731465228708873E-3</v>
      </c>
      <c r="E111">
        <f t="shared" si="4"/>
        <v>12.502226000000002</v>
      </c>
      <c r="F111">
        <f>_xlfn.NORM.DIST($E111,Analysis!$D$16,Analysis!$D$17,FALSE)</f>
        <v>4.5532920290417792E-2</v>
      </c>
    </row>
    <row r="112" spans="2:6" x14ac:dyDescent="0.2">
      <c r="B112">
        <f t="shared" si="3"/>
        <v>31.151886050264196</v>
      </c>
      <c r="C112">
        <f>(EXP(((LN($B112)-'Calc (W-test)'!$H$3)^2)/(-2*('Calc (W-test)'!$H$4^2))))/($B112*'Calc (W-test)'!$H$4*SQRT(2*PI()))</f>
        <v>3.6619845573444424E-3</v>
      </c>
      <c r="E112">
        <f t="shared" si="4"/>
        <v>12.786367500000003</v>
      </c>
      <c r="F112">
        <f>_xlfn.NORM.DIST($E112,Analysis!$D$16,Analysis!$D$17,FALSE)</f>
        <v>4.4908618427727511E-2</v>
      </c>
    </row>
    <row r="113" spans="2:6" x14ac:dyDescent="0.2">
      <c r="B113">
        <f t="shared" si="3"/>
        <v>31.844150184714511</v>
      </c>
      <c r="C113">
        <f>(EXP(((LN($B113)-'Calc (W-test)'!$H$3)^2)/(-2*('Calc (W-test)'!$H$4^2))))/($B113*'Calc (W-test)'!$H$4*SQRT(2*PI()))</f>
        <v>3.4650274196192793E-3</v>
      </c>
      <c r="E113">
        <f t="shared" si="4"/>
        <v>13.070509000000003</v>
      </c>
      <c r="F113">
        <f>_xlfn.NORM.DIST($E113,Analysis!$D$16,Analysis!$D$17,FALSE)</f>
        <v>4.4239137105614237E-2</v>
      </c>
    </row>
    <row r="114" spans="2:6" x14ac:dyDescent="0.2">
      <c r="B114">
        <f t="shared" si="3"/>
        <v>32.536414319164827</v>
      </c>
      <c r="C114">
        <f>(EXP(((LN($B114)-'Calc (W-test)'!$H$3)^2)/(-2*('Calc (W-test)'!$H$4^2))))/($B114*'Calc (W-test)'!$H$4*SQRT(2*PI()))</f>
        <v>3.2811350806864394E-3</v>
      </c>
      <c r="E114">
        <f t="shared" si="4"/>
        <v>13.354650500000004</v>
      </c>
      <c r="F114">
        <f>_xlfn.NORM.DIST($E114,Analysis!$D$16,Analysis!$D$17,FALSE)</f>
        <v>4.352676225862797E-2</v>
      </c>
    </row>
    <row r="115" spans="2:6" x14ac:dyDescent="0.2">
      <c r="B115">
        <f t="shared" si="3"/>
        <v>33.228678453615139</v>
      </c>
      <c r="C115">
        <f>(EXP(((LN($B115)-'Calc (W-test)'!$H$3)^2)/(-2*('Calc (W-test)'!$H$4^2))))/($B115*'Calc (W-test)'!$H$4*SQRT(2*PI()))</f>
        <v>3.1092738246348301E-3</v>
      </c>
      <c r="E115">
        <f t="shared" si="4"/>
        <v>13.638792000000004</v>
      </c>
      <c r="F115">
        <f>_xlfn.NORM.DIST($E115,Analysis!$D$16,Analysis!$D$17,FALSE)</f>
        <v>4.2773899283215476E-2</v>
      </c>
    </row>
    <row r="116" spans="2:6" x14ac:dyDescent="0.2">
      <c r="B116">
        <f t="shared" si="3"/>
        <v>33.920942588065451</v>
      </c>
      <c r="C116">
        <f>(EXP(((LN($B116)-'Calc (W-test)'!$H$3)^2)/(-2*('Calc (W-test)'!$H$4^2))))/($B116*'Calc (W-test)'!$H$4*SQRT(2*PI()))</f>
        <v>2.9485049693130697E-3</v>
      </c>
      <c r="E116">
        <f t="shared" si="4"/>
        <v>13.922933500000005</v>
      </c>
      <c r="F116">
        <f>_xlfn.NORM.DIST($E116,Analysis!$D$16,Analysis!$D$17,FALSE)</f>
        <v>4.1983059538945336E-2</v>
      </c>
    </row>
    <row r="117" spans="2:6" x14ac:dyDescent="0.2">
      <c r="B117">
        <f t="shared" si="3"/>
        <v>34.613206722515763</v>
      </c>
      <c r="C117">
        <f>(EXP(((LN($B117)-'Calc (W-test)'!$H$3)^2)/(-2*('Calc (W-test)'!$H$4^2))))/($B117*'Calc (W-test)'!$H$4*SQRT(2*PI()))</f>
        <v>2.7979749252437505E-3</v>
      </c>
      <c r="E117">
        <f t="shared" si="4"/>
        <v>14.207075000000005</v>
      </c>
      <c r="F117">
        <f>_xlfn.NORM.DIST($E117,Analysis!$D$16,Analysis!$D$17,FALSE)</f>
        <v>4.1156846437939772E-2</v>
      </c>
    </row>
    <row r="118" spans="2:6" x14ac:dyDescent="0.2">
      <c r="B118">
        <f t="shared" si="3"/>
        <v>35.305470856966075</v>
      </c>
      <c r="C118">
        <f>(EXP(((LN($B118)-'Calc (W-test)'!$H$3)^2)/(-2*('Calc (W-test)'!$H$4^2))))/($B118*'Calc (W-test)'!$H$4*SQRT(2*PI()))</f>
        <v>2.6569064177510882E-3</v>
      </c>
      <c r="E118">
        <f t="shared" si="4"/>
        <v>14.491216500000005</v>
      </c>
      <c r="F118">
        <f>_xlfn.NORM.DIST($E118,Analysis!$D$16,Analysis!$D$17,FALSE)</f>
        <v>4.0297941229946496E-2</v>
      </c>
    </row>
    <row r="119" spans="2:6" x14ac:dyDescent="0.2">
      <c r="B119">
        <f t="shared" si="3"/>
        <v>35.997734991416387</v>
      </c>
      <c r="C119">
        <f>(EXP(((LN($B119)-'Calc (W-test)'!$H$3)^2)/(-2*('Calc (W-test)'!$H$4^2))))/($B119*'Calc (W-test)'!$H$4*SQRT(2*PI()))</f>
        <v>2.5245907221962426E-3</v>
      </c>
      <c r="E119">
        <f t="shared" si="4"/>
        <v>14.775358000000006</v>
      </c>
      <c r="F119">
        <f>_xlfn.NORM.DIST($E119,Analysis!$D$16,Analysis!$D$17,FALSE)</f>
        <v>3.9409088591122243E-2</v>
      </c>
    </row>
    <row r="120" spans="2:6" x14ac:dyDescent="0.2">
      <c r="B120">
        <f t="shared" si="3"/>
        <v>36.689999125866699</v>
      </c>
      <c r="C120">
        <f>(EXP(((LN($B120)-'Calc (W-test)'!$H$3)^2)/(-2*('Calc (W-test)'!$H$4^2))))/($B120*'Calc (W-test)'!$H$4*SQRT(2*PI()))</f>
        <v>2.4003807833210974E-3</v>
      </c>
      <c r="E120">
        <f t="shared" si="4"/>
        <v>15.059499500000006</v>
      </c>
      <c r="F120">
        <f>_xlfn.NORM.DIST($E120,Analysis!$D$16,Analysis!$D$17,FALSE)</f>
        <v>3.8493082124188324E-2</v>
      </c>
    </row>
    <row r="121" spans="2:6" x14ac:dyDescent="0.2">
      <c r="B121">
        <f t="shared" si="3"/>
        <v>37.382263260317011</v>
      </c>
      <c r="C121">
        <f>(EXP(((LN($B121)-'Calc (W-test)'!$H$3)^2)/(-2*('Calc (W-test)'!$H$4^2))))/($B121*'Calc (W-test)'!$H$4*SQRT(2*PI()))</f>
        <v>2.2836851076077657E-3</v>
      </c>
      <c r="E121">
        <f t="shared" si="4"/>
        <v>15.343641000000007</v>
      </c>
      <c r="F121">
        <f>_xlfn.NORM.DIST($E121,Analysis!$D$16,Analysis!$D$17,FALSE)</f>
        <v>3.755274987618152E-2</v>
      </c>
    </row>
    <row r="122" spans="2:6" x14ac:dyDescent="0.2">
      <c r="B122">
        <f t="shared" si="3"/>
        <v>38.074527394767323</v>
      </c>
      <c r="C122">
        <f>(EXP(((LN($B122)-'Calc (W-test)'!$H$3)^2)/(-2*('Calc (W-test)'!$H$4^2))))/($B122*'Calc (W-test)'!$H$4*SQRT(2*PI()))</f>
        <v>2.1739623327856287E-3</v>
      </c>
      <c r="E122">
        <f t="shared" si="4"/>
        <v>15.627782500000007</v>
      </c>
      <c r="F122">
        <f>_xlfn.NORM.DIST($E122,Analysis!$D$16,Analysis!$D$17,FALSE)</f>
        <v>3.6590939977597887E-2</v>
      </c>
    </row>
    <row r="123" spans="2:6" x14ac:dyDescent="0.2">
      <c r="B123">
        <f t="shared" si="3"/>
        <v>38.766791529217635</v>
      </c>
      <c r="C123">
        <f>(EXP(((LN($B123)-'Calc (W-test)'!$H$3)^2)/(-2*('Calc (W-test)'!$H$4^2))))/($B123*'Calc (W-test)'!$H$4*SQRT(2*PI()))</f>
        <v>2.07071639158993E-3</v>
      </c>
      <c r="E123">
        <f t="shared" si="4"/>
        <v>15.911924000000008</v>
      </c>
      <c r="F123">
        <f>_xlfn.NORM.DIST($E123,Analysis!$D$16,Analysis!$D$17,FALSE)</f>
        <v>3.5610506503358952E-2</v>
      </c>
    </row>
    <row r="124" spans="2:6" x14ac:dyDescent="0.2">
      <c r="B124">
        <f t="shared" si="3"/>
        <v>39.459055663667947</v>
      </c>
      <c r="C124">
        <f>(EXP(((LN($B124)-'Calc (W-test)'!$H$3)^2)/(-2*('Calc (W-test)'!$H$4^2))))/($B124*'Calc (W-test)'!$H$4*SQRT(2*PI()))</f>
        <v>1.9734921979521368E-3</v>
      </c>
      <c r="E124">
        <f t="shared" si="4"/>
        <v>16.196065500000007</v>
      </c>
      <c r="F124">
        <f>_xlfn.NORM.DIST($E124,Analysis!$D$16,Analysis!$D$17,FALSE)</f>
        <v>3.4614295651778225E-2</v>
      </c>
    </row>
    <row r="125" spans="2:6" x14ac:dyDescent="0.2">
      <c r="B125">
        <f t="shared" si="3"/>
        <v>40.151319798118259</v>
      </c>
      <c r="C125">
        <f>(EXP(((LN($B125)-'Calc (W-test)'!$H$3)^2)/(-2*('Calc (W-test)'!$H$4^2))))/($B125*'Calc (W-test)'!$H$4*SQRT(2*PI()))</f>
        <v>1.8818717932792307E-3</v>
      </c>
      <c r="E125">
        <f t="shared" si="4"/>
        <v>16.480207000000007</v>
      </c>
      <c r="F125">
        <f>_xlfn.NORM.DIST($E125,Analysis!$D$16,Analysis!$D$17,FALSE)</f>
        <v>3.3605132332636518E-2</v>
      </c>
    </row>
    <row r="126" spans="2:6" x14ac:dyDescent="0.2">
      <c r="B126">
        <f t="shared" si="3"/>
        <v>40.843583932568571</v>
      </c>
      <c r="C126">
        <f>(EXP(((LN($B126)-'Calc (W-test)'!$H$3)^2)/(-2*('Calc (W-test)'!$H$4^2))))/($B126*'Calc (W-test)'!$H$4*SQRT(2*PI()))</f>
        <v>1.7954708986041134E-3</v>
      </c>
      <c r="E126">
        <f t="shared" si="4"/>
        <v>16.764348500000008</v>
      </c>
      <c r="F126">
        <f>_xlfn.NORM.DIST($E126,Analysis!$D$16,Analysis!$D$17,FALSE)</f>
        <v>3.2585807249663507E-2</v>
      </c>
    </row>
    <row r="127" spans="2:6" x14ac:dyDescent="0.2">
      <c r="B127">
        <f t="shared" si="3"/>
        <v>41.535848067018883</v>
      </c>
      <c r="C127">
        <f>(EXP(((LN($B127)-'Calc (W-test)'!$H$3)^2)/(-2*('Calc (W-test)'!$H$4^2))))/($B127*'Calc (W-test)'!$H$4*SQRT(2*PI()))</f>
        <v>1.7139358253690537E-3</v>
      </c>
      <c r="E127">
        <f t="shared" si="4"/>
        <v>17.048490000000008</v>
      </c>
      <c r="F127">
        <f>_xlfn.NORM.DIST($E127,Analysis!$D$16,Analysis!$D$17,FALSE)</f>
        <v>3.1559064556250828E-2</v>
      </c>
    </row>
    <row r="128" spans="2:6" x14ac:dyDescent="0.2">
      <c r="B128">
        <f t="shared" si="3"/>
        <v>42.228112201469195</v>
      </c>
      <c r="C128">
        <f>(EXP(((LN($B128)-'Calc (W-test)'!$H$3)^2)/(-2*('Calc (W-test)'!$H$4^2))))/($B128*'Calc (W-test)'!$H$4*SQRT(2*PI()))</f>
        <v>1.6369407036117898E-3</v>
      </c>
      <c r="E128">
        <f t="shared" si="4"/>
        <v>17.332631500000009</v>
      </c>
      <c r="F128">
        <f>_xlfn.NORM.DIST($E128,Analysis!$D$16,Analysis!$D$17,FALSE)</f>
        <v>3.0527590156178019E-2</v>
      </c>
    </row>
    <row r="129" spans="2:6" x14ac:dyDescent="0.2">
      <c r="B129">
        <f t="shared" si="3"/>
        <v>42.920376335919507</v>
      </c>
      <c r="C129">
        <f>(EXP(((LN($B129)-'Calc (W-test)'!$H$3)^2)/(-2*('Calc (W-test)'!$H$4^2))))/($B129*'Calc (W-test)'!$H$4*SQRT(2*PI()))</f>
        <v>1.5641849915046149E-3</v>
      </c>
      <c r="E129">
        <f t="shared" si="4"/>
        <v>17.616773000000009</v>
      </c>
      <c r="F129">
        <f>_xlfn.NORM.DIST($E129,Analysis!$D$16,Analysis!$D$17,FALSE)</f>
        <v>2.9494000713607804E-2</v>
      </c>
    </row>
    <row r="130" spans="2:6" x14ac:dyDescent="0.2">
      <c r="B130">
        <f t="shared" si="3"/>
        <v>43.612640470369819</v>
      </c>
      <c r="C130">
        <f>(EXP(((LN($B130)-'Calc (W-test)'!$H$3)^2)/(-2*('Calc (W-test)'!$H$4^2))))/($B130*'Calc (W-test)'!$H$4*SQRT(2*PI()))</f>
        <v>1.4953912346728068E-3</v>
      </c>
      <c r="E130">
        <f t="shared" si="4"/>
        <v>17.90091450000001</v>
      </c>
      <c r="F130">
        <f>_xlfn.NORM.DIST($E130,Analysis!$D$16,Analysis!$D$17,FALSE)</f>
        <v>2.8460833428696659E-2</v>
      </c>
    </row>
    <row r="131" spans="2:6" x14ac:dyDescent="0.2">
      <c r="B131">
        <f t="shared" si="3"/>
        <v>44.30490460482013</v>
      </c>
      <c r="C131">
        <f>(EXP(((LN($B131)-'Calc (W-test)'!$H$3)^2)/(-2*('Calc (W-test)'!$H$4^2))))/($B131*'Calc (W-test)'!$H$4*SQRT(2*PI()))</f>
        <v>1.430303047592971E-3</v>
      </c>
      <c r="E131">
        <f t="shared" si="4"/>
        <v>18.18505600000001</v>
      </c>
      <c r="F131">
        <f>_xlfn.NORM.DIST($E131,Analysis!$D$16,Analysis!$D$17,FALSE)</f>
        <v>2.7430536626968011E-2</v>
      </c>
    </row>
    <row r="132" spans="2:6" x14ac:dyDescent="0.2">
      <c r="B132">
        <f t="shared" si="3"/>
        <v>44.997168739270442</v>
      </c>
      <c r="C132">
        <f>(EXP(((LN($B132)-'Calc (W-test)'!$H$3)^2)/(-2*('Calc (W-test)'!$H$4^2))))/($B132*'Calc (W-test)'!$H$4*SQRT(2*PI()))</f>
        <v>1.3686832927311365E-3</v>
      </c>
      <c r="E132">
        <f t="shared" si="4"/>
        <v>18.469197500000011</v>
      </c>
      <c r="F132">
        <f>_xlfn.NORM.DIST($E132,Analysis!$D$16,Analysis!$D$17,FALSE)</f>
        <v>2.6405461202204918E-2</v>
      </c>
    </row>
    <row r="133" spans="2:6" x14ac:dyDescent="0.2">
      <c r="B133">
        <f t="shared" ref="B133:B167" si="5">$B132+$B$58</f>
        <v>45.689432873720754</v>
      </c>
      <c r="C133">
        <f>(EXP(((LN($B133)-'Calc (W-test)'!$H$3)^2)/(-2*('Calc (W-test)'!$H$4^2))))/($B133*'Calc (W-test)'!$H$4*SQRT(2*PI()))</f>
        <v>1.3103124359983673E-3</v>
      </c>
      <c r="E133">
        <f t="shared" ref="E133:E167" si="6">$E$58+$E132</f>
        <v>18.753339000000011</v>
      </c>
      <c r="F133">
        <f>_xlfn.NORM.DIST($E133,Analysis!$D$16,Analysis!$D$17,FALSE)</f>
        <v>2.5387852944133916E-2</v>
      </c>
    </row>
    <row r="134" spans="2:6" x14ac:dyDescent="0.2">
      <c r="B134">
        <f t="shared" si="5"/>
        <v>46.381697008171066</v>
      </c>
      <c r="C134">
        <f>(EXP(((LN($B134)-'Calc (W-test)'!$H$3)^2)/(-2*('Calc (W-test)'!$H$4^2))))/($B134*'Calc (W-test)'!$H$4*SQRT(2*PI()))</f>
        <v>1.2549870596404748E-3</v>
      </c>
      <c r="E134">
        <f t="shared" si="6"/>
        <v>19.037480500000012</v>
      </c>
      <c r="F134">
        <f>_xlfn.NORM.DIST($E134,Analysis!$D$16,Analysis!$D$17,FALSE)</f>
        <v>2.4379845773685498E-2</v>
      </c>
    </row>
    <row r="135" spans="2:6" x14ac:dyDescent="0.2">
      <c r="B135">
        <f t="shared" si="5"/>
        <v>47.073961142621378</v>
      </c>
      <c r="C135">
        <f>(EXP(((LN($B135)-'Calc (W-test)'!$H$3)^2)/(-2*('Calc (W-test)'!$H$4^2))))/($B135*'Calc (W-test)'!$H$4*SQRT(2*PI()))</f>
        <v>1.2025185158911623E-3</v>
      </c>
      <c r="E135">
        <f t="shared" si="6"/>
        <v>19.321622000000012</v>
      </c>
      <c r="F135">
        <f>_xlfn.NORM.DIST($E135,Analysis!$D$16,Analysis!$D$17,FALSE)</f>
        <v>2.3383455900220469E-2</v>
      </c>
    </row>
    <row r="136" spans="2:6" x14ac:dyDescent="0.2">
      <c r="B136">
        <f t="shared" si="5"/>
        <v>47.76622527707169</v>
      </c>
      <c r="C136">
        <f>(EXP(((LN($B136)-'Calc (W-test)'!$H$3)^2)/(-2*('Calc (W-test)'!$H$4^2))))/($B136*'Calc (W-test)'!$H$4*SQRT(2*PI()))</f>
        <v>1.1527317066495398E-3</v>
      </c>
      <c r="E136">
        <f t="shared" si="6"/>
        <v>19.605763500000013</v>
      </c>
      <c r="F136">
        <f>_xlfn.NORM.DIST($E136,Analysis!$D$16,Analysis!$D$17,FALSE)</f>
        <v>2.2400576906892185E-2</v>
      </c>
    </row>
    <row r="137" spans="2:6" x14ac:dyDescent="0.2">
      <c r="B137">
        <f t="shared" si="5"/>
        <v>48.458489411522002</v>
      </c>
      <c r="C137">
        <f>(EXP(((LN($B137)-'Calc (W-test)'!$H$3)^2)/(-2*('Calc (W-test)'!$H$4^2))))/($B137*'Calc (W-test)'!$H$4*SQRT(2*PI()))</f>
        <v>1.105463976131912E-3</v>
      </c>
      <c r="E137">
        <f t="shared" si="6"/>
        <v>19.889905000000013</v>
      </c>
      <c r="F137">
        <f>_xlfn.NORM.DIST($E137,Analysis!$D$16,Analysis!$D$17,FALSE)</f>
        <v>2.1432975762352768E-2</v>
      </c>
    </row>
    <row r="138" spans="2:6" x14ac:dyDescent="0.2">
      <c r="B138">
        <f t="shared" si="5"/>
        <v>49.150753545972314</v>
      </c>
      <c r="C138">
        <f>(EXP(((LN($B138)-'Calc (W-test)'!$H$3)^2)/(-2*('Calc (W-test)'!$H$4^2))))/($B138*'Calc (W-test)'!$H$4*SQRT(2*PI()))</f>
        <v>1.0605641049268462E-3</v>
      </c>
      <c r="E138">
        <f t="shared" si="6"/>
        <v>20.174046500000014</v>
      </c>
      <c r="F138">
        <f>_xlfn.NORM.DIST($E138,Analysis!$D$16,Analysis!$D$17,FALSE)</f>
        <v>2.0482289749382876E-2</v>
      </c>
    </row>
    <row r="139" spans="2:6" x14ac:dyDescent="0.2">
      <c r="B139">
        <f t="shared" si="5"/>
        <v>49.843017680422626</v>
      </c>
      <c r="C139">
        <f>(EXP(((LN($B139)-'Calc (W-test)'!$H$3)^2)/(-2*('Calc (W-test)'!$H$4^2))))/($B139*'Calc (W-test)'!$H$4*SQRT(2*PI()))</f>
        <v>1.017891395179722E-3</v>
      </c>
      <c r="E139">
        <f t="shared" si="6"/>
        <v>20.458188000000014</v>
      </c>
      <c r="F139">
        <f>_xlfn.NORM.DIST($E139,Analysis!$D$16,Analysis!$D$17,FALSE)</f>
        <v>1.9550024293796674E-2</v>
      </c>
    </row>
    <row r="140" spans="2:6" x14ac:dyDescent="0.2">
      <c r="B140">
        <f t="shared" si="5"/>
        <v>50.535281814872938</v>
      </c>
      <c r="C140">
        <f>(EXP(((LN($B140)-'Calc (W-test)'!$H$3)^2)/(-2*('Calc (W-test)'!$H$4^2))))/($B140*'Calc (W-test)'!$H$4*SQRT(2*PI()))</f>
        <v>9.7731483777251256E-4</v>
      </c>
      <c r="E140">
        <f t="shared" si="6"/>
        <v>20.742329500000015</v>
      </c>
      <c r="F140">
        <f>_xlfn.NORM.DIST($E140,Analysis!$D$16,Analysis!$D$17,FALSE)</f>
        <v>1.8637551670207607E-2</v>
      </c>
    </row>
    <row r="141" spans="2:6" x14ac:dyDescent="0.2">
      <c r="B141">
        <f t="shared" si="5"/>
        <v>51.22754594932325</v>
      </c>
      <c r="C141">
        <f>(EXP(((LN($B141)-'Calc (W-test)'!$H$3)^2)/(-2*('Calc (W-test)'!$H$4^2))))/($B141*'Calc (W-test)'!$H$4*SQRT(2*PI()))</f>
        <v>9.3871235336688596E-4</v>
      </c>
      <c r="E141">
        <f t="shared" si="6"/>
        <v>21.026471000000015</v>
      </c>
      <c r="F141">
        <f>_xlfn.NORM.DIST($E141,Analysis!$D$16,Analysis!$D$17,FALSE)</f>
        <v>1.774611055498837E-2</v>
      </c>
    </row>
    <row r="142" spans="2:6" x14ac:dyDescent="0.2">
      <c r="B142">
        <f t="shared" si="5"/>
        <v>51.919810083773562</v>
      </c>
      <c r="C142">
        <f>(EXP(((LN($B142)-'Calc (W-test)'!$H$3)^2)/(-2*('Calc (W-test)'!$H$4^2))))/($B142*'Calc (W-test)'!$H$4*SQRT(2*PI()))</f>
        <v>9.0197010006175802E-4</v>
      </c>
      <c r="E142">
        <f t="shared" si="6"/>
        <v>21.310612500000016</v>
      </c>
      <c r="F142">
        <f>_xlfn.NORM.DIST($E142,Analysis!$D$16,Analysis!$D$17,FALSE)</f>
        <v>1.6876806391064782E-2</v>
      </c>
    </row>
    <row r="143" spans="2:6" x14ac:dyDescent="0.2">
      <c r="B143">
        <f t="shared" si="5"/>
        <v>52.612074218223874</v>
      </c>
      <c r="C143">
        <f>(EXP(((LN($B143)-'Calc (W-test)'!$H$3)^2)/(-2*('Calc (W-test)'!$H$4^2))))/($B143*'Calc (W-test)'!$H$4*SQRT(2*PI()))</f>
        <v>8.6698184119537265E-4</v>
      </c>
      <c r="E143">
        <f t="shared" si="6"/>
        <v>21.594754000000016</v>
      </c>
      <c r="F143">
        <f>_xlfn.NORM.DIST($E143,Analysis!$D$16,Analysis!$D$17,FALSE)</f>
        <v>1.603061252408338E-2</v>
      </c>
    </row>
    <row r="144" spans="2:6" x14ac:dyDescent="0.2">
      <c r="B144">
        <f t="shared" si="5"/>
        <v>53.304338352674186</v>
      </c>
      <c r="C144">
        <f>(EXP(((LN($B144)-'Calc (W-test)'!$H$3)^2)/(-2*('Calc (W-test)'!$H$4^2))))/($B144*'Calc (W-test)'!$H$4*SQRT(2*PI()))</f>
        <v>8.3364836751014329E-4</v>
      </c>
      <c r="E144">
        <f t="shared" si="6"/>
        <v>21.878895500000016</v>
      </c>
      <c r="F144">
        <f>_xlfn.NORM.DIST($E144,Analysis!$D$16,Analysis!$D$17,FALSE)</f>
        <v>1.5208372065013619E-2</v>
      </c>
    </row>
    <row r="145" spans="2:6" x14ac:dyDescent="0.2">
      <c r="B145">
        <f t="shared" si="5"/>
        <v>53.996602487124498</v>
      </c>
      <c r="C145">
        <f>(EXP(((LN($B145)-'Calc (W-test)'!$H$3)^2)/(-2*('Calc (W-test)'!$H$4^2))))/($B145*'Calc (W-test)'!$H$4*SQRT(2*PI()))</f>
        <v>8.0187696850714295E-4</v>
      </c>
      <c r="E145">
        <f t="shared" si="6"/>
        <v>22.163037000000017</v>
      </c>
      <c r="F145">
        <f>_xlfn.NORM.DIST($E145,Analysis!$D$16,Analysis!$D$17,FALSE)</f>
        <v>1.4410800430405889E-2</v>
      </c>
    </row>
    <row r="146" spans="2:6" x14ac:dyDescent="0.2">
      <c r="B146">
        <f t="shared" si="5"/>
        <v>54.68886662157481</v>
      </c>
      <c r="C146">
        <f>(EXP(((LN($B146)-'Calc (W-test)'!$H$3)^2)/(-2*('Calc (W-test)'!$H$4^2))))/($B146*'Calc (W-test)'!$H$4*SQRT(2*PI()))</f>
        <v>7.715809483562746E-4</v>
      </c>
      <c r="E146">
        <f t="shared" si="6"/>
        <v>22.447178500000017</v>
      </c>
      <c r="F146">
        <f>_xlfn.NORM.DIST($E146,Analysis!$D$16,Analysis!$D$17,FALSE)</f>
        <v>1.3638488508336042E-2</v>
      </c>
    </row>
    <row r="147" spans="2:6" x14ac:dyDescent="0.2">
      <c r="B147">
        <f t="shared" si="5"/>
        <v>55.381130756025122</v>
      </c>
      <c r="C147">
        <f>(EXP(((LN($B147)-'Calc (W-test)'!$H$3)^2)/(-2*('Calc (W-test)'!$H$4^2))))/($B147*'Calc (W-test)'!$H$4*SQRT(2*PI()))</f>
        <v>7.426791822062876E-4</v>
      </c>
      <c r="E147">
        <f t="shared" si="6"/>
        <v>22.731320000000018</v>
      </c>
      <c r="F147">
        <f>_xlfn.NORM.DIST($E147,Analysis!$D$16,Analysis!$D$17,FALSE)</f>
        <v>1.2891906395527605E-2</v>
      </c>
    </row>
    <row r="148" spans="2:6" x14ac:dyDescent="0.2">
      <c r="B148">
        <f t="shared" si="5"/>
        <v>56.073394890475434</v>
      </c>
      <c r="C148">
        <f>(EXP(((LN($B148)-'Calc (W-test)'!$H$3)^2)/(-2*('Calc (W-test)'!$H$4^2))))/($B148*'Calc (W-test)'!$H$4*SQRT(2*PI()))</f>
        <v>7.1509570916336107E-4</v>
      </c>
      <c r="E148">
        <f t="shared" si="6"/>
        <v>23.015461500000018</v>
      </c>
      <c r="F148">
        <f>_xlfn.NORM.DIST($E148,Analysis!$D$16,Analysis!$D$17,FALSE)</f>
        <v>1.2171407649248435E-2</v>
      </c>
    </row>
    <row r="149" spans="2:6" x14ac:dyDescent="0.2">
      <c r="B149">
        <f t="shared" si="5"/>
        <v>56.765659024925746</v>
      </c>
      <c r="C149">
        <f>(EXP(((LN($B149)-'Calc (W-test)'!$H$3)^2)/(-2*('Calc (W-test)'!$H$4^2))))/($B149*'Calc (W-test)'!$H$4*SQRT(2*PI()))</f>
        <v>6.8875935858447792E-4</v>
      </c>
      <c r="E149">
        <f t="shared" si="6"/>
        <v>23.299603000000019</v>
      </c>
      <c r="F149">
        <f>_xlfn.NORM.DIST($E149,Analysis!$D$16,Analysis!$D$17,FALSE)</f>
        <v>1.1477233996315532E-2</v>
      </c>
    </row>
    <row r="150" spans="2:6" x14ac:dyDescent="0.2">
      <c r="B150">
        <f t="shared" si="5"/>
        <v>57.457923159376058</v>
      </c>
      <c r="C150">
        <f>(EXP(((LN($B150)-'Calc (W-test)'!$H$3)^2)/(-2*('Calc (W-test)'!$H$4^2))))/($B150*'Calc (W-test)'!$H$4*SQRT(2*PI()))</f>
        <v>6.6360340666777977E-4</v>
      </c>
      <c r="E150">
        <f t="shared" si="6"/>
        <v>23.583744500000019</v>
      </c>
      <c r="F150">
        <f>_xlfn.NORM.DIST($E150,Analysis!$D$16,Analysis!$D$17,FALSE)</f>
        <v>1.0809520440890613E-2</v>
      </c>
    </row>
    <row r="151" spans="2:6" x14ac:dyDescent="0.2">
      <c r="B151">
        <f t="shared" si="5"/>
        <v>58.15018729382637</v>
      </c>
      <c r="C151">
        <f>(EXP(((LN($B151)-'Calc (W-test)'!$H$3)^2)/(-2*('Calc (W-test)'!$H$4^2))))/($B151*'Calc (W-test)'!$H$4*SQRT(2*PI()))</f>
        <v>6.3956526062161048E-4</v>
      </c>
      <c r="E151">
        <f t="shared" si="6"/>
        <v>23.86788600000002</v>
      </c>
      <c r="F151">
        <f>_xlfn.NORM.DIST($E151,Analysis!$D$16,Analysis!$D$17,FALSE)</f>
        <v>1.0168300712683178E-2</v>
      </c>
    </row>
    <row r="152" spans="2:6" x14ac:dyDescent="0.2">
      <c r="B152">
        <f t="shared" si="5"/>
        <v>58.842451428276682</v>
      </c>
      <c r="C152">
        <f>(EXP(((LN($B152)-'Calc (W-test)'!$H$3)^2)/(-2*('Calc (W-test)'!$H$4^2))))/($B152*'Calc (W-test)'!$H$4*SQRT(2*PI()))</f>
        <v>6.1658616796106153E-4</v>
      </c>
      <c r="E152">
        <f t="shared" si="6"/>
        <v>24.15202750000002</v>
      </c>
      <c r="F152">
        <f>_xlfn.NORM.DIST($E152,Analysis!$D$16,Analysis!$D$17,FALSE)</f>
        <v>9.5535129976657435E-3</v>
      </c>
    </row>
    <row r="153" spans="2:6" x14ac:dyDescent="0.2">
      <c r="B153">
        <f t="shared" si="5"/>
        <v>59.534715562726994</v>
      </c>
      <c r="C153">
        <f>(EXP(((LN($B153)-'Calc (W-test)'!$H$3)^2)/(-2*('Calc (W-test)'!$H$4^2))))/($B153*'Calc (W-test)'!$H$4*SQRT(2*PI()))</f>
        <v>5.9461094871958258E-4</v>
      </c>
      <c r="E153">
        <f t="shared" si="6"/>
        <v>24.436169000000021</v>
      </c>
      <c r="F153">
        <f>_xlfn.NORM.DIST($E153,Analysis!$D$16,Analysis!$D$17,FALSE)</f>
        <v>8.9650058944112376E-3</v>
      </c>
    </row>
    <row r="154" spans="2:6" x14ac:dyDescent="0.2">
      <c r="B154">
        <f t="shared" si="5"/>
        <v>60.226979697177306</v>
      </c>
      <c r="C154">
        <f>(EXP(((LN($B154)-'Calc (W-test)'!$H$3)^2)/(-2*('Calc (W-test)'!$H$4^2))))/($B154*'Calc (W-test)'!$H$4*SQRT(2*PI()))</f>
        <v>5.7358774857654588E-4</v>
      </c>
      <c r="E154">
        <f t="shared" si="6"/>
        <v>24.720310500000021</v>
      </c>
      <c r="F154">
        <f>_xlfn.NORM.DIST($E154,Analysis!$D$16,Analysis!$D$17,FALSE)</f>
        <v>8.4025445406447821E-3</v>
      </c>
    </row>
    <row r="155" spans="2:6" x14ac:dyDescent="0.2">
      <c r="B155">
        <f t="shared" si="5"/>
        <v>60.919243831627618</v>
      </c>
      <c r="C155">
        <f>(EXP(((LN($B155)-'Calc (W-test)'!$H$3)^2)/(-2*('Calc (W-test)'!$H$4^2))))/($B155*'Calc (W-test)'!$H$4*SQRT(2*PI()))</f>
        <v>5.5346781109282157E-4</v>
      </c>
      <c r="E155">
        <f t="shared" si="6"/>
        <v>25.004452000000022</v>
      </c>
      <c r="F155">
        <f>_xlfn.NORM.DIST($E155,Analysis!$D$16,Analysis!$D$17,FALSE)</f>
        <v>7.8658168565175612E-3</v>
      </c>
    </row>
    <row r="156" spans="2:6" x14ac:dyDescent="0.2">
      <c r="B156">
        <f t="shared" si="5"/>
        <v>61.61150796607793</v>
      </c>
      <c r="C156">
        <f>(EXP(((LN($B156)-'Calc (W-test)'!$H$3)^2)/(-2*('Calc (W-test)'!$H$4^2))))/($B156*'Calc (W-test)'!$H$4*SQRT(2*PI()))</f>
        <v>5.3420526741754205E-4</v>
      </c>
      <c r="E156">
        <f t="shared" si="6"/>
        <v>25.288593500000022</v>
      </c>
      <c r="F156">
        <f>_xlfn.NORM.DIST($E156,Analysis!$D$16,Analysis!$D$17,FALSE)</f>
        <v>7.3544398534131179E-3</v>
      </c>
    </row>
    <row r="157" spans="2:6" x14ac:dyDescent="0.2">
      <c r="B157">
        <f t="shared" si="5"/>
        <v>62.303772100528242</v>
      </c>
      <c r="C157">
        <f>(EXP(((LN($B157)-'Calc (W-test)'!$H$3)^2)/(-2*('Calc (W-test)'!$H$4^2))))/($B157*'Calc (W-test)'!$H$4*SQRT(2*PI()))</f>
        <v>5.1575694198293916E-4</v>
      </c>
      <c r="E157">
        <f t="shared" si="6"/>
        <v>25.572735000000023</v>
      </c>
      <c r="F157">
        <f>_xlfn.NORM.DIST($E157,Analysis!$D$16,Analysis!$D$17,FALSE)</f>
        <v>6.8679659597380913E-3</v>
      </c>
    </row>
    <row r="158" spans="2:6" x14ac:dyDescent="0.2">
      <c r="B158">
        <f t="shared" si="5"/>
        <v>62.996036234978554</v>
      </c>
      <c r="C158">
        <f>(EXP(((LN($B158)-'Calc (W-test)'!$H$3)^2)/(-2*('Calc (W-test)'!$H$4^2))))/($B158*'Calc (W-test)'!$H$4*SQRT(2*PI()))</f>
        <v>4.9808217284201127E-4</v>
      </c>
      <c r="E158">
        <f t="shared" si="6"/>
        <v>25.856876500000023</v>
      </c>
      <c r="F158">
        <f>_xlfn.NORM.DIST($E158,Analysis!$D$16,Analysis!$D$17,FALSE)</f>
        <v>6.4058893180812589E-3</v>
      </c>
    </row>
    <row r="159" spans="2:6" x14ac:dyDescent="0.2">
      <c r="B159">
        <f t="shared" si="5"/>
        <v>63.688300369428866</v>
      </c>
      <c r="C159">
        <f>(EXP(((LN($B159)-'Calc (W-test)'!$H$3)^2)/(-2*('Calc (W-test)'!$H$4^2))))/($B159*'Calc (W-test)'!$H$4*SQRT(2*PI()))</f>
        <v>4.8114264542784479E-4</v>
      </c>
      <c r="E159">
        <f t="shared" si="6"/>
        <v>26.141018000000024</v>
      </c>
      <c r="F159">
        <f>_xlfn.NORM.DIST($E159,Analysis!$D$16,Analysis!$D$17,FALSE)</f>
        <v>5.9676520112975752E-3</v>
      </c>
    </row>
    <row r="160" spans="2:6" x14ac:dyDescent="0.2">
      <c r="B160">
        <f t="shared" si="5"/>
        <v>64.380564503879185</v>
      </c>
      <c r="C160">
        <f>(EXP(((LN($B160)-'Calc (W-test)'!$H$3)^2)/(-2*('Calc (W-test)'!$H$4^2))))/($B160*'Calc (W-test)'!$H$4*SQRT(2*PI()))</f>
        <v>4.6490223862497108E-4</v>
      </c>
      <c r="E160">
        <f t="shared" si="6"/>
        <v>26.425159500000024</v>
      </c>
      <c r="F160">
        <f>_xlfn.NORM.DIST($E160,Analysis!$D$16,Analysis!$D$17,FALSE)</f>
        <v>5.5526501784384698E-3</v>
      </c>
    </row>
    <row r="161" spans="1:30" x14ac:dyDescent="0.2">
      <c r="B161">
        <f t="shared" si="5"/>
        <v>65.072828638329497</v>
      </c>
      <c r="C161">
        <f>(EXP(((LN($B161)-'Calc (W-test)'!$H$3)^2)/(-2*('Calc (W-test)'!$H$4^2))))/($B161*'Calc (W-test)'!$H$4*SQRT(2*PI()))</f>
        <v>4.4932688214367766E-4</v>
      </c>
      <c r="E161">
        <f t="shared" si="6"/>
        <v>26.709301000000025</v>
      </c>
      <c r="F161">
        <f>_xlfn.NORM.DIST($E161,Analysis!$D$16,Analysis!$D$17,FALSE)</f>
        <v>5.1602399849581121E-3</v>
      </c>
    </row>
    <row r="162" spans="1:30" x14ac:dyDescent="0.2">
      <c r="B162">
        <f t="shared" si="5"/>
        <v>65.765092772779809</v>
      </c>
      <c r="C162">
        <f>(EXP(((LN($B162)-'Calc (W-test)'!$H$3)^2)/(-2*('Calc (W-test)'!$H$4^2))))/($B162*'Calc (W-test)'!$H$4*SQRT(2*PI()))</f>
        <v>4.3438442427878442E-4</v>
      </c>
      <c r="E162">
        <f t="shared" si="6"/>
        <v>26.993442500000025</v>
      </c>
      <c r="F162">
        <f>_xlfn.NORM.DIST($E162,Analysis!$D$16,Analysis!$D$17,FALSE)</f>
        <v>4.7897434152311584E-3</v>
      </c>
    </row>
    <row r="163" spans="1:30" x14ac:dyDescent="0.2">
      <c r="B163">
        <f t="shared" si="5"/>
        <v>66.457356907230121</v>
      </c>
      <c r="C163">
        <f>(EXP(((LN($B163)-'Calc (W-test)'!$H$3)^2)/(-2*('Calc (W-test)'!$H$4^2))))/($B163*'Calc (W-test)'!$H$4*SQRT(2*PI()))</f>
        <v>4.2004450921620539E-4</v>
      </c>
      <c r="E163">
        <f t="shared" si="6"/>
        <v>27.277584000000026</v>
      </c>
      <c r="F163">
        <f>_xlfn.NORM.DIST($E163,Analysis!$D$16,Analysis!$D$17,FALSE)</f>
        <v>4.440453859075856E-3</v>
      </c>
    </row>
    <row r="164" spans="1:30" x14ac:dyDescent="0.2">
      <c r="B164">
        <f t="shared" si="5"/>
        <v>67.149621041680433</v>
      </c>
      <c r="C164">
        <f>(EXP(((LN($B164)-'Calc (W-test)'!$H$3)^2)/(-2*('Calc (W-test)'!$H$4^2))))/($B164*'Calc (W-test)'!$H$4*SQRT(2*PI()))</f>
        <v>4.0627846312446054E-4</v>
      </c>
      <c r="E164">
        <f t="shared" si="6"/>
        <v>27.561725500000026</v>
      </c>
      <c r="F164">
        <f>_xlfn.NORM.DIST($E164,Analysis!$D$16,Analysis!$D$17,FALSE)</f>
        <v>4.1116414676454693E-3</v>
      </c>
    </row>
    <row r="165" spans="1:30" x14ac:dyDescent="0.2">
      <c r="B165">
        <f t="shared" si="5"/>
        <v>67.841885176130745</v>
      </c>
      <c r="C165">
        <f>(EXP(((LN($B165)-'Calc (W-test)'!$H$3)^2)/(-2*('Calc (W-test)'!$H$4^2))))/($B165*'Calc (W-test)'!$H$4*SQRT(2*PI()))</f>
        <v>3.9305918833509656E-4</v>
      </c>
      <c r="E165">
        <f t="shared" si="6"/>
        <v>27.845867000000027</v>
      </c>
      <c r="F165">
        <f>_xlfn.NORM.DIST($E165,Analysis!$D$16,Analysis!$D$17,FALSE)</f>
        <v>3.8025582576912075E-3</v>
      </c>
    </row>
    <row r="166" spans="1:30" x14ac:dyDescent="0.2">
      <c r="B166">
        <f t="shared" si="5"/>
        <v>68.534149310581057</v>
      </c>
      <c r="C166">
        <f>(EXP(((LN($B166)-'Calc (W-test)'!$H$3)^2)/(-2*('Calc (W-test)'!$H$4^2))))/($B166*'Calc (W-test)'!$H$4*SQRT(2*PI()))</f>
        <v>3.803610649763912E-4</v>
      </c>
      <c r="E166">
        <f t="shared" si="6"/>
        <v>28.130008500000027</v>
      </c>
      <c r="F166">
        <f>_xlfn.NORM.DIST($E166,Analysis!$D$16,Analysis!$D$17,FALSE)</f>
        <v>3.5124429467751172E-3</v>
      </c>
    </row>
    <row r="167" spans="1:30" x14ac:dyDescent="0.2">
      <c r="B167">
        <f t="shared" si="5"/>
        <v>69.226413445031369</v>
      </c>
      <c r="C167">
        <f>(EXP(((LN($B167)-'Calc (W-test)'!$H$3)^2)/(-2*('Calc (W-test)'!$H$4^2))))/($B167*'Calc (W-test)'!$H$4*SQRT(2*PI()))</f>
        <v>3.6815985947946461E-4</v>
      </c>
      <c r="E167">
        <f t="shared" si="6"/>
        <v>28.414150000000028</v>
      </c>
      <c r="F167">
        <f>_xlfn.NORM.DIST($E167,Analysis!$D$16,Analysis!$D$17,FALSE)</f>
        <v>3.2405255054888428E-3</v>
      </c>
    </row>
    <row r="169" spans="1:30" x14ac:dyDescent="0.2">
      <c r="A169" s="660"/>
      <c r="B169" s="660"/>
      <c r="C169" s="660"/>
      <c r="D169" s="660"/>
      <c r="E169" s="660"/>
      <c r="F169" s="660"/>
    </row>
    <row r="170" spans="1:30" x14ac:dyDescent="0.2">
      <c r="A170" s="660"/>
      <c r="B170" s="660"/>
      <c r="C170" s="660"/>
      <c r="D170" s="660"/>
      <c r="E170" s="660"/>
      <c r="F170" s="660"/>
    </row>
    <row r="171" spans="1:30" x14ac:dyDescent="0.2">
      <c r="B171" t="s">
        <v>235</v>
      </c>
      <c r="F171" s="398" t="s">
        <v>36</v>
      </c>
      <c r="G171" s="398"/>
      <c r="H171" s="398"/>
      <c r="I171" s="398" t="s">
        <v>37</v>
      </c>
      <c r="J171" s="398"/>
      <c r="K171" s="398"/>
      <c r="M171" t="s">
        <v>240</v>
      </c>
    </row>
    <row r="172" spans="1:30" x14ac:dyDescent="0.2">
      <c r="A172">
        <v>1.0000000000000001E-5</v>
      </c>
      <c r="B172" s="3">
        <f>Analysis!D$12</f>
        <v>21</v>
      </c>
      <c r="F172" t="s">
        <v>236</v>
      </c>
      <c r="G172" s="398" t="s">
        <v>237</v>
      </c>
      <c r="H172" s="398"/>
      <c r="J172" t="s">
        <v>236</v>
      </c>
      <c r="K172" t="s">
        <v>237</v>
      </c>
      <c r="Q172" t="str">
        <f>B2</f>
        <v>Ni</v>
      </c>
      <c r="R172" t="str">
        <f>C2</f>
        <v>Xi (ranked)</v>
      </c>
      <c r="S172" t="str">
        <f>D2</f>
        <v>No.</v>
      </c>
      <c r="T172" t="s">
        <v>253</v>
      </c>
      <c r="U172" t="str">
        <f>E2</f>
        <v>Plot data</v>
      </c>
      <c r="V172" t="s">
        <v>241</v>
      </c>
      <c r="W172" t="s">
        <v>256</v>
      </c>
      <c r="X172" t="s">
        <v>242</v>
      </c>
      <c r="Y172" t="s">
        <v>255</v>
      </c>
      <c r="Z172" t="s">
        <v>254</v>
      </c>
      <c r="AA172" t="s">
        <v>106</v>
      </c>
    </row>
    <row r="173" spans="1:30" x14ac:dyDescent="0.2">
      <c r="A173">
        <v>1E-4</v>
      </c>
      <c r="B173">
        <f>IF(AND($A172&lt;$B$172,$B$172&lt;=$A173),$A173,0)</f>
        <v>0</v>
      </c>
      <c r="D173" t="s">
        <v>223</v>
      </c>
      <c r="F173">
        <f>$B$183</f>
        <v>100</v>
      </c>
      <c r="G173">
        <v>5</v>
      </c>
      <c r="J173">
        <f>CEILING(Analysis!$D$12*1.2,5)</f>
        <v>30</v>
      </c>
      <c r="M173" s="10"/>
      <c r="Q173">
        <f t="shared" ref="Q173:Q217" si="7">B3</f>
        <v>1</v>
      </c>
      <c r="R173" s="3">
        <f>IF(ISNUMBER(C3),C3,NA())</f>
        <v>1.7</v>
      </c>
      <c r="S173">
        <f t="shared" ref="S173:S218" si="8">D3</f>
        <v>1</v>
      </c>
      <c r="T173">
        <f>IFERROR($R173,FALSE)</f>
        <v>1.7</v>
      </c>
      <c r="U173">
        <f>IFERROR($E3,"")</f>
        <v>21</v>
      </c>
      <c r="V173">
        <f>IF($Q173&lt;Analysis!$D$5+1,(($Q173)/(Analysis!$D$5+1)),FALSE)</f>
        <v>0.1111111111111111</v>
      </c>
      <c r="W173">
        <f>IF(ISNUMBER($V173),$V173,"")</f>
        <v>0.1111111111111111</v>
      </c>
      <c r="X173">
        <f>IFERROR(NORMSINV($V173)+5,NA())</f>
        <v>3.7793596511526499</v>
      </c>
      <c r="Y173">
        <f>IFERROR($X173,"")</f>
        <v>3.7793596511526499</v>
      </c>
      <c r="Z173">
        <f>IF(ISNUMBER($R173),LN($R173),"")</f>
        <v>0.53062825106217038</v>
      </c>
      <c r="AA173">
        <f>IF(ISNUMBER($R173),LN($R173),NA())</f>
        <v>0.53062825106217038</v>
      </c>
      <c r="AD173">
        <f>IF(ISNUMBER(V173),V173,"")</f>
        <v>0.1111111111111111</v>
      </c>
    </row>
    <row r="174" spans="1:30" x14ac:dyDescent="0.2">
      <c r="A174">
        <v>1E-3</v>
      </c>
      <c r="B174">
        <f t="shared" ref="B174:B181" si="9">IF(AND($A173&lt;$B$172,$B$172&lt;=$A174),$A174,0)</f>
        <v>0</v>
      </c>
      <c r="D174" t="str">
        <f>IF(ISNUMBER(Survey!#REF!),Survey!#REF!,"")</f>
        <v/>
      </c>
      <c r="F174">
        <f>$F$173</f>
        <v>100</v>
      </c>
      <c r="G174">
        <v>2.33</v>
      </c>
      <c r="H174">
        <f t="shared" ref="H174:H186" si="10">$G$173+G174</f>
        <v>7.33</v>
      </c>
      <c r="I174" s="44">
        <v>0.99</v>
      </c>
      <c r="J174">
        <f>$J$173</f>
        <v>30</v>
      </c>
      <c r="K174">
        <f>$H174</f>
        <v>7.33</v>
      </c>
      <c r="M174" s="398" t="s">
        <v>246</v>
      </c>
      <c r="N174" s="398"/>
      <c r="O174" s="398"/>
      <c r="Q174">
        <f t="shared" si="7"/>
        <v>2</v>
      </c>
      <c r="R174" s="3">
        <f t="shared" ref="R174:R223" si="11">IF(ISNUMBER(C4),C4,NA())</f>
        <v>1.9</v>
      </c>
      <c r="S174">
        <f t="shared" si="8"/>
        <v>2</v>
      </c>
      <c r="T174">
        <f t="shared" ref="T174:T223" si="12">IFERROR($R174,FALSE)</f>
        <v>1.9</v>
      </c>
      <c r="U174">
        <f t="shared" ref="U174:U223" si="13">IFERROR($E4,"")</f>
        <v>1.9</v>
      </c>
      <c r="V174">
        <f>IF($Q174&lt;Analysis!$D$5+1,(($Q174)/(Analysis!$D$5+1)),FALSE)</f>
        <v>0.22222222222222221</v>
      </c>
      <c r="W174">
        <f t="shared" ref="W174:W223" si="14">IF(ISNUMBER($V174),$V174,"")</f>
        <v>0.22222222222222221</v>
      </c>
      <c r="X174">
        <f t="shared" ref="X174:X223" si="15">IFERROR(NORMSINV($V174)+5,NA())</f>
        <v>4.2352903262136126</v>
      </c>
      <c r="Y174">
        <f t="shared" ref="Y174:Y223" si="16">IFERROR($X174,"")</f>
        <v>4.2352903262136126</v>
      </c>
      <c r="Z174">
        <f t="shared" ref="Z174:Z223" si="17">IF(ISNUMBER($R174),LN($R174),"")</f>
        <v>0.64185388617239469</v>
      </c>
      <c r="AA174">
        <f t="shared" ref="AA174:AA223" si="18">IF(ISNUMBER($R174),LN($R174),NA())</f>
        <v>0.64185388617239469</v>
      </c>
      <c r="AD174">
        <f t="shared" ref="AD174:AD223" si="19">IF(ISNUMBER(V174),V174,"")</f>
        <v>0.22222222222222221</v>
      </c>
    </row>
    <row r="175" spans="1:30" x14ac:dyDescent="0.2">
      <c r="A175">
        <v>0.01</v>
      </c>
      <c r="B175">
        <f t="shared" si="9"/>
        <v>0</v>
      </c>
      <c r="D175" t="str">
        <f>IF(ISNUMBER(Survey!#REF!),Survey!#REF!,"")</f>
        <v/>
      </c>
      <c r="F175">
        <f t="shared" ref="F175:F186" si="20">$F$173</f>
        <v>100</v>
      </c>
      <c r="G175">
        <v>2.0499999999999998</v>
      </c>
      <c r="H175">
        <f t="shared" si="10"/>
        <v>7.05</v>
      </c>
      <c r="I175" s="44">
        <v>0.98</v>
      </c>
      <c r="J175">
        <f t="shared" ref="J175:J186" si="21">$J$173</f>
        <v>30</v>
      </c>
      <c r="K175">
        <f t="shared" ref="K175:K186" si="22">$H175</f>
        <v>7.05</v>
      </c>
      <c r="N175" t="s">
        <v>84</v>
      </c>
      <c r="O175" t="s">
        <v>245</v>
      </c>
      <c r="Q175">
        <f t="shared" si="7"/>
        <v>3</v>
      </c>
      <c r="R175" s="3">
        <f t="shared" si="11"/>
        <v>2.7</v>
      </c>
      <c r="S175">
        <f t="shared" si="8"/>
        <v>3</v>
      </c>
      <c r="T175">
        <f t="shared" si="12"/>
        <v>2.7</v>
      </c>
      <c r="U175">
        <f t="shared" si="13"/>
        <v>5.8</v>
      </c>
      <c r="V175">
        <f>IF($Q175&lt;Analysis!$D$5+1,(($Q175)/(Analysis!$D$5+1)),FALSE)</f>
        <v>0.33333333333333331</v>
      </c>
      <c r="W175">
        <f t="shared" si="14"/>
        <v>0.33333333333333331</v>
      </c>
      <c r="X175">
        <f t="shared" si="15"/>
        <v>4.5692727007045422</v>
      </c>
      <c r="Y175">
        <f t="shared" si="16"/>
        <v>4.5692727007045422</v>
      </c>
      <c r="Z175">
        <f t="shared" si="17"/>
        <v>0.99325177301028345</v>
      </c>
      <c r="AA175">
        <f t="shared" si="18"/>
        <v>0.99325177301028345</v>
      </c>
      <c r="AD175">
        <f t="shared" si="19"/>
        <v>0.33333333333333331</v>
      </c>
    </row>
    <row r="176" spans="1:30" x14ac:dyDescent="0.2">
      <c r="A176">
        <v>0.1</v>
      </c>
      <c r="B176">
        <f t="shared" si="9"/>
        <v>0</v>
      </c>
      <c r="D176" t="str">
        <f>IF(ISNUMBER(Survey!#REF!),Survey!#REF!,"")</f>
        <v/>
      </c>
      <c r="F176">
        <f t="shared" si="20"/>
        <v>100</v>
      </c>
      <c r="G176">
        <v>1.645</v>
      </c>
      <c r="H176">
        <f t="shared" si="10"/>
        <v>6.6449999999999996</v>
      </c>
      <c r="I176" s="44">
        <v>0.95</v>
      </c>
      <c r="J176">
        <f t="shared" si="21"/>
        <v>30</v>
      </c>
      <c r="K176">
        <f t="shared" si="22"/>
        <v>6.6449999999999996</v>
      </c>
      <c r="M176" t="s">
        <v>243</v>
      </c>
      <c r="N176">
        <f>SLOPE($Y$173:$Y$223,$T$173:$T$223)</f>
        <v>9.1904103779492138E-2</v>
      </c>
      <c r="O176">
        <f>SLOPE($Y$173:$Y$223,$Z$173:$Z$223)</f>
        <v>0.74890741864571253</v>
      </c>
      <c r="Q176">
        <f t="shared" si="7"/>
        <v>4</v>
      </c>
      <c r="R176" s="3">
        <f t="shared" si="11"/>
        <v>5.8</v>
      </c>
      <c r="S176">
        <f t="shared" si="8"/>
        <v>4</v>
      </c>
      <c r="T176">
        <f t="shared" si="12"/>
        <v>5.8</v>
      </c>
      <c r="U176">
        <f t="shared" si="13"/>
        <v>17</v>
      </c>
      <c r="V176">
        <f>IF($Q176&lt;Analysis!$D$5+1,(($Q176)/(Analysis!$D$5+1)),FALSE)</f>
        <v>0.44444444444444442</v>
      </c>
      <c r="W176">
        <f t="shared" si="14"/>
        <v>0.44444444444444442</v>
      </c>
      <c r="X176">
        <f t="shared" si="15"/>
        <v>4.8602897011181376</v>
      </c>
      <c r="Y176">
        <f t="shared" si="16"/>
        <v>4.8602897011181376</v>
      </c>
      <c r="Z176">
        <f t="shared" si="17"/>
        <v>1.7578579175523736</v>
      </c>
      <c r="AA176">
        <f t="shared" si="18"/>
        <v>1.7578579175523736</v>
      </c>
      <c r="AD176">
        <f t="shared" si="19"/>
        <v>0.44444444444444442</v>
      </c>
    </row>
    <row r="177" spans="1:30" x14ac:dyDescent="0.2">
      <c r="A177">
        <v>1</v>
      </c>
      <c r="B177">
        <f t="shared" si="9"/>
        <v>0</v>
      </c>
      <c r="D177" t="str">
        <f>IF(ISNUMBER(Survey!#REF!),Survey!#REF!,"")</f>
        <v/>
      </c>
      <c r="F177">
        <f t="shared" si="20"/>
        <v>100</v>
      </c>
      <c r="G177">
        <v>1.28</v>
      </c>
      <c r="H177">
        <f t="shared" si="10"/>
        <v>6.28</v>
      </c>
      <c r="I177" s="44">
        <v>0.9</v>
      </c>
      <c r="J177">
        <f t="shared" si="21"/>
        <v>30</v>
      </c>
      <c r="K177">
        <f t="shared" si="22"/>
        <v>6.28</v>
      </c>
      <c r="M177" t="s">
        <v>244</v>
      </c>
      <c r="N177">
        <f>INTERCEPT($Y$173:$Y$223,$T$173:$T$223)</f>
        <v>4.13495262317553</v>
      </c>
      <c r="O177">
        <f>INTERCEPT($Y$173:$Y$223,$Z$173:$Z$223)</f>
        <v>3.6350189497172369</v>
      </c>
      <c r="Q177">
        <f t="shared" si="7"/>
        <v>5</v>
      </c>
      <c r="R177" s="3">
        <f t="shared" si="11"/>
        <v>6.3</v>
      </c>
      <c r="S177">
        <f t="shared" si="8"/>
        <v>5</v>
      </c>
      <c r="T177">
        <f t="shared" si="12"/>
        <v>6.3</v>
      </c>
      <c r="U177">
        <f t="shared" si="13"/>
        <v>1.7</v>
      </c>
      <c r="V177">
        <f>IF($Q177&lt;Analysis!$D$5+1,(($Q177)/(Analysis!$D$5+1)),FALSE)</f>
        <v>0.55555555555555558</v>
      </c>
      <c r="W177">
        <f t="shared" si="14"/>
        <v>0.55555555555555558</v>
      </c>
      <c r="X177">
        <f t="shared" si="15"/>
        <v>5.1397102988818624</v>
      </c>
      <c r="Y177">
        <f t="shared" si="16"/>
        <v>5.1397102988818624</v>
      </c>
      <c r="Z177">
        <f t="shared" si="17"/>
        <v>1.8405496333974869</v>
      </c>
      <c r="AA177">
        <f t="shared" si="18"/>
        <v>1.8405496333974869</v>
      </c>
      <c r="AD177">
        <f t="shared" si="19"/>
        <v>0.55555555555555558</v>
      </c>
    </row>
    <row r="178" spans="1:30" x14ac:dyDescent="0.2">
      <c r="A178">
        <v>10</v>
      </c>
      <c r="B178">
        <f t="shared" si="9"/>
        <v>0</v>
      </c>
      <c r="D178" t="str">
        <f>IF(ISNUMBER(Survey!#REF!),Survey!#REF!,"")</f>
        <v/>
      </c>
      <c r="F178">
        <f t="shared" si="20"/>
        <v>100</v>
      </c>
      <c r="G178">
        <v>1</v>
      </c>
      <c r="H178">
        <f t="shared" si="10"/>
        <v>6</v>
      </c>
      <c r="I178" s="44">
        <v>0.84</v>
      </c>
      <c r="J178">
        <f t="shared" si="21"/>
        <v>30</v>
      </c>
      <c r="K178">
        <f t="shared" si="22"/>
        <v>6</v>
      </c>
      <c r="M178" t="s">
        <v>247</v>
      </c>
      <c r="N178">
        <f>($N$180-$N$177)/$N$176</f>
        <v>-17.789767332896403</v>
      </c>
      <c r="O178">
        <f>EXP($O$182)</f>
        <v>0.21968371214652305</v>
      </c>
      <c r="Q178">
        <f t="shared" si="7"/>
        <v>6</v>
      </c>
      <c r="R178" s="3">
        <f t="shared" si="11"/>
        <v>17</v>
      </c>
      <c r="S178">
        <f t="shared" si="8"/>
        <v>6</v>
      </c>
      <c r="T178">
        <f t="shared" si="12"/>
        <v>17</v>
      </c>
      <c r="U178">
        <f t="shared" si="13"/>
        <v>2.7</v>
      </c>
      <c r="V178">
        <f>IF($Q178&lt;Analysis!$D$5+1,(($Q178)/(Analysis!$D$5+1)),FALSE)</f>
        <v>0.66666666666666663</v>
      </c>
      <c r="W178">
        <f t="shared" si="14"/>
        <v>0.66666666666666663</v>
      </c>
      <c r="X178">
        <f t="shared" si="15"/>
        <v>5.4307272992954578</v>
      </c>
      <c r="Y178">
        <f t="shared" si="16"/>
        <v>5.4307272992954578</v>
      </c>
      <c r="Z178">
        <f t="shared" si="17"/>
        <v>2.8332133440562162</v>
      </c>
      <c r="AA178">
        <f t="shared" si="18"/>
        <v>2.8332133440562162</v>
      </c>
      <c r="AD178">
        <f t="shared" si="19"/>
        <v>0.66666666666666663</v>
      </c>
    </row>
    <row r="179" spans="1:30" x14ac:dyDescent="0.2">
      <c r="A179">
        <v>100</v>
      </c>
      <c r="B179">
        <f t="shared" si="9"/>
        <v>100</v>
      </c>
      <c r="D179" t="str">
        <f>IF(ISNUMBER(Survey!#REF!),Survey!#REF!,"")</f>
        <v/>
      </c>
      <c r="F179">
        <f t="shared" si="20"/>
        <v>100</v>
      </c>
      <c r="G179">
        <v>0.67</v>
      </c>
      <c r="H179">
        <f t="shared" si="10"/>
        <v>5.67</v>
      </c>
      <c r="I179" s="44">
        <v>0.75</v>
      </c>
      <c r="J179">
        <f t="shared" si="21"/>
        <v>30</v>
      </c>
      <c r="K179">
        <f t="shared" si="22"/>
        <v>5.67</v>
      </c>
      <c r="M179" t="s">
        <v>248</v>
      </c>
      <c r="N179">
        <f>($N$181-$N$177)/$N$176</f>
        <v>34.765013154259449</v>
      </c>
      <c r="O179">
        <f>EXP($O$183)</f>
        <v>138.91036647560838</v>
      </c>
      <c r="Q179">
        <f t="shared" si="7"/>
        <v>7</v>
      </c>
      <c r="R179" s="3">
        <f t="shared" si="11"/>
        <v>18.899999999999999</v>
      </c>
      <c r="S179">
        <f t="shared" si="8"/>
        <v>7</v>
      </c>
      <c r="T179">
        <f t="shared" si="12"/>
        <v>18.899999999999999</v>
      </c>
      <c r="U179">
        <f t="shared" si="13"/>
        <v>6.3</v>
      </c>
      <c r="V179">
        <f>IF($Q179&lt;Analysis!$D$5+1,(($Q179)/(Analysis!$D$5+1)),FALSE)</f>
        <v>0.77777777777777779</v>
      </c>
      <c r="W179">
        <f t="shared" si="14"/>
        <v>0.77777777777777779</v>
      </c>
      <c r="X179">
        <f t="shared" si="15"/>
        <v>5.7647096737863874</v>
      </c>
      <c r="Y179">
        <f t="shared" si="16"/>
        <v>5.7647096737863874</v>
      </c>
      <c r="Z179">
        <f t="shared" si="17"/>
        <v>2.9391619220655967</v>
      </c>
      <c r="AA179">
        <f t="shared" si="18"/>
        <v>2.9391619220655967</v>
      </c>
      <c r="AD179">
        <f t="shared" si="19"/>
        <v>0.77777777777777779</v>
      </c>
    </row>
    <row r="180" spans="1:30" x14ac:dyDescent="0.2">
      <c r="A180">
        <v>1000</v>
      </c>
      <c r="B180">
        <f t="shared" si="9"/>
        <v>0</v>
      </c>
      <c r="D180" t="str">
        <f>IF(ISNUMBER(Survey!#REF!),Survey!#REF!,"")</f>
        <v/>
      </c>
      <c r="F180">
        <f t="shared" si="20"/>
        <v>100</v>
      </c>
      <c r="G180">
        <v>0</v>
      </c>
      <c r="H180">
        <f t="shared" si="10"/>
        <v>5</v>
      </c>
      <c r="I180" s="44">
        <v>0.5</v>
      </c>
      <c r="J180">
        <f t="shared" si="21"/>
        <v>30</v>
      </c>
      <c r="K180">
        <f t="shared" si="22"/>
        <v>5</v>
      </c>
      <c r="M180" t="s">
        <v>249</v>
      </c>
      <c r="N180">
        <v>2.5</v>
      </c>
      <c r="O180">
        <v>2.5</v>
      </c>
      <c r="Q180">
        <f t="shared" si="7"/>
        <v>8</v>
      </c>
      <c r="R180" s="3">
        <f t="shared" si="11"/>
        <v>21</v>
      </c>
      <c r="S180">
        <f t="shared" si="8"/>
        <v>8</v>
      </c>
      <c r="T180">
        <f t="shared" si="12"/>
        <v>21</v>
      </c>
      <c r="U180">
        <f t="shared" si="13"/>
        <v>18.899999999999999</v>
      </c>
      <c r="V180">
        <f>IF($Q180&lt;Analysis!$D$5+1,(($Q180)/(Analysis!$D$5+1)),FALSE)</f>
        <v>0.88888888888888884</v>
      </c>
      <c r="W180">
        <f t="shared" si="14"/>
        <v>0.88888888888888884</v>
      </c>
      <c r="X180">
        <f t="shared" si="15"/>
        <v>6.2206403488473505</v>
      </c>
      <c r="Y180">
        <f t="shared" si="16"/>
        <v>6.2206403488473505</v>
      </c>
      <c r="Z180">
        <f t="shared" si="17"/>
        <v>3.044522437723423</v>
      </c>
      <c r="AA180">
        <f t="shared" si="18"/>
        <v>3.044522437723423</v>
      </c>
      <c r="AD180">
        <f t="shared" si="19"/>
        <v>0.88888888888888884</v>
      </c>
    </row>
    <row r="181" spans="1:30" x14ac:dyDescent="0.2">
      <c r="A181">
        <v>10000</v>
      </c>
      <c r="B181">
        <f t="shared" si="9"/>
        <v>0</v>
      </c>
      <c r="D181" t="str">
        <f>IF(ISNUMBER(Survey!#REF!),Survey!#REF!,"")</f>
        <v/>
      </c>
      <c r="F181">
        <f t="shared" si="20"/>
        <v>100</v>
      </c>
      <c r="G181">
        <v>-0.67</v>
      </c>
      <c r="H181">
        <f t="shared" si="10"/>
        <v>4.33</v>
      </c>
      <c r="I181" s="44">
        <v>0.25</v>
      </c>
      <c r="J181">
        <f t="shared" si="21"/>
        <v>30</v>
      </c>
      <c r="K181">
        <f t="shared" si="22"/>
        <v>4.33</v>
      </c>
      <c r="M181" t="s">
        <v>250</v>
      </c>
      <c r="N181">
        <v>7.33</v>
      </c>
      <c r="O181">
        <v>7.33</v>
      </c>
      <c r="Q181">
        <f t="shared" si="7"/>
        <v>9</v>
      </c>
      <c r="R181" s="3" t="e">
        <f t="shared" si="11"/>
        <v>#N/A</v>
      </c>
      <c r="S181" t="e">
        <f t="shared" si="8"/>
        <v>#N/A</v>
      </c>
      <c r="T181" t="b">
        <f t="shared" si="12"/>
        <v>0</v>
      </c>
      <c r="U181" t="str">
        <f t="shared" si="13"/>
        <v/>
      </c>
      <c r="V181" t="b">
        <f>IF($Q181&lt;Analysis!$D$5+1,(($Q181)/(Analysis!$D$5+1)),FALSE)</f>
        <v>0</v>
      </c>
      <c r="W181" t="str">
        <f t="shared" si="14"/>
        <v/>
      </c>
      <c r="X181" t="e">
        <f t="shared" si="15"/>
        <v>#N/A</v>
      </c>
      <c r="Y181" t="str">
        <f t="shared" si="16"/>
        <v/>
      </c>
      <c r="Z181" t="str">
        <f t="shared" si="17"/>
        <v/>
      </c>
      <c r="AA181" t="e">
        <f t="shared" si="18"/>
        <v>#N/A</v>
      </c>
      <c r="AD181" t="str">
        <f t="shared" si="19"/>
        <v/>
      </c>
    </row>
    <row r="182" spans="1:30" x14ac:dyDescent="0.2">
      <c r="D182" t="str">
        <f>IF(ISNUMBER(Survey!#REF!),Survey!#REF!,"")</f>
        <v/>
      </c>
      <c r="F182">
        <f t="shared" si="20"/>
        <v>100</v>
      </c>
      <c r="G182">
        <v>-1</v>
      </c>
      <c r="H182">
        <f t="shared" si="10"/>
        <v>4</v>
      </c>
      <c r="I182" s="44">
        <v>0.16</v>
      </c>
      <c r="J182">
        <f t="shared" si="21"/>
        <v>30</v>
      </c>
      <c r="K182">
        <f t="shared" si="22"/>
        <v>4</v>
      </c>
      <c r="M182" t="s">
        <v>251</v>
      </c>
      <c r="N182" s="17"/>
      <c r="O182">
        <f>($O$180-$O$177)/$O$176</f>
        <v>-1.5155664391330901</v>
      </c>
      <c r="Q182">
        <f t="shared" si="7"/>
        <v>10</v>
      </c>
      <c r="R182" s="3" t="e">
        <f t="shared" si="11"/>
        <v>#N/A</v>
      </c>
      <c r="S182" t="e">
        <f t="shared" si="8"/>
        <v>#N/A</v>
      </c>
      <c r="T182" t="b">
        <f t="shared" si="12"/>
        <v>0</v>
      </c>
      <c r="U182" t="str">
        <f t="shared" si="13"/>
        <v/>
      </c>
      <c r="V182" t="b">
        <f>IF($Q182&lt;Analysis!$D$5+1,(($Q182)/(Analysis!$D$5+1)),FALSE)</f>
        <v>0</v>
      </c>
      <c r="W182" t="str">
        <f t="shared" si="14"/>
        <v/>
      </c>
      <c r="X182" t="e">
        <f t="shared" si="15"/>
        <v>#N/A</v>
      </c>
      <c r="Y182" t="str">
        <f t="shared" si="16"/>
        <v/>
      </c>
      <c r="Z182" t="str">
        <f t="shared" si="17"/>
        <v/>
      </c>
      <c r="AA182" t="e">
        <f t="shared" si="18"/>
        <v>#N/A</v>
      </c>
      <c r="AD182" t="str">
        <f t="shared" si="19"/>
        <v/>
      </c>
    </row>
    <row r="183" spans="1:30" x14ac:dyDescent="0.2">
      <c r="B183">
        <f>SUM($B$173:$B$181)</f>
        <v>100</v>
      </c>
      <c r="D183" t="str">
        <f>IF(ISNUMBER(Survey!#REF!),Survey!#REF!,"")</f>
        <v/>
      </c>
      <c r="F183">
        <f t="shared" si="20"/>
        <v>100</v>
      </c>
      <c r="G183">
        <v>-1.28</v>
      </c>
      <c r="H183">
        <f t="shared" si="10"/>
        <v>3.7199999999999998</v>
      </c>
      <c r="I183" s="44">
        <v>0.1</v>
      </c>
      <c r="J183">
        <f t="shared" si="21"/>
        <v>30</v>
      </c>
      <c r="K183">
        <f t="shared" si="22"/>
        <v>3.7199999999999998</v>
      </c>
      <c r="M183" t="s">
        <v>252</v>
      </c>
      <c r="N183" s="17"/>
      <c r="O183">
        <f>($O$181-$O$177)/$O$176</f>
        <v>4.9338288796291883</v>
      </c>
      <c r="Q183">
        <f t="shared" si="7"/>
        <v>11</v>
      </c>
      <c r="R183" s="3" t="e">
        <f t="shared" si="11"/>
        <v>#N/A</v>
      </c>
      <c r="S183" t="e">
        <f t="shared" si="8"/>
        <v>#N/A</v>
      </c>
      <c r="T183" t="b">
        <f t="shared" si="12"/>
        <v>0</v>
      </c>
      <c r="U183" t="str">
        <f t="shared" si="13"/>
        <v/>
      </c>
      <c r="V183" t="b">
        <f>IF($Q183&lt;Analysis!$D$5+1,(($Q183)/(Analysis!$D$5+1)),FALSE)</f>
        <v>0</v>
      </c>
      <c r="W183" t="str">
        <f t="shared" si="14"/>
        <v/>
      </c>
      <c r="X183" t="e">
        <f t="shared" si="15"/>
        <v>#N/A</v>
      </c>
      <c r="Y183" t="str">
        <f t="shared" si="16"/>
        <v/>
      </c>
      <c r="Z183" t="str">
        <f t="shared" si="17"/>
        <v/>
      </c>
      <c r="AA183" t="e">
        <f t="shared" si="18"/>
        <v>#N/A</v>
      </c>
      <c r="AD183" t="str">
        <f t="shared" si="19"/>
        <v/>
      </c>
    </row>
    <row r="184" spans="1:30" x14ac:dyDescent="0.2">
      <c r="D184" t="str">
        <f>IF(ISNUMBER(Survey!#REF!),Survey!#REF!,"")</f>
        <v/>
      </c>
      <c r="F184">
        <f t="shared" si="20"/>
        <v>100</v>
      </c>
      <c r="G184">
        <v>-1.645</v>
      </c>
      <c r="H184">
        <f t="shared" si="10"/>
        <v>3.355</v>
      </c>
      <c r="I184" s="44">
        <v>0.05</v>
      </c>
      <c r="J184">
        <f t="shared" si="21"/>
        <v>30</v>
      </c>
      <c r="K184">
        <f t="shared" si="22"/>
        <v>3.355</v>
      </c>
      <c r="Q184">
        <f t="shared" si="7"/>
        <v>12</v>
      </c>
      <c r="R184" s="3" t="e">
        <f t="shared" si="11"/>
        <v>#N/A</v>
      </c>
      <c r="S184" t="e">
        <f t="shared" si="8"/>
        <v>#N/A</v>
      </c>
      <c r="T184" t="b">
        <f t="shared" si="12"/>
        <v>0</v>
      </c>
      <c r="U184" t="str">
        <f t="shared" si="13"/>
        <v/>
      </c>
      <c r="V184" t="b">
        <f>IF($Q184&lt;Analysis!$D$5+1,(($Q184)/(Analysis!$D$5+1)),FALSE)</f>
        <v>0</v>
      </c>
      <c r="W184" t="str">
        <f t="shared" si="14"/>
        <v/>
      </c>
      <c r="X184" t="e">
        <f t="shared" si="15"/>
        <v>#N/A</v>
      </c>
      <c r="Y184" t="str">
        <f t="shared" si="16"/>
        <v/>
      </c>
      <c r="Z184" t="str">
        <f t="shared" si="17"/>
        <v/>
      </c>
      <c r="AA184" t="e">
        <f t="shared" si="18"/>
        <v>#N/A</v>
      </c>
      <c r="AD184" t="str">
        <f t="shared" si="19"/>
        <v/>
      </c>
    </row>
    <row r="185" spans="1:30" x14ac:dyDescent="0.2">
      <c r="D185" t="str">
        <f>IF(ISNUMBER(Survey!#REF!),Survey!#REF!,"")</f>
        <v/>
      </c>
      <c r="F185">
        <f t="shared" si="20"/>
        <v>100</v>
      </c>
      <c r="G185">
        <v>-2.0499999999999998</v>
      </c>
      <c r="H185">
        <f t="shared" si="10"/>
        <v>2.95</v>
      </c>
      <c r="I185" s="44">
        <v>0.02</v>
      </c>
      <c r="J185">
        <f t="shared" si="21"/>
        <v>30</v>
      </c>
      <c r="K185">
        <f t="shared" si="22"/>
        <v>2.95</v>
      </c>
      <c r="Q185">
        <f t="shared" si="7"/>
        <v>13</v>
      </c>
      <c r="R185" s="3" t="e">
        <f t="shared" si="11"/>
        <v>#N/A</v>
      </c>
      <c r="S185" t="e">
        <f t="shared" si="8"/>
        <v>#N/A</v>
      </c>
      <c r="T185" t="b">
        <f t="shared" si="12"/>
        <v>0</v>
      </c>
      <c r="U185" t="str">
        <f t="shared" si="13"/>
        <v/>
      </c>
      <c r="V185" t="b">
        <f>IF($Q185&lt;Analysis!$D$5+1,(($Q185)/(Analysis!$D$5+1)),FALSE)</f>
        <v>0</v>
      </c>
      <c r="W185" t="str">
        <f t="shared" si="14"/>
        <v/>
      </c>
      <c r="X185" t="e">
        <f t="shared" si="15"/>
        <v>#N/A</v>
      </c>
      <c r="Y185" t="str">
        <f t="shared" si="16"/>
        <v/>
      </c>
      <c r="Z185" t="str">
        <f t="shared" si="17"/>
        <v/>
      </c>
      <c r="AA185" t="e">
        <f t="shared" si="18"/>
        <v>#N/A</v>
      </c>
      <c r="AD185" t="str">
        <f t="shared" si="19"/>
        <v/>
      </c>
    </row>
    <row r="186" spans="1:30" x14ac:dyDescent="0.2">
      <c r="D186" t="str">
        <f>IF(ISNUMBER(Survey!#REF!),Survey!#REF!,"")</f>
        <v/>
      </c>
      <c r="F186">
        <f t="shared" si="20"/>
        <v>100</v>
      </c>
      <c r="G186">
        <v>-2.33</v>
      </c>
      <c r="H186">
        <f t="shared" si="10"/>
        <v>2.67</v>
      </c>
      <c r="I186" s="44">
        <v>0.01</v>
      </c>
      <c r="J186">
        <f t="shared" si="21"/>
        <v>30</v>
      </c>
      <c r="K186">
        <f t="shared" si="22"/>
        <v>2.67</v>
      </c>
      <c r="Q186">
        <f t="shared" si="7"/>
        <v>14</v>
      </c>
      <c r="R186" s="3" t="e">
        <f t="shared" si="11"/>
        <v>#N/A</v>
      </c>
      <c r="S186" t="e">
        <f t="shared" si="8"/>
        <v>#N/A</v>
      </c>
      <c r="T186" t="b">
        <f t="shared" si="12"/>
        <v>0</v>
      </c>
      <c r="U186" t="str">
        <f t="shared" si="13"/>
        <v/>
      </c>
      <c r="V186" t="b">
        <f>IF($Q186&lt;Analysis!$D$5+1,(($Q186)/(Analysis!$D$5+1)),FALSE)</f>
        <v>0</v>
      </c>
      <c r="W186" t="str">
        <f t="shared" si="14"/>
        <v/>
      </c>
      <c r="X186" t="e">
        <f t="shared" si="15"/>
        <v>#N/A</v>
      </c>
      <c r="Y186" t="str">
        <f t="shared" si="16"/>
        <v/>
      </c>
      <c r="Z186" t="str">
        <f t="shared" si="17"/>
        <v/>
      </c>
      <c r="AA186" t="e">
        <f t="shared" si="18"/>
        <v>#N/A</v>
      </c>
      <c r="AD186" t="str">
        <f t="shared" si="19"/>
        <v/>
      </c>
    </row>
    <row r="187" spans="1:30" x14ac:dyDescent="0.2">
      <c r="D187" t="str">
        <f>IF(ISNUMBER(Survey!#REF!),Survey!#REF!,"")</f>
        <v/>
      </c>
      <c r="Q187">
        <f t="shared" si="7"/>
        <v>15</v>
      </c>
      <c r="R187" s="3" t="e">
        <f t="shared" si="11"/>
        <v>#N/A</v>
      </c>
      <c r="S187" t="e">
        <f t="shared" si="8"/>
        <v>#N/A</v>
      </c>
      <c r="T187" t="b">
        <f t="shared" si="12"/>
        <v>0</v>
      </c>
      <c r="U187" t="str">
        <f t="shared" si="13"/>
        <v/>
      </c>
      <c r="V187" t="b">
        <f>IF($Q187&lt;Analysis!$D$5+1,(($Q187)/(Analysis!$D$5+1)),FALSE)</f>
        <v>0</v>
      </c>
      <c r="W187" t="str">
        <f t="shared" si="14"/>
        <v/>
      </c>
      <c r="X187" t="e">
        <f t="shared" si="15"/>
        <v>#N/A</v>
      </c>
      <c r="Y187" t="str">
        <f t="shared" si="16"/>
        <v/>
      </c>
      <c r="Z187" t="str">
        <f t="shared" si="17"/>
        <v/>
      </c>
      <c r="AA187" t="e">
        <f t="shared" si="18"/>
        <v>#N/A</v>
      </c>
      <c r="AD187" t="str">
        <f t="shared" si="19"/>
        <v/>
      </c>
    </row>
    <row r="188" spans="1:30" x14ac:dyDescent="0.2">
      <c r="D188" t="str">
        <f>IF(ISNUMBER(Survey!#REF!),Survey!#REF!,"")</f>
        <v/>
      </c>
      <c r="Q188">
        <f t="shared" si="7"/>
        <v>16</v>
      </c>
      <c r="R188" s="3" t="e">
        <f t="shared" si="11"/>
        <v>#N/A</v>
      </c>
      <c r="S188" t="e">
        <f t="shared" si="8"/>
        <v>#N/A</v>
      </c>
      <c r="T188" t="b">
        <f t="shared" si="12"/>
        <v>0</v>
      </c>
      <c r="U188" t="str">
        <f t="shared" si="13"/>
        <v/>
      </c>
      <c r="V188" t="b">
        <f>IF($Q188&lt;Analysis!$D$5+1,(($Q188)/(Analysis!$D$5+1)),FALSE)</f>
        <v>0</v>
      </c>
      <c r="W188" t="str">
        <f t="shared" si="14"/>
        <v/>
      </c>
      <c r="X188" t="e">
        <f t="shared" si="15"/>
        <v>#N/A</v>
      </c>
      <c r="Y188" t="str">
        <f t="shared" si="16"/>
        <v/>
      </c>
      <c r="Z188" t="str">
        <f t="shared" si="17"/>
        <v/>
      </c>
      <c r="AA188" t="e">
        <f t="shared" si="18"/>
        <v>#N/A</v>
      </c>
      <c r="AD188" t="str">
        <f t="shared" si="19"/>
        <v/>
      </c>
    </row>
    <row r="189" spans="1:30" x14ac:dyDescent="0.2">
      <c r="D189" t="str">
        <f>IF(ISNUMBER(Survey!#REF!),Survey!#REF!,"")</f>
        <v/>
      </c>
      <c r="Q189">
        <f t="shared" si="7"/>
        <v>17</v>
      </c>
      <c r="R189" s="3" t="e">
        <f t="shared" si="11"/>
        <v>#N/A</v>
      </c>
      <c r="S189" t="e">
        <f t="shared" si="8"/>
        <v>#N/A</v>
      </c>
      <c r="T189" t="b">
        <f t="shared" si="12"/>
        <v>0</v>
      </c>
      <c r="U189" t="str">
        <f t="shared" si="13"/>
        <v/>
      </c>
      <c r="V189" t="b">
        <f>IF($Q189&lt;Analysis!$D$5+1,(($Q189)/(Analysis!$D$5+1)),FALSE)</f>
        <v>0</v>
      </c>
      <c r="W189" t="str">
        <f t="shared" si="14"/>
        <v/>
      </c>
      <c r="X189" t="e">
        <f t="shared" si="15"/>
        <v>#N/A</v>
      </c>
      <c r="Y189" t="str">
        <f t="shared" si="16"/>
        <v/>
      </c>
      <c r="Z189" t="str">
        <f t="shared" si="17"/>
        <v/>
      </c>
      <c r="AA189" t="e">
        <f t="shared" si="18"/>
        <v>#N/A</v>
      </c>
      <c r="AD189" t="str">
        <f t="shared" si="19"/>
        <v/>
      </c>
    </row>
    <row r="190" spans="1:30" x14ac:dyDescent="0.2">
      <c r="D190" t="str">
        <f>IF(ISNUMBER(Survey!#REF!),Survey!#REF!,"")</f>
        <v/>
      </c>
      <c r="Q190">
        <f t="shared" si="7"/>
        <v>18</v>
      </c>
      <c r="R190" s="3" t="e">
        <f t="shared" si="11"/>
        <v>#N/A</v>
      </c>
      <c r="S190" t="e">
        <f t="shared" si="8"/>
        <v>#N/A</v>
      </c>
      <c r="T190" t="b">
        <f t="shared" si="12"/>
        <v>0</v>
      </c>
      <c r="U190" t="str">
        <f t="shared" si="13"/>
        <v/>
      </c>
      <c r="V190" t="b">
        <f>IF($Q190&lt;Analysis!$D$5+1,(($Q190)/(Analysis!$D$5+1)),FALSE)</f>
        <v>0</v>
      </c>
      <c r="W190" t="str">
        <f t="shared" si="14"/>
        <v/>
      </c>
      <c r="X190" t="e">
        <f t="shared" si="15"/>
        <v>#N/A</v>
      </c>
      <c r="Y190" t="str">
        <f t="shared" si="16"/>
        <v/>
      </c>
      <c r="Z190" t="str">
        <f t="shared" si="17"/>
        <v/>
      </c>
      <c r="AA190" t="e">
        <f t="shared" si="18"/>
        <v>#N/A</v>
      </c>
      <c r="AD190" t="str">
        <f t="shared" si="19"/>
        <v/>
      </c>
    </row>
    <row r="191" spans="1:30" x14ac:dyDescent="0.2">
      <c r="D191" t="str">
        <f>IF(ISNUMBER(Survey!#REF!),Survey!#REF!,"")</f>
        <v/>
      </c>
      <c r="Q191">
        <f t="shared" si="7"/>
        <v>19</v>
      </c>
      <c r="R191" s="3" t="e">
        <f t="shared" si="11"/>
        <v>#N/A</v>
      </c>
      <c r="S191" t="e">
        <f t="shared" si="8"/>
        <v>#N/A</v>
      </c>
      <c r="T191" t="b">
        <f t="shared" si="12"/>
        <v>0</v>
      </c>
      <c r="U191" t="str">
        <f t="shared" si="13"/>
        <v/>
      </c>
      <c r="V191" t="b">
        <f>IF($Q191&lt;Analysis!$D$5+1,(($Q191)/(Analysis!$D$5+1)),FALSE)</f>
        <v>0</v>
      </c>
      <c r="W191" t="str">
        <f t="shared" si="14"/>
        <v/>
      </c>
      <c r="X191" t="e">
        <f t="shared" si="15"/>
        <v>#N/A</v>
      </c>
      <c r="Y191" t="str">
        <f t="shared" si="16"/>
        <v/>
      </c>
      <c r="Z191" t="str">
        <f t="shared" si="17"/>
        <v/>
      </c>
      <c r="AA191" t="e">
        <f t="shared" si="18"/>
        <v>#N/A</v>
      </c>
      <c r="AD191" t="str">
        <f t="shared" si="19"/>
        <v/>
      </c>
    </row>
    <row r="192" spans="1:30" x14ac:dyDescent="0.2">
      <c r="D192" t="str">
        <f>IF(ISNUMBER(Survey!#REF!),Survey!#REF!,"")</f>
        <v/>
      </c>
      <c r="Q192">
        <f t="shared" si="7"/>
        <v>20</v>
      </c>
      <c r="R192" s="3" t="e">
        <f t="shared" si="11"/>
        <v>#N/A</v>
      </c>
      <c r="S192" t="e">
        <f t="shared" si="8"/>
        <v>#N/A</v>
      </c>
      <c r="T192" t="b">
        <f t="shared" si="12"/>
        <v>0</v>
      </c>
      <c r="U192" t="str">
        <f t="shared" si="13"/>
        <v/>
      </c>
      <c r="V192" t="b">
        <f>IF($Q192&lt;Analysis!$D$5+1,(($Q192)/(Analysis!$D$5+1)),FALSE)</f>
        <v>0</v>
      </c>
      <c r="W192" t="str">
        <f t="shared" si="14"/>
        <v/>
      </c>
      <c r="X192" t="e">
        <f t="shared" si="15"/>
        <v>#N/A</v>
      </c>
      <c r="Y192" t="str">
        <f t="shared" si="16"/>
        <v/>
      </c>
      <c r="Z192" t="str">
        <f t="shared" si="17"/>
        <v/>
      </c>
      <c r="AA192" t="e">
        <f t="shared" si="18"/>
        <v>#N/A</v>
      </c>
      <c r="AD192" t="str">
        <f t="shared" si="19"/>
        <v/>
      </c>
    </row>
    <row r="193" spans="4:30" x14ac:dyDescent="0.2">
      <c r="D193" t="str">
        <f>IF(ISNUMBER(Survey!#REF!),Survey!#REF!,"")</f>
        <v/>
      </c>
      <c r="Q193">
        <f t="shared" si="7"/>
        <v>21</v>
      </c>
      <c r="R193" s="3" t="e">
        <f t="shared" si="11"/>
        <v>#N/A</v>
      </c>
      <c r="S193" t="e">
        <f t="shared" si="8"/>
        <v>#N/A</v>
      </c>
      <c r="T193" t="b">
        <f t="shared" si="12"/>
        <v>0</v>
      </c>
      <c r="U193" t="str">
        <f t="shared" si="13"/>
        <v/>
      </c>
      <c r="V193" t="b">
        <f>IF($Q193&lt;Analysis!$D$5+1,(($Q193)/(Analysis!$D$5+1)),FALSE)</f>
        <v>0</v>
      </c>
      <c r="W193" t="str">
        <f t="shared" si="14"/>
        <v/>
      </c>
      <c r="X193" t="e">
        <f t="shared" si="15"/>
        <v>#N/A</v>
      </c>
      <c r="Y193" t="str">
        <f t="shared" si="16"/>
        <v/>
      </c>
      <c r="Z193" t="str">
        <f t="shared" si="17"/>
        <v/>
      </c>
      <c r="AA193" t="e">
        <f t="shared" si="18"/>
        <v>#N/A</v>
      </c>
      <c r="AD193" t="str">
        <f t="shared" si="19"/>
        <v/>
      </c>
    </row>
    <row r="194" spans="4:30" x14ac:dyDescent="0.2">
      <c r="D194" t="str">
        <f>IF(ISNUMBER(Survey!#REF!),Survey!#REF!,"")</f>
        <v/>
      </c>
      <c r="Q194">
        <f t="shared" si="7"/>
        <v>22</v>
      </c>
      <c r="R194" s="3" t="e">
        <f t="shared" si="11"/>
        <v>#N/A</v>
      </c>
      <c r="S194" t="e">
        <f t="shared" si="8"/>
        <v>#N/A</v>
      </c>
      <c r="T194" t="b">
        <f t="shared" si="12"/>
        <v>0</v>
      </c>
      <c r="U194" t="str">
        <f t="shared" si="13"/>
        <v/>
      </c>
      <c r="V194" t="b">
        <f>IF($Q194&lt;Analysis!$D$5+1,(($Q194)/(Analysis!$D$5+1)),FALSE)</f>
        <v>0</v>
      </c>
      <c r="W194" t="str">
        <f t="shared" si="14"/>
        <v/>
      </c>
      <c r="X194" t="e">
        <f t="shared" si="15"/>
        <v>#N/A</v>
      </c>
      <c r="Y194" t="str">
        <f t="shared" si="16"/>
        <v/>
      </c>
      <c r="Z194" t="str">
        <f t="shared" si="17"/>
        <v/>
      </c>
      <c r="AA194" t="e">
        <f t="shared" si="18"/>
        <v>#N/A</v>
      </c>
      <c r="AD194" t="str">
        <f t="shared" si="19"/>
        <v/>
      </c>
    </row>
    <row r="195" spans="4:30" x14ac:dyDescent="0.2">
      <c r="D195" t="str">
        <f>IF(ISNUMBER(Survey!#REF!),Survey!#REF!,"")</f>
        <v/>
      </c>
      <c r="Q195">
        <f t="shared" si="7"/>
        <v>23</v>
      </c>
      <c r="R195" s="3" t="e">
        <f t="shared" si="11"/>
        <v>#N/A</v>
      </c>
      <c r="S195" t="e">
        <f t="shared" si="8"/>
        <v>#N/A</v>
      </c>
      <c r="T195" t="b">
        <f t="shared" si="12"/>
        <v>0</v>
      </c>
      <c r="U195" t="str">
        <f t="shared" si="13"/>
        <v/>
      </c>
      <c r="V195" t="b">
        <f>IF($Q195&lt;Analysis!$D$5+1,(($Q195)/(Analysis!$D$5+1)),FALSE)</f>
        <v>0</v>
      </c>
      <c r="W195" t="str">
        <f t="shared" si="14"/>
        <v/>
      </c>
      <c r="X195" t="e">
        <f t="shared" si="15"/>
        <v>#N/A</v>
      </c>
      <c r="Y195" t="str">
        <f t="shared" si="16"/>
        <v/>
      </c>
      <c r="Z195" t="str">
        <f t="shared" si="17"/>
        <v/>
      </c>
      <c r="AA195" t="e">
        <f t="shared" si="18"/>
        <v>#N/A</v>
      </c>
      <c r="AD195" t="str">
        <f t="shared" si="19"/>
        <v/>
      </c>
    </row>
    <row r="196" spans="4:30" x14ac:dyDescent="0.2">
      <c r="D196" t="str">
        <f>IF(ISNUMBER(Survey!#REF!),Survey!#REF!,"")</f>
        <v/>
      </c>
      <c r="Q196">
        <f t="shared" si="7"/>
        <v>24</v>
      </c>
      <c r="R196" s="3" t="e">
        <f t="shared" si="11"/>
        <v>#N/A</v>
      </c>
      <c r="S196" t="e">
        <f t="shared" si="8"/>
        <v>#N/A</v>
      </c>
      <c r="T196" t="b">
        <f t="shared" si="12"/>
        <v>0</v>
      </c>
      <c r="U196" t="str">
        <f t="shared" si="13"/>
        <v/>
      </c>
      <c r="V196" t="b">
        <f>IF($Q196&lt;Analysis!$D$5+1,(($Q196)/(Analysis!$D$5+1)),FALSE)</f>
        <v>0</v>
      </c>
      <c r="W196" t="str">
        <f t="shared" si="14"/>
        <v/>
      </c>
      <c r="X196" t="e">
        <f t="shared" si="15"/>
        <v>#N/A</v>
      </c>
      <c r="Y196" t="str">
        <f t="shared" si="16"/>
        <v/>
      </c>
      <c r="Z196" t="str">
        <f t="shared" si="17"/>
        <v/>
      </c>
      <c r="AA196" t="e">
        <f t="shared" si="18"/>
        <v>#N/A</v>
      </c>
      <c r="AD196" t="str">
        <f t="shared" si="19"/>
        <v/>
      </c>
    </row>
    <row r="197" spans="4:30" x14ac:dyDescent="0.2">
      <c r="D197" t="str">
        <f>IF(ISNUMBER(Survey!#REF!),Survey!#REF!,"")</f>
        <v/>
      </c>
      <c r="Q197">
        <f t="shared" si="7"/>
        <v>25</v>
      </c>
      <c r="R197" s="3" t="e">
        <f t="shared" si="11"/>
        <v>#N/A</v>
      </c>
      <c r="S197" t="e">
        <f t="shared" si="8"/>
        <v>#N/A</v>
      </c>
      <c r="T197" t="b">
        <f t="shared" si="12"/>
        <v>0</v>
      </c>
      <c r="U197" t="str">
        <f t="shared" si="13"/>
        <v/>
      </c>
      <c r="V197" t="b">
        <f>IF($Q197&lt;Analysis!$D$5+1,(($Q197)/(Analysis!$D$5+1)),FALSE)</f>
        <v>0</v>
      </c>
      <c r="W197" t="str">
        <f t="shared" si="14"/>
        <v/>
      </c>
      <c r="X197" t="e">
        <f t="shared" si="15"/>
        <v>#N/A</v>
      </c>
      <c r="Y197" t="str">
        <f t="shared" si="16"/>
        <v/>
      </c>
      <c r="Z197" t="str">
        <f t="shared" si="17"/>
        <v/>
      </c>
      <c r="AA197" t="e">
        <f t="shared" si="18"/>
        <v>#N/A</v>
      </c>
      <c r="AD197" t="str">
        <f t="shared" si="19"/>
        <v/>
      </c>
    </row>
    <row r="198" spans="4:30" x14ac:dyDescent="0.2">
      <c r="D198" t="str">
        <f>IF(ISNUMBER(Survey!#REF!),Survey!#REF!,"")</f>
        <v/>
      </c>
      <c r="Q198">
        <f t="shared" si="7"/>
        <v>26</v>
      </c>
      <c r="R198" s="3" t="e">
        <f t="shared" si="11"/>
        <v>#N/A</v>
      </c>
      <c r="S198" t="e">
        <f t="shared" si="8"/>
        <v>#N/A</v>
      </c>
      <c r="T198" t="b">
        <f t="shared" si="12"/>
        <v>0</v>
      </c>
      <c r="U198" t="str">
        <f t="shared" si="13"/>
        <v/>
      </c>
      <c r="V198" t="b">
        <f>IF($Q198&lt;Analysis!$D$5+1,(($Q198)/(Analysis!$D$5+1)),FALSE)</f>
        <v>0</v>
      </c>
      <c r="W198" t="str">
        <f t="shared" si="14"/>
        <v/>
      </c>
      <c r="X198" t="e">
        <f t="shared" si="15"/>
        <v>#N/A</v>
      </c>
      <c r="Y198" t="str">
        <f t="shared" si="16"/>
        <v/>
      </c>
      <c r="Z198" t="str">
        <f t="shared" si="17"/>
        <v/>
      </c>
      <c r="AA198" t="e">
        <f t="shared" si="18"/>
        <v>#N/A</v>
      </c>
      <c r="AD198" t="str">
        <f t="shared" si="19"/>
        <v/>
      </c>
    </row>
    <row r="199" spans="4:30" x14ac:dyDescent="0.2">
      <c r="D199" t="str">
        <f>IF(ISNUMBER(Survey!#REF!),Survey!#REF!,"")</f>
        <v/>
      </c>
      <c r="Q199">
        <f t="shared" si="7"/>
        <v>27</v>
      </c>
      <c r="R199" s="3" t="e">
        <f t="shared" si="11"/>
        <v>#N/A</v>
      </c>
      <c r="S199" t="e">
        <f t="shared" si="8"/>
        <v>#N/A</v>
      </c>
      <c r="T199" t="b">
        <f t="shared" si="12"/>
        <v>0</v>
      </c>
      <c r="U199" t="str">
        <f t="shared" si="13"/>
        <v/>
      </c>
      <c r="V199" t="b">
        <f>IF($Q199&lt;Analysis!$D$5+1,(($Q199)/(Analysis!$D$5+1)),FALSE)</f>
        <v>0</v>
      </c>
      <c r="W199" t="str">
        <f t="shared" si="14"/>
        <v/>
      </c>
      <c r="X199" t="e">
        <f t="shared" si="15"/>
        <v>#N/A</v>
      </c>
      <c r="Y199" t="str">
        <f t="shared" si="16"/>
        <v/>
      </c>
      <c r="Z199" t="str">
        <f t="shared" si="17"/>
        <v/>
      </c>
      <c r="AA199" t="e">
        <f t="shared" si="18"/>
        <v>#N/A</v>
      </c>
      <c r="AD199" t="str">
        <f t="shared" si="19"/>
        <v/>
      </c>
    </row>
    <row r="200" spans="4:30" x14ac:dyDescent="0.2">
      <c r="D200" t="str">
        <f>IF(ISNUMBER(Survey!#REF!),Survey!#REF!,"")</f>
        <v/>
      </c>
      <c r="Q200">
        <f t="shared" si="7"/>
        <v>28</v>
      </c>
      <c r="R200" s="3" t="e">
        <f t="shared" si="11"/>
        <v>#N/A</v>
      </c>
      <c r="S200" t="e">
        <f t="shared" si="8"/>
        <v>#N/A</v>
      </c>
      <c r="T200" t="b">
        <f t="shared" si="12"/>
        <v>0</v>
      </c>
      <c r="U200" t="str">
        <f t="shared" si="13"/>
        <v/>
      </c>
      <c r="V200" t="b">
        <f>IF($Q200&lt;Analysis!$D$5+1,(($Q200)/(Analysis!$D$5+1)),FALSE)</f>
        <v>0</v>
      </c>
      <c r="W200" t="str">
        <f t="shared" si="14"/>
        <v/>
      </c>
      <c r="X200" t="e">
        <f t="shared" si="15"/>
        <v>#N/A</v>
      </c>
      <c r="Y200" t="str">
        <f t="shared" si="16"/>
        <v/>
      </c>
      <c r="Z200" t="str">
        <f t="shared" si="17"/>
        <v/>
      </c>
      <c r="AA200" t="e">
        <f t="shared" si="18"/>
        <v>#N/A</v>
      </c>
      <c r="AD200" t="str">
        <f t="shared" si="19"/>
        <v/>
      </c>
    </row>
    <row r="201" spans="4:30" x14ac:dyDescent="0.2">
      <c r="D201" t="str">
        <f>IF(ISNUMBER(Survey!#REF!),Survey!#REF!,"")</f>
        <v/>
      </c>
      <c r="Q201">
        <f t="shared" si="7"/>
        <v>29</v>
      </c>
      <c r="R201" s="3" t="e">
        <f t="shared" si="11"/>
        <v>#N/A</v>
      </c>
      <c r="S201" t="e">
        <f t="shared" si="8"/>
        <v>#N/A</v>
      </c>
      <c r="T201" t="b">
        <f t="shared" si="12"/>
        <v>0</v>
      </c>
      <c r="U201" t="str">
        <f t="shared" si="13"/>
        <v/>
      </c>
      <c r="V201" t="b">
        <f>IF($Q201&lt;Analysis!$D$5+1,(($Q201)/(Analysis!$D$5+1)),FALSE)</f>
        <v>0</v>
      </c>
      <c r="W201" t="str">
        <f t="shared" si="14"/>
        <v/>
      </c>
      <c r="X201" t="e">
        <f t="shared" si="15"/>
        <v>#N/A</v>
      </c>
      <c r="Y201" t="str">
        <f t="shared" si="16"/>
        <v/>
      </c>
      <c r="Z201" t="str">
        <f t="shared" si="17"/>
        <v/>
      </c>
      <c r="AA201" t="e">
        <f t="shared" si="18"/>
        <v>#N/A</v>
      </c>
      <c r="AD201" t="str">
        <f t="shared" si="19"/>
        <v/>
      </c>
    </row>
    <row r="202" spans="4:30" x14ac:dyDescent="0.2">
      <c r="D202" t="str">
        <f>IF(ISNUMBER(Survey!#REF!),Survey!#REF!,"")</f>
        <v/>
      </c>
      <c r="Q202">
        <f t="shared" si="7"/>
        <v>30</v>
      </c>
      <c r="R202" s="3" t="e">
        <f t="shared" si="11"/>
        <v>#N/A</v>
      </c>
      <c r="S202" t="e">
        <f t="shared" si="8"/>
        <v>#N/A</v>
      </c>
      <c r="T202" t="b">
        <f t="shared" si="12"/>
        <v>0</v>
      </c>
      <c r="U202" t="str">
        <f t="shared" si="13"/>
        <v/>
      </c>
      <c r="V202" t="b">
        <f>IF($Q202&lt;Analysis!$D$5+1,(($Q202)/(Analysis!$D$5+1)),FALSE)</f>
        <v>0</v>
      </c>
      <c r="W202" t="str">
        <f t="shared" si="14"/>
        <v/>
      </c>
      <c r="X202" t="e">
        <f t="shared" si="15"/>
        <v>#N/A</v>
      </c>
      <c r="Y202" t="str">
        <f t="shared" si="16"/>
        <v/>
      </c>
      <c r="Z202" t="str">
        <f t="shared" si="17"/>
        <v/>
      </c>
      <c r="AA202" t="e">
        <f t="shared" si="18"/>
        <v>#N/A</v>
      </c>
      <c r="AD202" t="str">
        <f t="shared" si="19"/>
        <v/>
      </c>
    </row>
    <row r="203" spans="4:30" x14ac:dyDescent="0.2">
      <c r="D203" t="str">
        <f>IF(ISNUMBER(Survey!#REF!),Survey!#REF!,"")</f>
        <v/>
      </c>
      <c r="Q203">
        <f t="shared" si="7"/>
        <v>31</v>
      </c>
      <c r="R203" s="3" t="e">
        <f t="shared" si="11"/>
        <v>#N/A</v>
      </c>
      <c r="S203" t="e">
        <f t="shared" si="8"/>
        <v>#N/A</v>
      </c>
      <c r="T203" t="b">
        <f t="shared" si="12"/>
        <v>0</v>
      </c>
      <c r="U203" t="str">
        <f t="shared" si="13"/>
        <v/>
      </c>
      <c r="V203" t="b">
        <f>IF($Q203&lt;Analysis!$D$5+1,(($Q203)/(Analysis!$D$5+1)),FALSE)</f>
        <v>0</v>
      </c>
      <c r="W203" t="str">
        <f t="shared" si="14"/>
        <v/>
      </c>
      <c r="X203" t="e">
        <f t="shared" si="15"/>
        <v>#N/A</v>
      </c>
      <c r="Y203" t="str">
        <f t="shared" si="16"/>
        <v/>
      </c>
      <c r="Z203" t="str">
        <f t="shared" si="17"/>
        <v/>
      </c>
      <c r="AA203" t="e">
        <f t="shared" si="18"/>
        <v>#N/A</v>
      </c>
      <c r="AD203" t="str">
        <f t="shared" si="19"/>
        <v/>
      </c>
    </row>
    <row r="204" spans="4:30" x14ac:dyDescent="0.2">
      <c r="D204" t="str">
        <f>IF(ISNUMBER(Survey!#REF!),Survey!#REF!,"")</f>
        <v/>
      </c>
      <c r="Q204">
        <f t="shared" si="7"/>
        <v>32</v>
      </c>
      <c r="R204" s="3" t="e">
        <f t="shared" si="11"/>
        <v>#N/A</v>
      </c>
      <c r="S204" t="e">
        <f t="shared" si="8"/>
        <v>#N/A</v>
      </c>
      <c r="T204" t="b">
        <f t="shared" si="12"/>
        <v>0</v>
      </c>
      <c r="U204" t="str">
        <f t="shared" si="13"/>
        <v/>
      </c>
      <c r="V204" t="b">
        <f>IF($Q204&lt;Analysis!$D$5+1,(($Q204)/(Analysis!$D$5+1)),FALSE)</f>
        <v>0</v>
      </c>
      <c r="W204" t="str">
        <f t="shared" si="14"/>
        <v/>
      </c>
      <c r="X204" t="e">
        <f t="shared" si="15"/>
        <v>#N/A</v>
      </c>
      <c r="Y204" t="str">
        <f t="shared" si="16"/>
        <v/>
      </c>
      <c r="Z204" t="str">
        <f t="shared" si="17"/>
        <v/>
      </c>
      <c r="AA204" t="e">
        <f t="shared" si="18"/>
        <v>#N/A</v>
      </c>
      <c r="AD204" t="str">
        <f t="shared" si="19"/>
        <v/>
      </c>
    </row>
    <row r="205" spans="4:30" x14ac:dyDescent="0.2">
      <c r="D205" t="str">
        <f>IF(ISNUMBER(Survey!#REF!),Survey!#REF!,"")</f>
        <v/>
      </c>
      <c r="Q205">
        <f t="shared" si="7"/>
        <v>33</v>
      </c>
      <c r="R205" s="3" t="e">
        <f t="shared" si="11"/>
        <v>#N/A</v>
      </c>
      <c r="S205" t="e">
        <f t="shared" si="8"/>
        <v>#N/A</v>
      </c>
      <c r="T205" t="b">
        <f t="shared" si="12"/>
        <v>0</v>
      </c>
      <c r="U205" t="str">
        <f t="shared" si="13"/>
        <v/>
      </c>
      <c r="V205" t="b">
        <f>IF($Q205&lt;Analysis!$D$5+1,(($Q205)/(Analysis!$D$5+1)),FALSE)</f>
        <v>0</v>
      </c>
      <c r="W205" t="str">
        <f t="shared" si="14"/>
        <v/>
      </c>
      <c r="X205" t="e">
        <f t="shared" si="15"/>
        <v>#N/A</v>
      </c>
      <c r="Y205" t="str">
        <f t="shared" si="16"/>
        <v/>
      </c>
      <c r="Z205" t="str">
        <f t="shared" si="17"/>
        <v/>
      </c>
      <c r="AA205" t="e">
        <f t="shared" si="18"/>
        <v>#N/A</v>
      </c>
      <c r="AD205" t="str">
        <f t="shared" si="19"/>
        <v/>
      </c>
    </row>
    <row r="206" spans="4:30" x14ac:dyDescent="0.2">
      <c r="D206" t="str">
        <f>IF(ISNUMBER(Survey!#REF!),Survey!#REF!,"")</f>
        <v/>
      </c>
      <c r="Q206">
        <f t="shared" si="7"/>
        <v>34</v>
      </c>
      <c r="R206" s="3" t="e">
        <f t="shared" si="11"/>
        <v>#N/A</v>
      </c>
      <c r="S206" t="e">
        <f t="shared" si="8"/>
        <v>#N/A</v>
      </c>
      <c r="T206" t="b">
        <f t="shared" si="12"/>
        <v>0</v>
      </c>
      <c r="U206" t="str">
        <f t="shared" si="13"/>
        <v/>
      </c>
      <c r="V206" t="b">
        <f>IF($Q206&lt;Analysis!$D$5+1,(($Q206)/(Analysis!$D$5+1)),FALSE)</f>
        <v>0</v>
      </c>
      <c r="W206" t="str">
        <f t="shared" si="14"/>
        <v/>
      </c>
      <c r="X206" t="e">
        <f t="shared" si="15"/>
        <v>#N/A</v>
      </c>
      <c r="Y206" t="str">
        <f t="shared" si="16"/>
        <v/>
      </c>
      <c r="Z206" t="str">
        <f t="shared" si="17"/>
        <v/>
      </c>
      <c r="AA206" t="e">
        <f t="shared" si="18"/>
        <v>#N/A</v>
      </c>
      <c r="AD206" t="str">
        <f t="shared" si="19"/>
        <v/>
      </c>
    </row>
    <row r="207" spans="4:30" x14ac:dyDescent="0.2">
      <c r="D207" t="str">
        <f>IF(ISNUMBER(Survey!#REF!),Survey!#REF!,"")</f>
        <v/>
      </c>
      <c r="Q207">
        <f t="shared" si="7"/>
        <v>35</v>
      </c>
      <c r="R207" s="3" t="e">
        <f t="shared" si="11"/>
        <v>#N/A</v>
      </c>
      <c r="S207" t="e">
        <f t="shared" si="8"/>
        <v>#N/A</v>
      </c>
      <c r="T207" t="b">
        <f t="shared" si="12"/>
        <v>0</v>
      </c>
      <c r="U207" t="str">
        <f t="shared" si="13"/>
        <v/>
      </c>
      <c r="V207" t="b">
        <f>IF($Q207&lt;Analysis!$D$5+1,(($Q207)/(Analysis!$D$5+1)),FALSE)</f>
        <v>0</v>
      </c>
      <c r="W207" t="str">
        <f t="shared" si="14"/>
        <v/>
      </c>
      <c r="X207" t="e">
        <f t="shared" si="15"/>
        <v>#N/A</v>
      </c>
      <c r="Y207" t="str">
        <f t="shared" si="16"/>
        <v/>
      </c>
      <c r="Z207" t="str">
        <f t="shared" si="17"/>
        <v/>
      </c>
      <c r="AA207" t="e">
        <f t="shared" si="18"/>
        <v>#N/A</v>
      </c>
      <c r="AD207" t="str">
        <f t="shared" si="19"/>
        <v/>
      </c>
    </row>
    <row r="208" spans="4:30" x14ac:dyDescent="0.2">
      <c r="D208" t="str">
        <f>IF(ISNUMBER(Survey!#REF!),Survey!#REF!,"")</f>
        <v/>
      </c>
      <c r="Q208">
        <f t="shared" si="7"/>
        <v>36</v>
      </c>
      <c r="R208" s="3" t="e">
        <f t="shared" si="11"/>
        <v>#N/A</v>
      </c>
      <c r="S208" t="e">
        <f t="shared" si="8"/>
        <v>#N/A</v>
      </c>
      <c r="T208" t="b">
        <f t="shared" si="12"/>
        <v>0</v>
      </c>
      <c r="U208" t="str">
        <f t="shared" si="13"/>
        <v/>
      </c>
      <c r="V208" t="b">
        <f>IF($Q208&lt;Analysis!$D$5+1,(($Q208)/(Analysis!$D$5+1)),FALSE)</f>
        <v>0</v>
      </c>
      <c r="W208" t="str">
        <f t="shared" si="14"/>
        <v/>
      </c>
      <c r="X208" t="e">
        <f t="shared" si="15"/>
        <v>#N/A</v>
      </c>
      <c r="Y208" t="str">
        <f t="shared" si="16"/>
        <v/>
      </c>
      <c r="Z208" t="str">
        <f t="shared" si="17"/>
        <v/>
      </c>
      <c r="AA208" t="e">
        <f t="shared" si="18"/>
        <v>#N/A</v>
      </c>
      <c r="AD208" t="str">
        <f t="shared" si="19"/>
        <v/>
      </c>
    </row>
    <row r="209" spans="4:30" x14ac:dyDescent="0.2">
      <c r="D209" t="str">
        <f>IF(ISNUMBER(Survey!#REF!),Survey!#REF!,"")</f>
        <v/>
      </c>
      <c r="Q209">
        <f t="shared" si="7"/>
        <v>37</v>
      </c>
      <c r="R209" s="3" t="e">
        <f t="shared" si="11"/>
        <v>#N/A</v>
      </c>
      <c r="S209" t="e">
        <f t="shared" si="8"/>
        <v>#N/A</v>
      </c>
      <c r="T209" t="b">
        <f t="shared" si="12"/>
        <v>0</v>
      </c>
      <c r="U209" t="str">
        <f t="shared" si="13"/>
        <v/>
      </c>
      <c r="V209" t="b">
        <f>IF($Q209&lt;Analysis!$D$5+1,(($Q209)/(Analysis!$D$5+1)),FALSE)</f>
        <v>0</v>
      </c>
      <c r="W209" t="str">
        <f t="shared" si="14"/>
        <v/>
      </c>
      <c r="X209" t="e">
        <f t="shared" si="15"/>
        <v>#N/A</v>
      </c>
      <c r="Y209" t="str">
        <f t="shared" si="16"/>
        <v/>
      </c>
      <c r="Z209" t="str">
        <f t="shared" si="17"/>
        <v/>
      </c>
      <c r="AA209" t="e">
        <f t="shared" si="18"/>
        <v>#N/A</v>
      </c>
      <c r="AD209" t="str">
        <f t="shared" si="19"/>
        <v/>
      </c>
    </row>
    <row r="210" spans="4:30" x14ac:dyDescent="0.2">
      <c r="D210" t="str">
        <f>IF(ISNUMBER(Survey!#REF!),Survey!#REF!,"")</f>
        <v/>
      </c>
      <c r="Q210">
        <f t="shared" si="7"/>
        <v>38</v>
      </c>
      <c r="R210" s="3" t="e">
        <f t="shared" si="11"/>
        <v>#N/A</v>
      </c>
      <c r="S210" t="e">
        <f t="shared" si="8"/>
        <v>#N/A</v>
      </c>
      <c r="T210" t="b">
        <f t="shared" si="12"/>
        <v>0</v>
      </c>
      <c r="U210" t="str">
        <f t="shared" si="13"/>
        <v/>
      </c>
      <c r="V210" t="b">
        <f>IF($Q210&lt;Analysis!$D$5+1,(($Q210)/(Analysis!$D$5+1)),FALSE)</f>
        <v>0</v>
      </c>
      <c r="W210" t="str">
        <f t="shared" si="14"/>
        <v/>
      </c>
      <c r="X210" t="e">
        <f t="shared" si="15"/>
        <v>#N/A</v>
      </c>
      <c r="Y210" t="str">
        <f t="shared" si="16"/>
        <v/>
      </c>
      <c r="Z210" t="str">
        <f t="shared" si="17"/>
        <v/>
      </c>
      <c r="AA210" t="e">
        <f t="shared" si="18"/>
        <v>#N/A</v>
      </c>
      <c r="AD210" t="str">
        <f t="shared" si="19"/>
        <v/>
      </c>
    </row>
    <row r="211" spans="4:30" x14ac:dyDescent="0.2">
      <c r="D211" t="str">
        <f>IF(ISNUMBER(Survey!#REF!),Survey!#REF!,"")</f>
        <v/>
      </c>
      <c r="Q211">
        <f t="shared" si="7"/>
        <v>39</v>
      </c>
      <c r="R211" s="3" t="e">
        <f t="shared" si="11"/>
        <v>#N/A</v>
      </c>
      <c r="S211" t="e">
        <f t="shared" si="8"/>
        <v>#N/A</v>
      </c>
      <c r="T211" t="b">
        <f t="shared" si="12"/>
        <v>0</v>
      </c>
      <c r="U211" t="str">
        <f t="shared" si="13"/>
        <v/>
      </c>
      <c r="V211" t="b">
        <f>IF($Q211&lt;Analysis!$D$5+1,(($Q211)/(Analysis!$D$5+1)),FALSE)</f>
        <v>0</v>
      </c>
      <c r="W211" t="str">
        <f t="shared" si="14"/>
        <v/>
      </c>
      <c r="X211" t="e">
        <f t="shared" si="15"/>
        <v>#N/A</v>
      </c>
      <c r="Y211" t="str">
        <f t="shared" si="16"/>
        <v/>
      </c>
      <c r="Z211" t="str">
        <f t="shared" si="17"/>
        <v/>
      </c>
      <c r="AA211" t="e">
        <f t="shared" si="18"/>
        <v>#N/A</v>
      </c>
      <c r="AD211" t="str">
        <f t="shared" si="19"/>
        <v/>
      </c>
    </row>
    <row r="212" spans="4:30" x14ac:dyDescent="0.2">
      <c r="D212" t="str">
        <f>IF(ISNUMBER(Survey!#REF!),Survey!#REF!,"")</f>
        <v/>
      </c>
      <c r="Q212">
        <f t="shared" si="7"/>
        <v>40</v>
      </c>
      <c r="R212" s="3" t="e">
        <f t="shared" si="11"/>
        <v>#N/A</v>
      </c>
      <c r="S212" t="e">
        <f t="shared" si="8"/>
        <v>#N/A</v>
      </c>
      <c r="T212" t="b">
        <f t="shared" si="12"/>
        <v>0</v>
      </c>
      <c r="U212" t="str">
        <f t="shared" si="13"/>
        <v/>
      </c>
      <c r="V212" t="b">
        <f>IF($Q212&lt;Analysis!$D$5+1,(($Q212)/(Analysis!$D$5+1)),FALSE)</f>
        <v>0</v>
      </c>
      <c r="W212" t="str">
        <f t="shared" si="14"/>
        <v/>
      </c>
      <c r="X212" t="e">
        <f t="shared" si="15"/>
        <v>#N/A</v>
      </c>
      <c r="Y212" t="str">
        <f t="shared" si="16"/>
        <v/>
      </c>
      <c r="Z212" t="str">
        <f t="shared" si="17"/>
        <v/>
      </c>
      <c r="AA212" t="e">
        <f t="shared" si="18"/>
        <v>#N/A</v>
      </c>
      <c r="AD212" t="str">
        <f t="shared" si="19"/>
        <v/>
      </c>
    </row>
    <row r="213" spans="4:30" x14ac:dyDescent="0.2">
      <c r="D213" t="str">
        <f>IF(ISNUMBER(Survey!#REF!),Survey!#REF!,"")</f>
        <v/>
      </c>
      <c r="Q213">
        <f t="shared" si="7"/>
        <v>41</v>
      </c>
      <c r="R213" s="3" t="e">
        <f t="shared" si="11"/>
        <v>#N/A</v>
      </c>
      <c r="S213" t="e">
        <f t="shared" si="8"/>
        <v>#N/A</v>
      </c>
      <c r="T213" t="b">
        <f t="shared" si="12"/>
        <v>0</v>
      </c>
      <c r="U213" t="str">
        <f t="shared" si="13"/>
        <v/>
      </c>
      <c r="V213" t="b">
        <f>IF($Q213&lt;Analysis!$D$5+1,(($Q213)/(Analysis!$D$5+1)),FALSE)</f>
        <v>0</v>
      </c>
      <c r="W213" t="str">
        <f t="shared" si="14"/>
        <v/>
      </c>
      <c r="X213" t="e">
        <f t="shared" si="15"/>
        <v>#N/A</v>
      </c>
      <c r="Y213" t="str">
        <f t="shared" si="16"/>
        <v/>
      </c>
      <c r="Z213" t="str">
        <f t="shared" si="17"/>
        <v/>
      </c>
      <c r="AA213" t="e">
        <f t="shared" si="18"/>
        <v>#N/A</v>
      </c>
      <c r="AD213" t="str">
        <f t="shared" si="19"/>
        <v/>
      </c>
    </row>
    <row r="214" spans="4:30" x14ac:dyDescent="0.2">
      <c r="D214" t="str">
        <f>IF(ISNUMBER(Survey!#REF!),Survey!#REF!,"")</f>
        <v/>
      </c>
      <c r="Q214">
        <f t="shared" si="7"/>
        <v>42</v>
      </c>
      <c r="R214" s="3" t="e">
        <f t="shared" si="11"/>
        <v>#N/A</v>
      </c>
      <c r="S214" t="e">
        <f t="shared" si="8"/>
        <v>#N/A</v>
      </c>
      <c r="T214" t="b">
        <f t="shared" si="12"/>
        <v>0</v>
      </c>
      <c r="U214" t="str">
        <f t="shared" si="13"/>
        <v/>
      </c>
      <c r="V214" t="b">
        <f>IF($Q214&lt;Analysis!$D$5+1,(($Q214)/(Analysis!$D$5+1)),FALSE)</f>
        <v>0</v>
      </c>
      <c r="W214" t="str">
        <f t="shared" si="14"/>
        <v/>
      </c>
      <c r="X214" t="e">
        <f t="shared" si="15"/>
        <v>#N/A</v>
      </c>
      <c r="Y214" t="str">
        <f t="shared" si="16"/>
        <v/>
      </c>
      <c r="Z214" t="str">
        <f t="shared" si="17"/>
        <v/>
      </c>
      <c r="AA214" t="e">
        <f t="shared" si="18"/>
        <v>#N/A</v>
      </c>
      <c r="AD214" t="str">
        <f t="shared" si="19"/>
        <v/>
      </c>
    </row>
    <row r="215" spans="4:30" x14ac:dyDescent="0.2">
      <c r="D215" t="str">
        <f>IF(ISNUMBER(Survey!#REF!),Survey!#REF!,"")</f>
        <v/>
      </c>
      <c r="Q215">
        <f t="shared" si="7"/>
        <v>43</v>
      </c>
      <c r="R215" s="3" t="e">
        <f t="shared" si="11"/>
        <v>#N/A</v>
      </c>
      <c r="S215" t="e">
        <f t="shared" si="8"/>
        <v>#N/A</v>
      </c>
      <c r="T215" t="b">
        <f t="shared" si="12"/>
        <v>0</v>
      </c>
      <c r="U215" t="str">
        <f t="shared" si="13"/>
        <v/>
      </c>
      <c r="V215" t="b">
        <f>IF($Q215&lt;Analysis!$D$5+1,(($Q215)/(Analysis!$D$5+1)),FALSE)</f>
        <v>0</v>
      </c>
      <c r="W215" t="str">
        <f t="shared" si="14"/>
        <v/>
      </c>
      <c r="X215" t="e">
        <f t="shared" si="15"/>
        <v>#N/A</v>
      </c>
      <c r="Y215" t="str">
        <f t="shared" si="16"/>
        <v/>
      </c>
      <c r="Z215" t="str">
        <f t="shared" si="17"/>
        <v/>
      </c>
      <c r="AA215" t="e">
        <f t="shared" si="18"/>
        <v>#N/A</v>
      </c>
      <c r="AD215" t="str">
        <f t="shared" si="19"/>
        <v/>
      </c>
    </row>
    <row r="216" spans="4:30" x14ac:dyDescent="0.2">
      <c r="D216" t="str">
        <f>IF(ISNUMBER(Survey!#REF!),Survey!#REF!,"")</f>
        <v/>
      </c>
      <c r="Q216">
        <f t="shared" si="7"/>
        <v>44</v>
      </c>
      <c r="R216" s="3" t="e">
        <f t="shared" si="11"/>
        <v>#N/A</v>
      </c>
      <c r="S216" t="e">
        <f t="shared" si="8"/>
        <v>#N/A</v>
      </c>
      <c r="T216" t="b">
        <f t="shared" si="12"/>
        <v>0</v>
      </c>
      <c r="U216" t="str">
        <f t="shared" si="13"/>
        <v/>
      </c>
      <c r="V216" t="b">
        <f>IF($Q216&lt;Analysis!$D$5+1,(($Q216)/(Analysis!$D$5+1)),FALSE)</f>
        <v>0</v>
      </c>
      <c r="W216" t="str">
        <f t="shared" si="14"/>
        <v/>
      </c>
      <c r="X216" t="e">
        <f t="shared" si="15"/>
        <v>#N/A</v>
      </c>
      <c r="Y216" t="str">
        <f t="shared" si="16"/>
        <v/>
      </c>
      <c r="Z216" t="str">
        <f t="shared" si="17"/>
        <v/>
      </c>
      <c r="AA216" t="e">
        <f t="shared" si="18"/>
        <v>#N/A</v>
      </c>
      <c r="AD216" t="str">
        <f t="shared" si="19"/>
        <v/>
      </c>
    </row>
    <row r="217" spans="4:30" x14ac:dyDescent="0.2">
      <c r="D217" t="str">
        <f>IF(ISNUMBER(Survey!#REF!),Survey!#REF!,"")</f>
        <v/>
      </c>
      <c r="Q217">
        <f t="shared" si="7"/>
        <v>45</v>
      </c>
      <c r="R217" s="3" t="e">
        <f t="shared" si="11"/>
        <v>#N/A</v>
      </c>
      <c r="S217" t="e">
        <f t="shared" si="8"/>
        <v>#N/A</v>
      </c>
      <c r="T217" t="b">
        <f t="shared" si="12"/>
        <v>0</v>
      </c>
      <c r="U217" t="str">
        <f t="shared" si="13"/>
        <v/>
      </c>
      <c r="V217" t="b">
        <f>IF($Q217&lt;Analysis!$D$5+1,(($Q217)/(Analysis!$D$5+1)),FALSE)</f>
        <v>0</v>
      </c>
      <c r="W217" t="str">
        <f t="shared" si="14"/>
        <v/>
      </c>
      <c r="X217" t="e">
        <f t="shared" si="15"/>
        <v>#N/A</v>
      </c>
      <c r="Y217" t="str">
        <f t="shared" si="16"/>
        <v/>
      </c>
      <c r="Z217" t="str">
        <f t="shared" si="17"/>
        <v/>
      </c>
      <c r="AA217" t="e">
        <f t="shared" si="18"/>
        <v>#N/A</v>
      </c>
      <c r="AD217" t="str">
        <f t="shared" si="19"/>
        <v/>
      </c>
    </row>
    <row r="218" spans="4:30" x14ac:dyDescent="0.2">
      <c r="D218" t="str">
        <f>IF(ISNUMBER(Survey!#REF!),Survey!#REF!,"")</f>
        <v/>
      </c>
      <c r="Q218">
        <f t="shared" ref="Q218:Q223" si="23">B48</f>
        <v>46</v>
      </c>
      <c r="R218" s="3" t="e">
        <f t="shared" si="11"/>
        <v>#N/A</v>
      </c>
      <c r="S218" t="e">
        <f t="shared" si="8"/>
        <v>#N/A</v>
      </c>
      <c r="T218" t="b">
        <f t="shared" si="12"/>
        <v>0</v>
      </c>
      <c r="U218" t="str">
        <f t="shared" si="13"/>
        <v/>
      </c>
      <c r="V218" t="b">
        <f>IF($Q218&lt;Analysis!$D$5+1,(($Q218)/(Analysis!$D$5+1)),FALSE)</f>
        <v>0</v>
      </c>
      <c r="W218" t="str">
        <f t="shared" si="14"/>
        <v/>
      </c>
      <c r="X218" t="e">
        <f t="shared" si="15"/>
        <v>#N/A</v>
      </c>
      <c r="Y218" t="str">
        <f t="shared" si="16"/>
        <v/>
      </c>
      <c r="Z218" t="str">
        <f t="shared" si="17"/>
        <v/>
      </c>
      <c r="AA218" t="e">
        <f t="shared" si="18"/>
        <v>#N/A</v>
      </c>
      <c r="AD218" t="str">
        <f t="shared" si="19"/>
        <v/>
      </c>
    </row>
    <row r="219" spans="4:30" x14ac:dyDescent="0.2">
      <c r="D219" t="str">
        <f>IF(ISNUMBER(Survey!#REF!),Survey!#REF!,"")</f>
        <v/>
      </c>
      <c r="Q219">
        <f t="shared" si="23"/>
        <v>47</v>
      </c>
      <c r="R219" s="3" t="e">
        <f t="shared" si="11"/>
        <v>#N/A</v>
      </c>
      <c r="S219" t="e">
        <f>D49</f>
        <v>#N/A</v>
      </c>
      <c r="T219" t="b">
        <f t="shared" si="12"/>
        <v>0</v>
      </c>
      <c r="U219" t="str">
        <f t="shared" si="13"/>
        <v/>
      </c>
      <c r="V219" t="b">
        <f>IF($Q219&lt;Analysis!$D$5+1,(($Q219)/(Analysis!$D$5+1)),FALSE)</f>
        <v>0</v>
      </c>
      <c r="W219" t="str">
        <f t="shared" si="14"/>
        <v/>
      </c>
      <c r="X219" t="e">
        <f t="shared" si="15"/>
        <v>#N/A</v>
      </c>
      <c r="Y219" t="str">
        <f t="shared" si="16"/>
        <v/>
      </c>
      <c r="Z219" t="str">
        <f t="shared" si="17"/>
        <v/>
      </c>
      <c r="AA219" t="e">
        <f t="shared" si="18"/>
        <v>#N/A</v>
      </c>
      <c r="AD219" t="str">
        <f t="shared" si="19"/>
        <v/>
      </c>
    </row>
    <row r="220" spans="4:30" x14ac:dyDescent="0.2">
      <c r="D220" t="str">
        <f>IF(ISNUMBER(Survey!#REF!),Survey!#REF!,"")</f>
        <v/>
      </c>
      <c r="Q220">
        <f t="shared" si="23"/>
        <v>48</v>
      </c>
      <c r="R220" s="3" t="e">
        <f t="shared" si="11"/>
        <v>#N/A</v>
      </c>
      <c r="S220" t="e">
        <f>D50</f>
        <v>#N/A</v>
      </c>
      <c r="T220" t="b">
        <f t="shared" si="12"/>
        <v>0</v>
      </c>
      <c r="U220" t="str">
        <f t="shared" si="13"/>
        <v/>
      </c>
      <c r="V220" t="b">
        <f>IF($Q220&lt;Analysis!$D$5+1,(($Q220)/(Analysis!$D$5+1)),FALSE)</f>
        <v>0</v>
      </c>
      <c r="W220" t="str">
        <f t="shared" si="14"/>
        <v/>
      </c>
      <c r="X220" t="e">
        <f t="shared" si="15"/>
        <v>#N/A</v>
      </c>
      <c r="Y220" t="str">
        <f t="shared" si="16"/>
        <v/>
      </c>
      <c r="Z220" t="str">
        <f t="shared" si="17"/>
        <v/>
      </c>
      <c r="AA220" t="e">
        <f t="shared" si="18"/>
        <v>#N/A</v>
      </c>
      <c r="AD220" t="str">
        <f t="shared" si="19"/>
        <v/>
      </c>
    </row>
    <row r="221" spans="4:30" x14ac:dyDescent="0.2">
      <c r="D221" t="str">
        <f>IF(ISNUMBER(Survey!#REF!),Survey!#REF!,"")</f>
        <v/>
      </c>
      <c r="Q221">
        <f t="shared" si="23"/>
        <v>49</v>
      </c>
      <c r="R221" s="3" t="e">
        <f t="shared" si="11"/>
        <v>#N/A</v>
      </c>
      <c r="S221" t="e">
        <f>D51</f>
        <v>#N/A</v>
      </c>
      <c r="T221" t="b">
        <f t="shared" si="12"/>
        <v>0</v>
      </c>
      <c r="U221" t="str">
        <f t="shared" si="13"/>
        <v/>
      </c>
      <c r="V221" t="b">
        <f>IF($Q221&lt;Analysis!$D$5+1,(($Q221)/(Analysis!$D$5+1)),FALSE)</f>
        <v>0</v>
      </c>
      <c r="W221" t="str">
        <f t="shared" si="14"/>
        <v/>
      </c>
      <c r="X221" t="e">
        <f t="shared" si="15"/>
        <v>#N/A</v>
      </c>
      <c r="Y221" t="str">
        <f t="shared" si="16"/>
        <v/>
      </c>
      <c r="Z221" t="str">
        <f t="shared" si="17"/>
        <v/>
      </c>
      <c r="AA221" t="e">
        <f t="shared" si="18"/>
        <v>#N/A</v>
      </c>
      <c r="AD221" t="str">
        <f t="shared" si="19"/>
        <v/>
      </c>
    </row>
    <row r="222" spans="4:30" x14ac:dyDescent="0.2">
      <c r="D222" t="str">
        <f>IF(ISNUMBER(Survey!#REF!),Survey!#REF!,"")</f>
        <v/>
      </c>
      <c r="Q222">
        <f t="shared" si="23"/>
        <v>50</v>
      </c>
      <c r="R222" s="3" t="e">
        <f t="shared" si="11"/>
        <v>#N/A</v>
      </c>
      <c r="S222" t="e">
        <f>D52</f>
        <v>#N/A</v>
      </c>
      <c r="T222" t="b">
        <f t="shared" si="12"/>
        <v>0</v>
      </c>
      <c r="U222" t="str">
        <f t="shared" si="13"/>
        <v/>
      </c>
      <c r="V222" t="b">
        <f>IF($Q222&lt;Analysis!$D$5+1,(($Q222)/(Analysis!$D$5+1)),FALSE)</f>
        <v>0</v>
      </c>
      <c r="W222" t="str">
        <f t="shared" si="14"/>
        <v/>
      </c>
      <c r="X222" t="e">
        <f t="shared" si="15"/>
        <v>#N/A</v>
      </c>
      <c r="Y222" t="str">
        <f t="shared" si="16"/>
        <v/>
      </c>
      <c r="Z222" t="str">
        <f t="shared" si="17"/>
        <v/>
      </c>
      <c r="AA222" t="e">
        <f t="shared" si="18"/>
        <v>#N/A</v>
      </c>
      <c r="AD222" t="str">
        <f t="shared" si="19"/>
        <v/>
      </c>
    </row>
    <row r="223" spans="4:30" x14ac:dyDescent="0.2">
      <c r="D223" t="str">
        <f>IF(ISNUMBER(Survey!#REF!),Survey!#REF!,"")</f>
        <v/>
      </c>
      <c r="Q223">
        <f t="shared" si="23"/>
        <v>51</v>
      </c>
      <c r="R223" s="3" t="e">
        <f t="shared" si="11"/>
        <v>#N/A</v>
      </c>
      <c r="S223" t="e">
        <f>D53</f>
        <v>#N/A</v>
      </c>
      <c r="T223" t="b">
        <f t="shared" si="12"/>
        <v>0</v>
      </c>
      <c r="U223" t="str">
        <f t="shared" si="13"/>
        <v/>
      </c>
      <c r="V223" t="b">
        <f>IF($Q223&lt;Analysis!$D$5+1,(($Q223)/(Analysis!$D$5+1)),FALSE)</f>
        <v>0</v>
      </c>
      <c r="W223" t="str">
        <f t="shared" si="14"/>
        <v/>
      </c>
      <c r="X223" t="e">
        <f t="shared" si="15"/>
        <v>#N/A</v>
      </c>
      <c r="Y223" t="str">
        <f t="shared" si="16"/>
        <v/>
      </c>
      <c r="Z223" t="str">
        <f t="shared" si="17"/>
        <v/>
      </c>
      <c r="AA223" t="e">
        <f t="shared" si="18"/>
        <v>#N/A</v>
      </c>
      <c r="AD223" t="str">
        <f t="shared" si="19"/>
        <v/>
      </c>
    </row>
    <row r="224" spans="4:30" x14ac:dyDescent="0.2">
      <c r="D224" t="str">
        <f>IF(ISNUMBER(Survey!#REF!),Survey!#REF!,"")</f>
        <v/>
      </c>
    </row>
  </sheetData>
  <mergeCells count="11">
    <mergeCell ref="A1:G1"/>
    <mergeCell ref="A55:G56"/>
    <mergeCell ref="A169:F170"/>
    <mergeCell ref="B57:D57"/>
    <mergeCell ref="E57:G57"/>
    <mergeCell ref="G172:H172"/>
    <mergeCell ref="F171:H171"/>
    <mergeCell ref="I171:K171"/>
    <mergeCell ref="M174:O174"/>
    <mergeCell ref="B58:D58"/>
    <mergeCell ref="E58:G5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71072-1FCF-4C70-9CE4-6CB418EB61D9}">
  <sheetPr>
    <tabColor theme="1"/>
  </sheetPr>
  <dimension ref="B1:R626"/>
  <sheetViews>
    <sheetView showGridLines="0" topLeftCell="A44" workbookViewId="0">
      <selection activeCell="A352" sqref="A352:XFD352"/>
    </sheetView>
  </sheetViews>
  <sheetFormatPr baseColWidth="10" defaultRowHeight="15" x14ac:dyDescent="0.2"/>
  <cols>
    <col min="3" max="3" width="63.5" bestFit="1" customWidth="1"/>
    <col min="16" max="16" width="25.5" customWidth="1"/>
  </cols>
  <sheetData>
    <row r="1" spans="2:18" ht="16" thickBot="1" x14ac:dyDescent="0.25"/>
    <row r="2" spans="2:18" x14ac:dyDescent="0.2">
      <c r="B2" s="666" t="s">
        <v>4</v>
      </c>
      <c r="C2" s="667"/>
      <c r="D2" s="667"/>
      <c r="E2" s="667"/>
      <c r="F2" s="667"/>
      <c r="G2" s="667"/>
      <c r="H2" s="667"/>
      <c r="I2" s="667"/>
      <c r="J2" s="667"/>
      <c r="K2" s="668"/>
    </row>
    <row r="3" spans="2:18" x14ac:dyDescent="0.2">
      <c r="B3" s="217"/>
      <c r="C3" s="218"/>
      <c r="D3" s="669" t="s">
        <v>401</v>
      </c>
      <c r="E3" s="669"/>
      <c r="F3" s="669"/>
      <c r="G3" s="669" t="s">
        <v>402</v>
      </c>
      <c r="H3" s="669"/>
      <c r="I3" s="669" t="s">
        <v>399</v>
      </c>
      <c r="J3" s="669"/>
      <c r="K3" s="670" t="s">
        <v>201</v>
      </c>
      <c r="O3" s="237" t="str">
        <f>IFERROR(IF(Survey!$C$8=0,"",Survey!$C$8),"")</f>
        <v>styren</v>
      </c>
      <c r="Q3" s="238" t="str">
        <f>IFERROR(IF(ISNUMBER(LEFT(Survey!$C$7,1)),Survey!$C$7,""),"")</f>
        <v/>
      </c>
    </row>
    <row r="4" spans="2:18" ht="16" thickBot="1" x14ac:dyDescent="0.25">
      <c r="B4" s="219" t="s">
        <v>403</v>
      </c>
      <c r="C4" s="220" t="s">
        <v>404</v>
      </c>
      <c r="D4" s="220" t="s">
        <v>20</v>
      </c>
      <c r="E4" s="220" t="s">
        <v>405</v>
      </c>
      <c r="F4" s="220" t="s">
        <v>406</v>
      </c>
      <c r="G4" s="220" t="s">
        <v>20</v>
      </c>
      <c r="H4" s="220" t="s">
        <v>405</v>
      </c>
      <c r="I4" s="220" t="s">
        <v>20</v>
      </c>
      <c r="J4" s="220" t="s">
        <v>405</v>
      </c>
      <c r="K4" s="671"/>
    </row>
    <row r="5" spans="2:18" x14ac:dyDescent="0.2">
      <c r="B5" s="221" t="s">
        <v>407</v>
      </c>
      <c r="C5" s="222" t="s">
        <v>408</v>
      </c>
      <c r="D5" s="223">
        <v>25</v>
      </c>
      <c r="E5" s="223">
        <v>45</v>
      </c>
      <c r="F5" s="223"/>
      <c r="G5" s="222"/>
      <c r="H5" s="223"/>
      <c r="I5" s="223"/>
      <c r="J5" s="223"/>
      <c r="K5" s="224"/>
      <c r="O5">
        <f>IF(ISNUMBER(FIND($O$3,$C5)),MAXA($O$4:O4)+1,0)</f>
        <v>0</v>
      </c>
      <c r="P5" t="str">
        <f>IFERROR(INDEX($B$5:$O$625,MATCH(ROWS($P$5:$P5),$O$5:$O$625,0),2),"")</f>
        <v>Klorpyrifos</v>
      </c>
      <c r="Q5">
        <f>IF(ISNUMBER(FIND($Q$3,$B5)),MAXA($Q$4:Q4)+1,0)</f>
        <v>1</v>
      </c>
      <c r="R5" t="str">
        <f>IFERROR(INDEX($B$5:$Q$625,MATCH(ROWS($R$5:$R5),$Q$5:$Q$625,0),1),"")</f>
        <v>75-07-0</v>
      </c>
    </row>
    <row r="6" spans="2:18" x14ac:dyDescent="0.2">
      <c r="B6" s="225" t="s">
        <v>409</v>
      </c>
      <c r="C6" s="226" t="s">
        <v>410</v>
      </c>
      <c r="D6" s="227">
        <v>10</v>
      </c>
      <c r="E6" s="227">
        <v>25</v>
      </c>
      <c r="F6" s="227"/>
      <c r="G6" s="226"/>
      <c r="H6" s="227"/>
      <c r="I6" s="227"/>
      <c r="J6" s="227"/>
      <c r="K6" s="228"/>
      <c r="O6">
        <f>IF(ISNUMBER(FIND($O$3,$C6)),MAXA($O$4:O5)+1,0)</f>
        <v>0</v>
      </c>
      <c r="P6" t="str">
        <f>IFERROR(INDEX($B$5:$O$625,MATCH(ROWS($P$5:$P6),$O$5:$O$625,0),2),"")</f>
        <v/>
      </c>
      <c r="Q6">
        <f>IF(ISNUMBER(FIND($Q$3,$B6)),MAXA($Q$4:Q5)+1,0)</f>
        <v>2</v>
      </c>
      <c r="R6" t="str">
        <f>IFERROR(INDEX($B$5:$Q$625,MATCH(ROWS($R$5:$R6),$Q$5:$Q$625,0),1),"")</f>
        <v>60-35-5</v>
      </c>
    </row>
    <row r="7" spans="2:18" x14ac:dyDescent="0.2">
      <c r="B7" s="225" t="s">
        <v>411</v>
      </c>
      <c r="C7" s="226" t="s">
        <v>412</v>
      </c>
      <c r="D7" s="227">
        <v>125</v>
      </c>
      <c r="E7" s="227">
        <v>295</v>
      </c>
      <c r="F7" s="227"/>
      <c r="G7" s="226"/>
      <c r="H7" s="227"/>
      <c r="I7" s="227"/>
      <c r="J7" s="227"/>
      <c r="K7" s="228"/>
      <c r="O7">
        <f>IF(ISNUMBER(FIND($O$3,$C7)),MAXA($O$4:O6)+1,0)</f>
        <v>0</v>
      </c>
      <c r="P7" t="str">
        <f>IFERROR(INDEX($B$5:$O$625,MATCH(ROWS($P$5:$P7),$O$5:$O$625,0),2),"")</f>
        <v/>
      </c>
      <c r="Q7">
        <f>IF(ISNUMBER(FIND($Q$3,$B7)),MAXA($Q$4:Q6)+1,0)</f>
        <v>3</v>
      </c>
      <c r="R7" t="str">
        <f>IFERROR(INDEX($B$5:$Q$625,MATCH(ROWS($R$5:$R7),$Q$5:$Q$625,0),1),"")</f>
        <v>67-64-1</v>
      </c>
    </row>
    <row r="8" spans="2:18" x14ac:dyDescent="0.2">
      <c r="B8" s="225" t="s">
        <v>413</v>
      </c>
      <c r="C8" s="226" t="s">
        <v>414</v>
      </c>
      <c r="D8" s="227">
        <v>30</v>
      </c>
      <c r="E8" s="227">
        <v>50</v>
      </c>
      <c r="F8" s="227"/>
      <c r="G8" s="226"/>
      <c r="H8" s="227"/>
      <c r="I8" s="227"/>
      <c r="J8" s="227"/>
      <c r="K8" s="228"/>
      <c r="O8">
        <f>IF(ISNUMBER(FIND($O$3,$C8)),MAXA($O$4:O7)+1,0)</f>
        <v>0</v>
      </c>
      <c r="P8" t="str">
        <f>IFERROR(INDEX($B$5:$O$625,MATCH(ROWS($P$5:$P8),$O$5:$O$625,0),2),"")</f>
        <v/>
      </c>
      <c r="Q8">
        <f>IF(ISNUMBER(FIND($Q$3,$B8)),MAXA($Q$4:Q7)+1,0)</f>
        <v>4</v>
      </c>
      <c r="R8" t="str">
        <f>IFERROR(INDEX($B$5:$Q$625,MATCH(ROWS($R$5:$R8),$Q$5:$Q$625,0),1),"")</f>
        <v>75-05-8</v>
      </c>
    </row>
    <row r="9" spans="2:18" x14ac:dyDescent="0.2">
      <c r="B9" s="225" t="s">
        <v>415</v>
      </c>
      <c r="C9" s="226" t="s">
        <v>416</v>
      </c>
      <c r="D9" s="227"/>
      <c r="E9" s="227">
        <v>5</v>
      </c>
      <c r="F9" s="227"/>
      <c r="G9" s="226"/>
      <c r="H9" s="227"/>
      <c r="I9" s="227"/>
      <c r="J9" s="227"/>
      <c r="K9" s="228"/>
      <c r="O9">
        <f>IF(ISNUMBER(FIND($O$3,$C9)),MAXA($O$4:O8)+1,0)</f>
        <v>0</v>
      </c>
      <c r="P9" t="str">
        <f>IFERROR(INDEX($B$5:$O$625,MATCH(ROWS($P$5:$P9),$O$5:$O$625,0),2),"")</f>
        <v/>
      </c>
      <c r="Q9">
        <f>IF(ISNUMBER(FIND($Q$3,$B9)),MAXA($Q$4:Q8)+1,0)</f>
        <v>5</v>
      </c>
      <c r="R9" t="str">
        <f>IFERROR(INDEX($B$5:$Q$625,MATCH(ROWS($R$5:$R9),$Q$5:$Q$625,0),1),"")</f>
        <v>50-78-2</v>
      </c>
    </row>
    <row r="10" spans="2:18" x14ac:dyDescent="0.2">
      <c r="B10" s="225"/>
      <c r="C10" s="226" t="s">
        <v>417</v>
      </c>
      <c r="D10" s="227"/>
      <c r="E10" s="227"/>
      <c r="F10" s="227">
        <v>0.5</v>
      </c>
      <c r="G10" s="226"/>
      <c r="H10" s="227"/>
      <c r="I10" s="227"/>
      <c r="J10" s="227"/>
      <c r="K10" s="228"/>
      <c r="O10">
        <f>IF(ISNUMBER(FIND($O$3,$C10)),MAXA($O$4:O9)+1,0)</f>
        <v>0</v>
      </c>
      <c r="P10" t="str">
        <f>IFERROR(INDEX($B$5:$O$625,MATCH(ROWS($P$5:$P10),$O$5:$O$625,0),2),"")</f>
        <v/>
      </c>
      <c r="Q10">
        <f>IF(ISNUMBER(FIND($Q$3,$B10)),MAXA($Q$4:Q9)+1,0)</f>
        <v>6</v>
      </c>
      <c r="R10">
        <f>IFERROR(INDEX($B$5:$Q$625,MATCH(ROWS($R$5:$R10),$Q$5:$Q$625,0),1),"")</f>
        <v>0</v>
      </c>
    </row>
    <row r="11" spans="2:18" x14ac:dyDescent="0.2">
      <c r="B11" s="225" t="s">
        <v>418</v>
      </c>
      <c r="C11" s="226" t="s">
        <v>419</v>
      </c>
      <c r="D11" s="227">
        <v>0.1</v>
      </c>
      <c r="E11" s="227">
        <v>0.25</v>
      </c>
      <c r="F11" s="227"/>
      <c r="G11" s="226"/>
      <c r="H11" s="227"/>
      <c r="I11" s="227"/>
      <c r="J11" s="227"/>
      <c r="K11" s="228"/>
      <c r="O11">
        <f>IF(ISNUMBER(FIND($O$3,$C11)),MAXA($O$4:O10)+1,0)</f>
        <v>0</v>
      </c>
      <c r="P11" t="str">
        <f>IFERROR(INDEX($B$5:$O$625,MATCH(ROWS($P$5:$P11),$O$5:$O$625,0),2),"")</f>
        <v/>
      </c>
      <c r="Q11">
        <f>IF(ISNUMBER(FIND($Q$3,$B11)),MAXA($Q$4:Q10)+1,0)</f>
        <v>7</v>
      </c>
      <c r="R11" t="str">
        <f>IFERROR(INDEX($B$5:$Q$625,MATCH(ROWS($R$5:$R11),$Q$5:$Q$625,0),1),"")</f>
        <v>107-02-8</v>
      </c>
    </row>
    <row r="12" spans="2:18" x14ac:dyDescent="0.2">
      <c r="B12" s="225" t="s">
        <v>420</v>
      </c>
      <c r="C12" s="226" t="s">
        <v>421</v>
      </c>
      <c r="D12" s="227"/>
      <c r="E12" s="227">
        <v>0.03</v>
      </c>
      <c r="F12" s="227"/>
      <c r="G12" s="226"/>
      <c r="H12" s="227"/>
      <c r="I12" s="227"/>
      <c r="J12" s="227"/>
      <c r="K12" s="228"/>
      <c r="O12">
        <f>IF(ISNUMBER(FIND($O$3,$C12)),MAXA($O$4:O11)+1,0)</f>
        <v>0</v>
      </c>
      <c r="P12" t="str">
        <f>IFERROR(INDEX($B$5:$O$625,MATCH(ROWS($P$5:$P12),$O$5:$O$625,0),2),"")</f>
        <v/>
      </c>
      <c r="Q12">
        <f>IF(ISNUMBER(FIND($Q$3,$B12)),MAXA($Q$4:Q11)+1,0)</f>
        <v>8</v>
      </c>
      <c r="R12" t="str">
        <f>IFERROR(INDEX($B$5:$Q$625,MATCH(ROWS($R$5:$R12),$Q$5:$Q$625,0),1),"")</f>
        <v>79-06-1</v>
      </c>
    </row>
    <row r="13" spans="2:18" x14ac:dyDescent="0.2">
      <c r="B13" s="225" t="s">
        <v>422</v>
      </c>
      <c r="C13" s="226" t="s">
        <v>423</v>
      </c>
      <c r="D13" s="227">
        <v>2</v>
      </c>
      <c r="E13" s="227">
        <v>4</v>
      </c>
      <c r="F13" s="227"/>
      <c r="G13" s="226"/>
      <c r="H13" s="227"/>
      <c r="I13" s="227"/>
      <c r="J13" s="227"/>
      <c r="K13" s="228"/>
      <c r="O13">
        <f>IF(ISNUMBER(FIND($O$3,$C13)),MAXA($O$4:O12)+1,0)</f>
        <v>0</v>
      </c>
      <c r="P13" t="str">
        <f>IFERROR(INDEX($B$5:$O$625,MATCH(ROWS($P$5:$P13),$O$5:$O$625,0),2),"")</f>
        <v/>
      </c>
      <c r="Q13">
        <f>IF(ISNUMBER(FIND($Q$3,$B13)),MAXA($Q$4:Q12)+1,0)</f>
        <v>9</v>
      </c>
      <c r="R13" t="str">
        <f>IFERROR(INDEX($B$5:$Q$625,MATCH(ROWS($R$5:$R13),$Q$5:$Q$625,0),1),"")</f>
        <v>107-13-1</v>
      </c>
    </row>
    <row r="14" spans="2:18" x14ac:dyDescent="0.2">
      <c r="B14" s="225" t="s">
        <v>424</v>
      </c>
      <c r="C14" s="226" t="s">
        <v>425</v>
      </c>
      <c r="D14" s="227">
        <v>10</v>
      </c>
      <c r="E14" s="227">
        <v>30</v>
      </c>
      <c r="F14" s="227"/>
      <c r="G14" s="226"/>
      <c r="H14" s="227"/>
      <c r="I14" s="227"/>
      <c r="J14" s="227"/>
      <c r="K14" s="228"/>
      <c r="O14">
        <f>IF(ISNUMBER(FIND($O$3,$C14)),MAXA($O$4:O13)+1,0)</f>
        <v>0</v>
      </c>
      <c r="P14" t="str">
        <f>IFERROR(INDEX($B$5:$O$625,MATCH(ROWS($P$5:$P14),$O$5:$O$625,0),2),"")</f>
        <v/>
      </c>
      <c r="Q14">
        <f>IF(ISNUMBER(FIND($Q$3,$B14)),MAXA($Q$4:Q13)+1,0)</f>
        <v>10</v>
      </c>
      <c r="R14" t="str">
        <f>IFERROR(INDEX($B$5:$Q$625,MATCH(ROWS($R$5:$R14),$Q$5:$Q$625,0),1),"")</f>
        <v>79-10-7</v>
      </c>
    </row>
    <row r="15" spans="2:18" x14ac:dyDescent="0.2">
      <c r="B15" s="225" t="s">
        <v>426</v>
      </c>
      <c r="C15" s="226" t="s">
        <v>427</v>
      </c>
      <c r="D15" s="227"/>
      <c r="E15" s="227">
        <v>0.25</v>
      </c>
      <c r="F15" s="227"/>
      <c r="G15" s="226"/>
      <c r="H15" s="227"/>
      <c r="I15" s="227"/>
      <c r="J15" s="227"/>
      <c r="K15" s="228"/>
      <c r="O15">
        <f>IF(ISNUMBER(FIND($O$3,$C15)),MAXA($O$4:O14)+1,0)</f>
        <v>0</v>
      </c>
      <c r="P15" t="str">
        <f>IFERROR(INDEX($B$5:$O$625,MATCH(ROWS($P$5:$P15),$O$5:$O$625,0),2),"")</f>
        <v/>
      </c>
      <c r="Q15">
        <f>IF(ISNUMBER(FIND($Q$3,$B15)),MAXA($Q$4:Q14)+1,0)</f>
        <v>11</v>
      </c>
      <c r="R15" t="str">
        <f>IFERROR(INDEX($B$5:$Q$625,MATCH(ROWS($R$5:$R15),$Q$5:$Q$625,0),1),"")</f>
        <v>309-00-2</v>
      </c>
    </row>
    <row r="16" spans="2:18" x14ac:dyDescent="0.2">
      <c r="B16" s="225" t="s">
        <v>428</v>
      </c>
      <c r="C16" s="226" t="s">
        <v>429</v>
      </c>
      <c r="D16" s="227">
        <v>2</v>
      </c>
      <c r="E16" s="227">
        <v>5</v>
      </c>
      <c r="F16" s="227"/>
      <c r="G16" s="226"/>
      <c r="H16" s="227"/>
      <c r="I16" s="227"/>
      <c r="J16" s="227"/>
      <c r="K16" s="228"/>
      <c r="O16">
        <f>IF(ISNUMBER(FIND($O$3,$C16)),MAXA($O$4:O15)+1,0)</f>
        <v>0</v>
      </c>
      <c r="P16" t="str">
        <f>IFERROR(INDEX($B$5:$O$625,MATCH(ROWS($P$5:$P16),$O$5:$O$625,0),2),"")</f>
        <v/>
      </c>
      <c r="Q16">
        <f>IF(ISNUMBER(FIND($Q$3,$B16)),MAXA($Q$4:Q15)+1,0)</f>
        <v>12</v>
      </c>
      <c r="R16" t="str">
        <f>IFERROR(INDEX($B$5:$Q$625,MATCH(ROWS($R$5:$R16),$Q$5:$Q$625,0),1),"")</f>
        <v>107-11-9</v>
      </c>
    </row>
    <row r="17" spans="2:18" x14ac:dyDescent="0.2">
      <c r="B17" s="225" t="s">
        <v>430</v>
      </c>
      <c r="C17" s="226" t="s">
        <v>431</v>
      </c>
      <c r="D17" s="229"/>
      <c r="E17" s="229"/>
      <c r="F17" s="227"/>
      <c r="G17" s="226"/>
      <c r="H17" s="227"/>
      <c r="I17" s="227">
        <v>5</v>
      </c>
      <c r="J17" s="227">
        <v>22</v>
      </c>
      <c r="K17" s="228"/>
      <c r="O17">
        <f>IF(ISNUMBER(FIND($O$3,$C17)),MAXA($O$4:O16)+1,0)</f>
        <v>0</v>
      </c>
      <c r="P17" t="str">
        <f>IFERROR(INDEX($B$5:$O$625,MATCH(ROWS($P$5:$P17),$O$5:$O$625,0),2),"")</f>
        <v/>
      </c>
      <c r="Q17">
        <f>IF(ISNUMBER(FIND($Q$3,$B17)),MAXA($Q$4:Q16)+1,0)</f>
        <v>13</v>
      </c>
      <c r="R17" t="str">
        <f>IFERROR(INDEX($B$5:$Q$625,MATCH(ROWS($R$5:$R17),$Q$5:$Q$625,0),1),"")</f>
        <v>106-92-3</v>
      </c>
    </row>
    <row r="18" spans="2:18" x14ac:dyDescent="0.2">
      <c r="B18" s="225" t="s">
        <v>432</v>
      </c>
      <c r="C18" s="226" t="s">
        <v>433</v>
      </c>
      <c r="D18" s="227">
        <v>2</v>
      </c>
      <c r="E18" s="227">
        <v>12</v>
      </c>
      <c r="F18" s="227"/>
      <c r="G18" s="226"/>
      <c r="H18" s="227"/>
      <c r="I18" s="227"/>
      <c r="J18" s="227"/>
      <c r="K18" s="228"/>
      <c r="O18">
        <f>IF(ISNUMBER(FIND($O$3,$C18)),MAXA($O$4:O17)+1,0)</f>
        <v>0</v>
      </c>
      <c r="P18" t="str">
        <f>IFERROR(INDEX($B$5:$O$625,MATCH(ROWS($P$5:$P18),$O$5:$O$625,0),2),"")</f>
        <v/>
      </c>
      <c r="Q18">
        <f>IF(ISNUMBER(FIND($Q$3,$B18)),MAXA($Q$4:Q17)+1,0)</f>
        <v>14</v>
      </c>
      <c r="R18" t="str">
        <f>IFERROR(INDEX($B$5:$Q$625,MATCH(ROWS($R$5:$R18),$Q$5:$Q$625,0),1),"")</f>
        <v>2179-59-1</v>
      </c>
    </row>
    <row r="19" spans="2:18" x14ac:dyDescent="0.2">
      <c r="B19" s="225" t="s">
        <v>434</v>
      </c>
      <c r="C19" s="226" t="s">
        <v>435</v>
      </c>
      <c r="D19" s="227"/>
      <c r="E19" s="227">
        <v>5</v>
      </c>
      <c r="F19" s="227"/>
      <c r="G19" s="226"/>
      <c r="H19" s="227"/>
      <c r="I19" s="227"/>
      <c r="J19" s="227"/>
      <c r="K19" s="228"/>
      <c r="O19">
        <f>IF(ISNUMBER(FIND($O$3,$C19)),MAXA($O$4:O18)+1,0)</f>
        <v>0</v>
      </c>
      <c r="P19" t="str">
        <f>IFERROR(INDEX($B$5:$O$625,MATCH(ROWS($P$5:$P19),$O$5:$O$625,0),2),"")</f>
        <v/>
      </c>
      <c r="Q19">
        <f>IF(ISNUMBER(FIND($Q$3,$B19)),MAXA($Q$4:Q18)+1,0)</f>
        <v>15</v>
      </c>
      <c r="R19" t="str">
        <f>IFERROR(INDEX($B$5:$Q$625,MATCH(ROWS($R$5:$R19),$Q$5:$Q$625,0),1),"")</f>
        <v>7429-90-5</v>
      </c>
    </row>
    <row r="20" spans="2:18" x14ac:dyDescent="0.2">
      <c r="B20" s="225"/>
      <c r="C20" s="226" t="s">
        <v>436</v>
      </c>
      <c r="D20" s="227"/>
      <c r="E20" s="227">
        <v>2</v>
      </c>
      <c r="F20" s="227"/>
      <c r="G20" s="226"/>
      <c r="H20" s="227"/>
      <c r="I20" s="227"/>
      <c r="J20" s="227"/>
      <c r="K20" s="228"/>
      <c r="O20">
        <f>IF(ISNUMBER(FIND($O$3,$C20)),MAXA($O$4:O19)+1,0)</f>
        <v>0</v>
      </c>
      <c r="P20" t="str">
        <f>IFERROR(INDEX($B$5:$O$625,MATCH(ROWS($P$5:$P20),$O$5:$O$625,0),2),"")</f>
        <v/>
      </c>
      <c r="Q20">
        <f>IF(ISNUMBER(FIND($Q$3,$B20)),MAXA($Q$4:Q19)+1,0)</f>
        <v>16</v>
      </c>
      <c r="R20">
        <f>IFERROR(INDEX($B$5:$Q$625,MATCH(ROWS($R$5:$R20),$Q$5:$Q$625,0),1),"")</f>
        <v>0</v>
      </c>
    </row>
    <row r="21" spans="2:18" x14ac:dyDescent="0.2">
      <c r="B21" s="225"/>
      <c r="C21" s="226" t="s">
        <v>437</v>
      </c>
      <c r="D21" s="227"/>
      <c r="E21" s="227">
        <v>2</v>
      </c>
      <c r="F21" s="227"/>
      <c r="G21" s="226"/>
      <c r="H21" s="227"/>
      <c r="I21" s="227"/>
      <c r="J21" s="227"/>
      <c r="K21" s="228"/>
      <c r="O21">
        <f>IF(ISNUMBER(FIND($O$3,$C21)),MAXA($O$4:O20)+1,0)</f>
        <v>0</v>
      </c>
      <c r="P21" t="str">
        <f>IFERROR(INDEX($B$5:$O$625,MATCH(ROWS($P$5:$P21),$O$5:$O$625,0),2),"")</f>
        <v/>
      </c>
      <c r="Q21">
        <f>IF(ISNUMBER(FIND($Q$3,$B21)),MAXA($Q$4:Q20)+1,0)</f>
        <v>17</v>
      </c>
      <c r="R21">
        <f>IFERROR(INDEX($B$5:$Q$625,MATCH(ROWS($R$5:$R21),$Q$5:$Q$625,0),1),"")</f>
        <v>0</v>
      </c>
    </row>
    <row r="22" spans="2:18" x14ac:dyDescent="0.2">
      <c r="B22" s="225" t="s">
        <v>438</v>
      </c>
      <c r="C22" s="226" t="s">
        <v>439</v>
      </c>
      <c r="D22" s="227"/>
      <c r="E22" s="227">
        <v>10</v>
      </c>
      <c r="F22" s="227"/>
      <c r="G22" s="226"/>
      <c r="H22" s="227"/>
      <c r="I22" s="227"/>
      <c r="J22" s="227"/>
      <c r="K22" s="228"/>
      <c r="O22">
        <f>IF(ISNUMBER(FIND($O$3,$C22)),MAXA($O$4:O21)+1,0)</f>
        <v>0</v>
      </c>
      <c r="P22" t="str">
        <f>IFERROR(INDEX($B$5:$O$625,MATCH(ROWS($P$5:$P22),$O$5:$O$625,0),2),"")</f>
        <v/>
      </c>
      <c r="Q22">
        <f>IF(ISNUMBER(FIND($Q$3,$B22)),MAXA($Q$4:Q21)+1,0)</f>
        <v>18</v>
      </c>
      <c r="R22" t="str">
        <f>IFERROR(INDEX($B$5:$Q$625,MATCH(ROWS($R$5:$R22),$Q$5:$Q$625,0),1),"")</f>
        <v>1344-28-1</v>
      </c>
    </row>
    <row r="23" spans="2:18" x14ac:dyDescent="0.2">
      <c r="B23" s="225"/>
      <c r="C23" s="226" t="s">
        <v>440</v>
      </c>
      <c r="D23" s="227"/>
      <c r="E23" s="227">
        <v>5</v>
      </c>
      <c r="F23" s="227"/>
      <c r="G23" s="226"/>
      <c r="H23" s="227"/>
      <c r="I23" s="227"/>
      <c r="J23" s="227"/>
      <c r="K23" s="228"/>
      <c r="O23">
        <f>IF(ISNUMBER(FIND($O$3,$C23)),MAXA($O$4:O22)+1,0)</f>
        <v>0</v>
      </c>
      <c r="P23" t="str">
        <f>IFERROR(INDEX($B$5:$O$625,MATCH(ROWS($P$5:$P23),$O$5:$O$625,0),2),"")</f>
        <v/>
      </c>
      <c r="Q23">
        <f>IF(ISNUMBER(FIND($Q$3,$B23)),MAXA($Q$4:Q22)+1,0)</f>
        <v>19</v>
      </c>
      <c r="R23">
        <f>IFERROR(INDEX($B$5:$Q$625,MATCH(ROWS($R$5:$R23),$Q$5:$Q$625,0),1),"")</f>
        <v>0</v>
      </c>
    </row>
    <row r="24" spans="2:18" x14ac:dyDescent="0.2">
      <c r="B24" s="225" t="s">
        <v>441</v>
      </c>
      <c r="C24" s="226" t="s">
        <v>442</v>
      </c>
      <c r="D24" s="227">
        <v>1</v>
      </c>
      <c r="E24" s="227">
        <v>2.5</v>
      </c>
      <c r="F24" s="227"/>
      <c r="G24" s="226"/>
      <c r="H24" s="227"/>
      <c r="I24" s="227"/>
      <c r="J24" s="227"/>
      <c r="K24" s="228"/>
      <c r="O24">
        <f>IF(ISNUMBER(FIND($O$3,$C24)),MAXA($O$4:O23)+1,0)</f>
        <v>0</v>
      </c>
      <c r="P24" t="str">
        <f>IFERROR(INDEX($B$5:$O$625,MATCH(ROWS($P$5:$P24),$O$5:$O$625,0),2),"")</f>
        <v/>
      </c>
      <c r="Q24">
        <f>IF(ISNUMBER(FIND($Q$3,$B24)),MAXA($Q$4:Q23)+1,0)</f>
        <v>20</v>
      </c>
      <c r="R24" t="str">
        <f>IFERROR(INDEX($B$5:$Q$625,MATCH(ROWS($R$5:$R24),$Q$5:$Q$625,0),1),"")</f>
        <v>141-43-5</v>
      </c>
    </row>
    <row r="25" spans="2:18" x14ac:dyDescent="0.2">
      <c r="B25" s="225" t="s">
        <v>443</v>
      </c>
      <c r="C25" s="226" t="s">
        <v>444</v>
      </c>
      <c r="D25" s="227">
        <v>0.5</v>
      </c>
      <c r="E25" s="227">
        <v>2</v>
      </c>
      <c r="F25" s="227"/>
      <c r="G25" s="226"/>
      <c r="H25" s="227"/>
      <c r="I25" s="227"/>
      <c r="J25" s="227"/>
      <c r="K25" s="228"/>
      <c r="O25">
        <f>IF(ISNUMBER(FIND($O$3,$C25)),MAXA($O$4:O24)+1,0)</f>
        <v>0</v>
      </c>
      <c r="P25" t="str">
        <f>IFERROR(INDEX($B$5:$O$625,MATCH(ROWS($P$5:$P25),$O$5:$O$625,0),2),"")</f>
        <v/>
      </c>
      <c r="Q25">
        <f>IF(ISNUMBER(FIND($Q$3,$B25)),MAXA($Q$4:Q24)+1,0)</f>
        <v>21</v>
      </c>
      <c r="R25" t="str">
        <f>IFERROR(INDEX($B$5:$Q$625,MATCH(ROWS($R$5:$R25),$Q$5:$Q$625,0),1),"")</f>
        <v>504-29-0</v>
      </c>
    </row>
    <row r="26" spans="2:18" x14ac:dyDescent="0.2">
      <c r="B26" s="225" t="s">
        <v>445</v>
      </c>
      <c r="C26" s="226" t="s">
        <v>446</v>
      </c>
      <c r="D26" s="227">
        <v>15</v>
      </c>
      <c r="E26" s="227">
        <v>11</v>
      </c>
      <c r="F26" s="227"/>
      <c r="G26" s="226">
        <v>50</v>
      </c>
      <c r="H26" s="227">
        <v>36</v>
      </c>
      <c r="I26" s="227"/>
      <c r="J26" s="227"/>
      <c r="K26" s="228"/>
      <c r="O26">
        <f>IF(ISNUMBER(FIND($O$3,$C26)),MAXA($O$4:O25)+1,0)</f>
        <v>0</v>
      </c>
      <c r="P26" t="str">
        <f>IFERROR(INDEX($B$5:$O$625,MATCH(ROWS($P$5:$P26),$O$5:$O$625,0),2),"")</f>
        <v/>
      </c>
      <c r="Q26">
        <f>IF(ISNUMBER(FIND($Q$3,$B26)),MAXA($Q$4:Q25)+1,0)</f>
        <v>22</v>
      </c>
      <c r="R26" t="str">
        <f>IFERROR(INDEX($B$5:$Q$625,MATCH(ROWS($R$5:$R26),$Q$5:$Q$625,0),1),"")</f>
        <v>7664-41-7</v>
      </c>
    </row>
    <row r="27" spans="2:18" x14ac:dyDescent="0.2">
      <c r="B27" s="225" t="s">
        <v>447</v>
      </c>
      <c r="C27" s="226" t="s">
        <v>448</v>
      </c>
      <c r="D27" s="227"/>
      <c r="E27" s="227">
        <v>10</v>
      </c>
      <c r="F27" s="227"/>
      <c r="G27" s="226"/>
      <c r="H27" s="227"/>
      <c r="I27" s="227"/>
      <c r="J27" s="227"/>
      <c r="K27" s="228"/>
      <c r="O27">
        <f>IF(ISNUMBER(FIND($O$3,$C27)),MAXA($O$4:O26)+1,0)</f>
        <v>0</v>
      </c>
      <c r="P27" t="str">
        <f>IFERROR(INDEX($B$5:$O$625,MATCH(ROWS($P$5:$P27),$O$5:$O$625,0),2),"")</f>
        <v/>
      </c>
      <c r="Q27">
        <f>IF(ISNUMBER(FIND($Q$3,$B27)),MAXA($Q$4:Q26)+1,0)</f>
        <v>23</v>
      </c>
      <c r="R27" t="str">
        <f>IFERROR(INDEX($B$5:$Q$625,MATCH(ROWS($R$5:$R27),$Q$5:$Q$625,0),1),"")</f>
        <v>12125-02-9</v>
      </c>
    </row>
    <row r="28" spans="2:18" x14ac:dyDescent="0.2">
      <c r="B28" s="225" t="s">
        <v>449</v>
      </c>
      <c r="C28" s="226" t="s">
        <v>450</v>
      </c>
      <c r="D28" s="227"/>
      <c r="E28" s="227">
        <v>10</v>
      </c>
      <c r="F28" s="227"/>
      <c r="G28" s="226"/>
      <c r="H28" s="227"/>
      <c r="I28" s="227"/>
      <c r="J28" s="227"/>
      <c r="K28" s="228"/>
      <c r="O28">
        <f>IF(ISNUMBER(FIND($O$3,$C28)),MAXA($O$4:O27)+1,0)</f>
        <v>0</v>
      </c>
      <c r="P28" t="str">
        <f>IFERROR(INDEX($B$5:$O$625,MATCH(ROWS($P$5:$P28),$O$5:$O$625,0),2),"")</f>
        <v/>
      </c>
      <c r="Q28">
        <f>IF(ISNUMBER(FIND($Q$3,$B28)),MAXA($Q$4:Q27)+1,0)</f>
        <v>24</v>
      </c>
      <c r="R28" t="str">
        <f>IFERROR(INDEX($B$5:$Q$625,MATCH(ROWS($R$5:$R28),$Q$5:$Q$625,0),1),"")</f>
        <v>7773-06-0</v>
      </c>
    </row>
    <row r="29" spans="2:18" x14ac:dyDescent="0.2">
      <c r="B29" s="225"/>
      <c r="C29" s="226" t="s">
        <v>451</v>
      </c>
      <c r="D29" s="227"/>
      <c r="E29" s="227">
        <v>1.5</v>
      </c>
      <c r="F29" s="227"/>
      <c r="G29" s="226"/>
      <c r="H29" s="227"/>
      <c r="I29" s="227"/>
      <c r="J29" s="227"/>
      <c r="K29" s="228"/>
      <c r="O29">
        <f>IF(ISNUMBER(FIND($O$3,$C29)),MAXA($O$4:O28)+1,0)</f>
        <v>0</v>
      </c>
      <c r="P29" t="str">
        <f>IFERROR(INDEX($B$5:$O$625,MATCH(ROWS($P$5:$P29),$O$5:$O$625,0),2),"")</f>
        <v/>
      </c>
      <c r="Q29">
        <f>IF(ISNUMBER(FIND($Q$3,$B29)),MAXA($Q$4:Q28)+1,0)</f>
        <v>25</v>
      </c>
      <c r="R29">
        <f>IFERROR(INDEX($B$5:$Q$625,MATCH(ROWS($R$5:$R29),$Q$5:$Q$625,0),1),"")</f>
        <v>0</v>
      </c>
    </row>
    <row r="30" spans="2:18" x14ac:dyDescent="0.2">
      <c r="B30" s="225" t="s">
        <v>452</v>
      </c>
      <c r="C30" s="226" t="s">
        <v>453</v>
      </c>
      <c r="D30" s="227">
        <v>50</v>
      </c>
      <c r="E30" s="227">
        <v>260</v>
      </c>
      <c r="F30" s="227"/>
      <c r="G30" s="226"/>
      <c r="H30" s="227"/>
      <c r="I30" s="227"/>
      <c r="J30" s="227"/>
      <c r="K30" s="228"/>
      <c r="O30">
        <f>IF(ISNUMBER(FIND($O$3,$C30)),MAXA($O$4:O29)+1,0)</f>
        <v>0</v>
      </c>
      <c r="P30" t="str">
        <f>IFERROR(INDEX($B$5:$O$625,MATCH(ROWS($P$5:$P30),$O$5:$O$625,0),2),"")</f>
        <v/>
      </c>
      <c r="Q30">
        <f>IF(ISNUMBER(FIND($Q$3,$B30)),MAXA($Q$4:Q29)+1,0)</f>
        <v>26</v>
      </c>
      <c r="R30" t="str">
        <f>IFERROR(INDEX($B$5:$Q$625,MATCH(ROWS($R$5:$R30),$Q$5:$Q$625,0),1),"")</f>
        <v>625-16-1</v>
      </c>
    </row>
    <row r="31" spans="2:18" x14ac:dyDescent="0.2">
      <c r="B31" s="225" t="s">
        <v>454</v>
      </c>
      <c r="C31" s="226" t="s">
        <v>455</v>
      </c>
      <c r="D31" s="227">
        <v>1</v>
      </c>
      <c r="E31" s="227">
        <v>4</v>
      </c>
      <c r="F31" s="227"/>
      <c r="G31" s="226"/>
      <c r="H31" s="227"/>
      <c r="I31" s="227"/>
      <c r="J31" s="227"/>
      <c r="K31" s="228"/>
      <c r="O31">
        <f>IF(ISNUMBER(FIND($O$3,$C31)),MAXA($O$4:O30)+1,0)</f>
        <v>0</v>
      </c>
      <c r="P31" t="str">
        <f>IFERROR(INDEX($B$5:$O$625,MATCH(ROWS($P$5:$P31),$O$5:$O$625,0),2),"")</f>
        <v/>
      </c>
      <c r="Q31">
        <f>IF(ISNUMBER(FIND($Q$3,$B31)),MAXA($Q$4:Q30)+1,0)</f>
        <v>27</v>
      </c>
      <c r="R31" t="str">
        <f>IFERROR(INDEX($B$5:$Q$625,MATCH(ROWS($R$5:$R31),$Q$5:$Q$625,0),1),"")</f>
        <v>62-53-3</v>
      </c>
    </row>
    <row r="32" spans="2:18" x14ac:dyDescent="0.2">
      <c r="B32" s="225"/>
      <c r="C32" s="226" t="s">
        <v>456</v>
      </c>
      <c r="D32" s="229"/>
      <c r="E32" s="227">
        <v>0.5</v>
      </c>
      <c r="F32" s="227"/>
      <c r="G32" s="226"/>
      <c r="H32" s="227"/>
      <c r="I32" s="227"/>
      <c r="J32" s="227"/>
      <c r="K32" s="228"/>
      <c r="O32">
        <f>IF(ISNUMBER(FIND($O$3,$C32)),MAXA($O$4:O31)+1,0)</f>
        <v>0</v>
      </c>
      <c r="P32" t="str">
        <f>IFERROR(INDEX($B$5:$O$625,MATCH(ROWS($P$5:$P32),$O$5:$O$625,0),2),"")</f>
        <v/>
      </c>
      <c r="Q32">
        <f>IF(ISNUMBER(FIND($Q$3,$B32)),MAXA($Q$4:Q31)+1,0)</f>
        <v>28</v>
      </c>
      <c r="R32">
        <f>IFERROR(INDEX($B$5:$Q$625,MATCH(ROWS($R$5:$R32),$Q$5:$Q$625,0),1),"")</f>
        <v>0</v>
      </c>
    </row>
    <row r="33" spans="2:18" x14ac:dyDescent="0.2">
      <c r="B33" s="225" t="s">
        <v>457</v>
      </c>
      <c r="C33" s="226" t="s">
        <v>458</v>
      </c>
      <c r="D33" s="227">
        <v>0.05</v>
      </c>
      <c r="E33" s="227">
        <v>0.25</v>
      </c>
      <c r="F33" s="227"/>
      <c r="G33" s="226"/>
      <c r="H33" s="227"/>
      <c r="I33" s="227"/>
      <c r="J33" s="227"/>
      <c r="K33" s="228"/>
      <c r="O33">
        <f>IF(ISNUMBER(FIND($O$3,$C33)),MAXA($O$4:O32)+1,0)</f>
        <v>0</v>
      </c>
      <c r="P33" t="str">
        <f>IFERROR(INDEX($B$5:$O$625,MATCH(ROWS($P$5:$P33),$O$5:$O$625,0),2),"")</f>
        <v/>
      </c>
      <c r="Q33">
        <f>IF(ISNUMBER(FIND($Q$3,$B33)),MAXA($Q$4:Q32)+1,0)</f>
        <v>29</v>
      </c>
      <c r="R33" t="str">
        <f>IFERROR(INDEX($B$5:$Q$625,MATCH(ROWS($R$5:$R33),$Q$5:$Q$625,0),1),"")</f>
        <v>7803-52-3</v>
      </c>
    </row>
    <row r="34" spans="2:18" x14ac:dyDescent="0.2">
      <c r="B34" s="225"/>
      <c r="C34" s="226" t="s">
        <v>459</v>
      </c>
      <c r="D34" s="227"/>
      <c r="E34" s="227">
        <v>5.0000000000000001E-3</v>
      </c>
      <c r="F34" s="227"/>
      <c r="G34" s="226"/>
      <c r="H34" s="227"/>
      <c r="I34" s="227"/>
      <c r="J34" s="227"/>
      <c r="K34" s="228"/>
      <c r="O34">
        <f>IF(ISNUMBER(FIND($O$3,$C34)),MAXA($O$4:O33)+1,0)</f>
        <v>0</v>
      </c>
      <c r="P34" t="str">
        <f>IFERROR(INDEX($B$5:$O$625,MATCH(ROWS($P$5:$P34),$O$5:$O$625,0),2),"")</f>
        <v/>
      </c>
      <c r="Q34">
        <f>IF(ISNUMBER(FIND($Q$3,$B34)),MAXA($Q$4:Q33)+1,0)</f>
        <v>30</v>
      </c>
      <c r="R34">
        <f>IFERROR(INDEX($B$5:$Q$625,MATCH(ROWS($R$5:$R34),$Q$5:$Q$625,0),1),"")</f>
        <v>0</v>
      </c>
    </row>
    <row r="35" spans="2:18" x14ac:dyDescent="0.2">
      <c r="B35" s="225" t="s">
        <v>460</v>
      </c>
      <c r="C35" s="226" t="s">
        <v>461</v>
      </c>
      <c r="D35" s="227">
        <v>3.0000000000000001E-3</v>
      </c>
      <c r="E35" s="227">
        <v>0.01</v>
      </c>
      <c r="F35" s="227"/>
      <c r="G35" s="226"/>
      <c r="H35" s="227"/>
      <c r="I35" s="227"/>
      <c r="J35" s="227"/>
      <c r="K35" s="228"/>
      <c r="O35">
        <f>IF(ISNUMBER(FIND($O$3,$C35)),MAXA($O$4:O34)+1,0)</f>
        <v>0</v>
      </c>
      <c r="P35" t="str">
        <f>IFERROR(INDEX($B$5:$O$625,MATCH(ROWS($P$5:$P35),$O$5:$O$625,0),2),"")</f>
        <v/>
      </c>
      <c r="Q35">
        <f>IF(ISNUMBER(FIND($Q$3,$B35)),MAXA($Q$4:Q34)+1,0)</f>
        <v>31</v>
      </c>
      <c r="R35" t="str">
        <f>IFERROR(INDEX($B$5:$Q$625,MATCH(ROWS($R$5:$R35),$Q$5:$Q$625,0),1),"")</f>
        <v>7784-42-1</v>
      </c>
    </row>
    <row r="36" spans="2:18" x14ac:dyDescent="0.2">
      <c r="B36" s="225"/>
      <c r="C36" s="226" t="s">
        <v>462</v>
      </c>
      <c r="D36" s="227"/>
      <c r="E36" s="227"/>
      <c r="F36" s="227">
        <v>0.1</v>
      </c>
      <c r="G36" s="226"/>
      <c r="H36" s="227"/>
      <c r="I36" s="227"/>
      <c r="J36" s="227"/>
      <c r="K36" s="228"/>
      <c r="O36">
        <f>IF(ISNUMBER(FIND($O$3,$C36)),MAXA($O$4:O35)+1,0)</f>
        <v>0</v>
      </c>
      <c r="P36" t="str">
        <f>IFERROR(INDEX($B$5:$O$625,MATCH(ROWS($P$5:$P36),$O$5:$O$625,0),2),"")</f>
        <v/>
      </c>
      <c r="Q36">
        <f>IF(ISNUMBER(FIND($Q$3,$B36)),MAXA($Q$4:Q35)+1,0)</f>
        <v>32</v>
      </c>
      <c r="R36">
        <f>IFERROR(INDEX($B$5:$Q$625,MATCH(ROWS($R$5:$R36),$Q$5:$Q$625,0),1),"")</f>
        <v>0</v>
      </c>
    </row>
    <row r="37" spans="2:18" x14ac:dyDescent="0.2">
      <c r="B37" s="225" t="s">
        <v>463</v>
      </c>
      <c r="C37" s="226" t="s">
        <v>464</v>
      </c>
      <c r="D37" s="227"/>
      <c r="E37" s="227">
        <v>5</v>
      </c>
      <c r="F37" s="227"/>
      <c r="G37" s="226"/>
      <c r="H37" s="227"/>
      <c r="I37" s="227"/>
      <c r="J37" s="227"/>
      <c r="K37" s="228"/>
      <c r="O37">
        <f>IF(ISNUMBER(FIND($O$3,$C37)),MAXA($O$4:O36)+1,0)</f>
        <v>0</v>
      </c>
      <c r="P37" t="str">
        <f>IFERROR(INDEX($B$5:$O$625,MATCH(ROWS($P$5:$P37),$O$5:$O$625,0),2),"")</f>
        <v/>
      </c>
      <c r="Q37">
        <f>IF(ISNUMBER(FIND($Q$3,$B37)),MAXA($Q$4:Q36)+1,0)</f>
        <v>33</v>
      </c>
      <c r="R37" t="str">
        <f>IFERROR(INDEX($B$5:$Q$625,MATCH(ROWS($R$5:$R37),$Q$5:$Q$625,0),1),"")</f>
        <v>8052-42-4</v>
      </c>
    </row>
    <row r="38" spans="2:18" x14ac:dyDescent="0.2">
      <c r="B38" s="225" t="s">
        <v>465</v>
      </c>
      <c r="C38" s="226" t="s">
        <v>466</v>
      </c>
      <c r="D38" s="227"/>
      <c r="E38" s="227">
        <v>5</v>
      </c>
      <c r="F38" s="227"/>
      <c r="G38" s="226"/>
      <c r="H38" s="227"/>
      <c r="I38" s="227"/>
      <c r="J38" s="227"/>
      <c r="K38" s="228"/>
      <c r="O38">
        <f>IF(ISNUMBER(FIND($O$3,$C38)),MAXA($O$4:O37)+1,0)</f>
        <v>0</v>
      </c>
      <c r="P38" t="str">
        <f>IFERROR(INDEX($B$5:$O$625,MATCH(ROWS($P$5:$P38),$O$5:$O$625,0),2),"")</f>
        <v/>
      </c>
      <c r="Q38">
        <f>IF(ISNUMBER(FIND($Q$3,$B38)),MAXA($Q$4:Q37)+1,0)</f>
        <v>34</v>
      </c>
      <c r="R38" t="str">
        <f>IFERROR(INDEX($B$5:$Q$625,MATCH(ROWS($R$5:$R38),$Q$5:$Q$625,0),1),"")</f>
        <v>1912-24-9</v>
      </c>
    </row>
    <row r="39" spans="2:18" x14ac:dyDescent="0.2">
      <c r="B39" s="225" t="s">
        <v>467</v>
      </c>
      <c r="C39" s="226" t="s">
        <v>468</v>
      </c>
      <c r="D39" s="227">
        <v>1</v>
      </c>
      <c r="E39" s="227">
        <v>4</v>
      </c>
      <c r="F39" s="227"/>
      <c r="G39" s="226"/>
      <c r="H39" s="227"/>
      <c r="I39" s="227"/>
      <c r="J39" s="227"/>
      <c r="K39" s="228"/>
      <c r="O39">
        <f>IF(ISNUMBER(FIND($O$3,$C39)),MAXA($O$4:O38)+1,0)</f>
        <v>0</v>
      </c>
      <c r="P39" t="str">
        <f>IFERROR(INDEX($B$5:$O$625,MATCH(ROWS($P$5:$P39),$O$5:$O$625,0),2),"")</f>
        <v/>
      </c>
      <c r="Q39">
        <f>IF(ISNUMBER(FIND($Q$3,$B39)),MAXA($Q$4:Q38)+1,0)</f>
        <v>35</v>
      </c>
      <c r="R39" t="str">
        <f>IFERROR(INDEX($B$5:$Q$625,MATCH(ROWS($R$5:$R39),$Q$5:$Q$625,0),1),"")</f>
        <v>111-40-0</v>
      </c>
    </row>
    <row r="40" spans="2:18" x14ac:dyDescent="0.2">
      <c r="B40" s="225" t="s">
        <v>469</v>
      </c>
      <c r="C40" s="226" t="s">
        <v>470</v>
      </c>
      <c r="D40" s="227"/>
      <c r="E40" s="227">
        <v>0.2</v>
      </c>
      <c r="F40" s="227"/>
      <c r="G40" s="226"/>
      <c r="H40" s="227"/>
      <c r="I40" s="227"/>
      <c r="J40" s="227"/>
      <c r="K40" s="228"/>
      <c r="O40">
        <f>IF(ISNUMBER(FIND($O$3,$C40)),MAXA($O$4:O39)+1,0)</f>
        <v>0</v>
      </c>
      <c r="P40" t="str">
        <f>IFERROR(INDEX($B$5:$O$625,MATCH(ROWS($P$5:$P40),$O$5:$O$625,0),2),"")</f>
        <v/>
      </c>
      <c r="Q40">
        <f>IF(ISNUMBER(FIND($Q$3,$B40)),MAXA($Q$4:Q39)+1,0)</f>
        <v>36</v>
      </c>
      <c r="R40" t="str">
        <f>IFERROR(INDEX($B$5:$Q$625,MATCH(ROWS($R$5:$R40),$Q$5:$Q$625,0),1),"")</f>
        <v>86-50-0</v>
      </c>
    </row>
    <row r="41" spans="2:18" x14ac:dyDescent="0.2">
      <c r="B41" s="225"/>
      <c r="C41" s="226" t="s">
        <v>471</v>
      </c>
      <c r="D41" s="227"/>
      <c r="E41" s="227">
        <v>0.5</v>
      </c>
      <c r="F41" s="227"/>
      <c r="G41" s="226"/>
      <c r="H41" s="227"/>
      <c r="I41" s="227"/>
      <c r="J41" s="227"/>
      <c r="K41" s="228"/>
      <c r="O41">
        <f>IF(ISNUMBER(FIND($O$3,$C41)),MAXA($O$4:O40)+1,0)</f>
        <v>0</v>
      </c>
      <c r="P41" t="str">
        <f>IFERROR(INDEX($B$5:$O$625,MATCH(ROWS($P$5:$P41),$O$5:$O$625,0),2),"")</f>
        <v/>
      </c>
      <c r="Q41">
        <f>IF(ISNUMBER(FIND($Q$3,$B41)),MAXA($Q$4:Q40)+1,0)</f>
        <v>37</v>
      </c>
      <c r="R41">
        <f>IFERROR(INDEX($B$5:$Q$625,MATCH(ROWS($R$5:$R41),$Q$5:$Q$625,0),1),"")</f>
        <v>0</v>
      </c>
    </row>
    <row r="42" spans="2:18" x14ac:dyDescent="0.2">
      <c r="B42" s="225" t="s">
        <v>472</v>
      </c>
      <c r="C42" s="226" t="s">
        <v>473</v>
      </c>
      <c r="D42" s="227">
        <v>0.8</v>
      </c>
      <c r="E42" s="227">
        <v>10</v>
      </c>
      <c r="F42" s="227"/>
      <c r="G42" s="226"/>
      <c r="H42" s="227"/>
      <c r="I42" s="227"/>
      <c r="J42" s="227"/>
      <c r="K42" s="228"/>
      <c r="O42">
        <f>IF(ISNUMBER(FIND($O$3,$C42)),MAXA($O$4:O41)+1,0)</f>
        <v>0</v>
      </c>
      <c r="P42" t="str">
        <f>IFERROR(INDEX($B$5:$O$625,MATCH(ROWS($P$5:$P42),$O$5:$O$625,0),2),"")</f>
        <v/>
      </c>
      <c r="Q42">
        <f>IF(ISNUMBER(FIND($Q$3,$B42)),MAXA($Q$4:Q41)+1,0)</f>
        <v>38</v>
      </c>
      <c r="R42" t="str">
        <f>IFERROR(INDEX($B$5:$Q$625,MATCH(ROWS($R$5:$R42),$Q$5:$Q$625,0),1),"")</f>
        <v>17804-35-2</v>
      </c>
    </row>
    <row r="43" spans="2:18" x14ac:dyDescent="0.2">
      <c r="B43" s="225" t="s">
        <v>474</v>
      </c>
      <c r="C43" s="226" t="s">
        <v>475</v>
      </c>
      <c r="D43" s="227">
        <v>0.2</v>
      </c>
      <c r="E43" s="227">
        <v>0.6</v>
      </c>
      <c r="F43" s="227"/>
      <c r="G43" s="226"/>
      <c r="H43" s="227"/>
      <c r="I43" s="227"/>
      <c r="J43" s="227"/>
      <c r="K43" s="228"/>
      <c r="O43">
        <f>IF(ISNUMBER(FIND($O$3,$C43)),MAXA($O$4:O42)+1,0)</f>
        <v>0</v>
      </c>
      <c r="P43" t="str">
        <f>IFERROR(INDEX($B$5:$O$625,MATCH(ROWS($P$5:$P43),$O$5:$O$625,0),2),"")</f>
        <v/>
      </c>
      <c r="Q43">
        <f>IF(ISNUMBER(FIND($Q$3,$B43)),MAXA($Q$4:Q42)+1,0)</f>
        <v>39</v>
      </c>
      <c r="R43" t="str">
        <f>IFERROR(INDEX($B$5:$Q$625,MATCH(ROWS($R$5:$R43),$Q$5:$Q$625,0),1),"")</f>
        <v>71-43-2</v>
      </c>
    </row>
    <row r="44" spans="2:18" x14ac:dyDescent="0.2">
      <c r="B44" s="225" t="s">
        <v>476</v>
      </c>
      <c r="C44" s="226" t="s">
        <v>477</v>
      </c>
      <c r="D44" s="227">
        <v>10</v>
      </c>
      <c r="E44" s="227">
        <v>45</v>
      </c>
      <c r="F44" s="227"/>
      <c r="G44" s="226"/>
      <c r="H44" s="227"/>
      <c r="I44" s="227"/>
      <c r="J44" s="227"/>
      <c r="K44" s="228"/>
      <c r="O44">
        <f>IF(ISNUMBER(FIND($O$3,$C44)),MAXA($O$4:O43)+1,0)</f>
        <v>0</v>
      </c>
      <c r="P44" t="str">
        <f>IFERROR(INDEX($B$5:$O$625,MATCH(ROWS($P$5:$P44),$O$5:$O$625,0),2),"")</f>
        <v/>
      </c>
      <c r="Q44">
        <f>IF(ISNUMBER(FIND($Q$3,$B44)),MAXA($Q$4:Q43)+1,0)</f>
        <v>40</v>
      </c>
      <c r="R44" t="str">
        <f>IFERROR(INDEX($B$5:$Q$625,MATCH(ROWS($R$5:$R44),$Q$5:$Q$625,0),1),"")</f>
        <v>108-46-3</v>
      </c>
    </row>
    <row r="45" spans="2:18" x14ac:dyDescent="0.2">
      <c r="B45" s="225" t="s">
        <v>478</v>
      </c>
      <c r="C45" s="226" t="s">
        <v>479</v>
      </c>
      <c r="D45" s="227">
        <v>0.5</v>
      </c>
      <c r="E45" s="227">
        <v>2</v>
      </c>
      <c r="F45" s="227"/>
      <c r="G45" s="226"/>
      <c r="H45" s="227"/>
      <c r="I45" s="227"/>
      <c r="J45" s="227"/>
      <c r="K45" s="228"/>
      <c r="O45">
        <f>IF(ISNUMBER(FIND($O$3,$C45)),MAXA($O$4:O44)+1,0)</f>
        <v>0</v>
      </c>
      <c r="P45" t="str">
        <f>IFERROR(INDEX($B$5:$O$625,MATCH(ROWS($P$5:$P45),$O$5:$O$625,0),2),"")</f>
        <v/>
      </c>
      <c r="Q45">
        <f>IF(ISNUMBER(FIND($Q$3,$B45)),MAXA($Q$4:Q44)+1,0)</f>
        <v>41</v>
      </c>
      <c r="R45" t="str">
        <f>IFERROR(INDEX($B$5:$Q$625,MATCH(ROWS($R$5:$R45),$Q$5:$Q$625,0),1),"")</f>
        <v>108-98-5</v>
      </c>
    </row>
    <row r="46" spans="2:18" x14ac:dyDescent="0.2">
      <c r="B46" s="225" t="s">
        <v>480</v>
      </c>
      <c r="C46" s="226" t="s">
        <v>481</v>
      </c>
      <c r="D46" s="227">
        <v>5.0000000000000001E-3</v>
      </c>
      <c r="E46" s="227">
        <v>0.04</v>
      </c>
      <c r="F46" s="227"/>
      <c r="G46" s="226"/>
      <c r="H46" s="227"/>
      <c r="I46" s="227"/>
      <c r="J46" s="227"/>
      <c r="K46" s="228"/>
      <c r="O46">
        <f>IF(ISNUMBER(FIND($O$3,$C46)),MAXA($O$4:O45)+1,0)</f>
        <v>0</v>
      </c>
      <c r="P46" t="str">
        <f>IFERROR(INDEX($B$5:$O$625,MATCH(ROWS($P$5:$P46),$O$5:$O$625,0),2),"")</f>
        <v/>
      </c>
      <c r="Q46">
        <f>IF(ISNUMBER(FIND($Q$3,$B46)),MAXA($Q$4:Q45)+1,0)</f>
        <v>42</v>
      </c>
      <c r="R46" t="str">
        <f>IFERROR(INDEX($B$5:$Q$625,MATCH(ROWS($R$5:$R46),$Q$5:$Q$625,0),1),"")</f>
        <v>552-30-7</v>
      </c>
    </row>
    <row r="47" spans="2:18" x14ac:dyDescent="0.2">
      <c r="B47" s="225" t="s">
        <v>482</v>
      </c>
      <c r="C47" s="226" t="s">
        <v>483</v>
      </c>
      <c r="D47" s="227">
        <v>0.1</v>
      </c>
      <c r="E47" s="227">
        <v>0.4</v>
      </c>
      <c r="F47" s="227"/>
      <c r="G47" s="226"/>
      <c r="H47" s="227"/>
      <c r="I47" s="227"/>
      <c r="J47" s="227"/>
      <c r="K47" s="228"/>
      <c r="O47">
        <f>IF(ISNUMBER(FIND($O$3,$C47)),MAXA($O$4:O46)+1,0)</f>
        <v>0</v>
      </c>
      <c r="P47" t="str">
        <f>IFERROR(INDEX($B$5:$O$625,MATCH(ROWS($P$5:$P47),$O$5:$O$625,0),2),"")</f>
        <v/>
      </c>
      <c r="Q47">
        <f>IF(ISNUMBER(FIND($Q$3,$B47)),MAXA($Q$4:Q46)+1,0)</f>
        <v>43</v>
      </c>
      <c r="R47" t="str">
        <f>IFERROR(INDEX($B$5:$Q$625,MATCH(ROWS($R$5:$R47),$Q$5:$Q$625,0),1),"")</f>
        <v>106-51-4</v>
      </c>
    </row>
    <row r="48" spans="2:18" x14ac:dyDescent="0.2">
      <c r="B48" s="225" t="s">
        <v>484</v>
      </c>
      <c r="C48" s="226" t="s">
        <v>485</v>
      </c>
      <c r="D48" s="227"/>
      <c r="E48" s="227">
        <v>5</v>
      </c>
      <c r="F48" s="227"/>
      <c r="G48" s="226"/>
      <c r="H48" s="227"/>
      <c r="I48" s="227"/>
      <c r="J48" s="227"/>
      <c r="K48" s="228"/>
      <c r="O48">
        <f>IF(ISNUMBER(FIND($O$3,$C48)),MAXA($O$4:O47)+1,0)</f>
        <v>0</v>
      </c>
      <c r="P48" t="str">
        <f>IFERROR(INDEX($B$5:$O$625,MATCH(ROWS($P$5:$P48),$O$5:$O$625,0),2),"")</f>
        <v/>
      </c>
      <c r="Q48">
        <f>IF(ISNUMBER(FIND($Q$3,$B48)),MAXA($Q$4:Q47)+1,0)</f>
        <v>44</v>
      </c>
      <c r="R48" t="str">
        <f>IFERROR(INDEX($B$5:$Q$625,MATCH(ROWS($R$5:$R48),$Q$5:$Q$625,0),1),"")</f>
        <v>94-36-0</v>
      </c>
    </row>
    <row r="49" spans="2:18" x14ac:dyDescent="0.2">
      <c r="B49" s="225" t="s">
        <v>486</v>
      </c>
      <c r="C49" s="226" t="s">
        <v>487</v>
      </c>
      <c r="D49" s="227"/>
      <c r="E49" s="227">
        <v>1</v>
      </c>
      <c r="F49" s="227"/>
      <c r="G49" s="226"/>
      <c r="H49" s="227"/>
      <c r="I49" s="227"/>
      <c r="J49" s="227"/>
      <c r="K49" s="228"/>
      <c r="O49">
        <f>IF(ISNUMBER(FIND($O$3,$C49)),MAXA($O$4:O48)+1,0)</f>
        <v>0</v>
      </c>
      <c r="P49" t="str">
        <f>IFERROR(INDEX($B$5:$O$625,MATCH(ROWS($P$5:$P49),$O$5:$O$625,0),2),"")</f>
        <v/>
      </c>
      <c r="Q49">
        <f>IF(ISNUMBER(FIND($Q$3,$B49)),MAXA($Q$4:Q48)+1,0)</f>
        <v>45</v>
      </c>
      <c r="R49" t="str">
        <f>IFERROR(INDEX($B$5:$Q$625,MATCH(ROWS($R$5:$R49),$Q$5:$Q$625,0),1),"")</f>
        <v>85-68-7</v>
      </c>
    </row>
    <row r="50" spans="2:18" x14ac:dyDescent="0.2">
      <c r="B50" s="225"/>
      <c r="C50" s="226" t="s">
        <v>488</v>
      </c>
      <c r="D50" s="227"/>
      <c r="E50" s="227">
        <v>2.0000000000000002E-5</v>
      </c>
      <c r="F50" s="227"/>
      <c r="G50" s="226"/>
      <c r="H50" s="227"/>
      <c r="I50" s="227"/>
      <c r="J50" s="227"/>
      <c r="K50" s="228"/>
      <c r="O50">
        <f>IF(ISNUMBER(FIND($O$3,$C50)),MAXA($O$4:O49)+1,0)</f>
        <v>0</v>
      </c>
      <c r="P50" t="str">
        <f>IFERROR(INDEX($B$5:$O$625,MATCH(ROWS($P$5:$P50),$O$5:$O$625,0),2),"")</f>
        <v/>
      </c>
      <c r="Q50">
        <f>IF(ISNUMBER(FIND($Q$3,$B50)),MAXA($Q$4:Q49)+1,0)</f>
        <v>46</v>
      </c>
      <c r="R50">
        <f>IFERROR(INDEX($B$5:$Q$625,MATCH(ROWS($R$5:$R50),$Q$5:$Q$625,0),1),"")</f>
        <v>0</v>
      </c>
    </row>
    <row r="51" spans="2:18" x14ac:dyDescent="0.2">
      <c r="B51" s="225" t="s">
        <v>489</v>
      </c>
      <c r="C51" s="226" t="s">
        <v>490</v>
      </c>
      <c r="D51" s="227">
        <v>0.2</v>
      </c>
      <c r="E51" s="227">
        <v>1</v>
      </c>
      <c r="F51" s="227"/>
      <c r="G51" s="226"/>
      <c r="H51" s="227"/>
      <c r="I51" s="227"/>
      <c r="J51" s="227"/>
      <c r="K51" s="228"/>
      <c r="O51">
        <f>IF(ISNUMBER(FIND($O$3,$C51)),MAXA($O$4:O50)+1,0)</f>
        <v>0</v>
      </c>
      <c r="P51" t="str">
        <f>IFERROR(INDEX($B$5:$O$625,MATCH(ROWS($P$5:$P51),$O$5:$O$625,0),2),"")</f>
        <v/>
      </c>
      <c r="Q51">
        <f>IF(ISNUMBER(FIND($Q$3,$B51)),MAXA($Q$4:Q50)+1,0)</f>
        <v>47</v>
      </c>
      <c r="R51" t="str">
        <f>IFERROR(INDEX($B$5:$Q$625,MATCH(ROWS($R$5:$R51),$Q$5:$Q$625,0),1),"")</f>
        <v>92-52-4</v>
      </c>
    </row>
    <row r="52" spans="2:18" x14ac:dyDescent="0.2">
      <c r="B52" s="225" t="s">
        <v>491</v>
      </c>
      <c r="C52" s="226" t="s">
        <v>492</v>
      </c>
      <c r="D52" s="227"/>
      <c r="E52" s="227">
        <v>10</v>
      </c>
      <c r="F52" s="227"/>
      <c r="G52" s="226"/>
      <c r="H52" s="227"/>
      <c r="I52" s="227"/>
      <c r="J52" s="227"/>
      <c r="K52" s="228"/>
      <c r="O52">
        <f>IF(ISNUMBER(FIND($O$3,$C52)),MAXA($O$4:O51)+1,0)</f>
        <v>0</v>
      </c>
      <c r="P52" t="str">
        <f>IFERROR(INDEX($B$5:$O$625,MATCH(ROWS($P$5:$P52),$O$5:$O$625,0),2),"")</f>
        <v/>
      </c>
      <c r="Q52">
        <f>IF(ISNUMBER(FIND($Q$3,$B52)),MAXA($Q$4:Q51)+1,0)</f>
        <v>48</v>
      </c>
      <c r="R52" t="str">
        <f>IFERROR(INDEX($B$5:$Q$625,MATCH(ROWS($R$5:$R52),$Q$5:$Q$625,0),1),"")</f>
        <v>80-05-7</v>
      </c>
    </row>
    <row r="53" spans="2:18" x14ac:dyDescent="0.2">
      <c r="B53" s="225"/>
      <c r="C53" s="226" t="s">
        <v>493</v>
      </c>
      <c r="D53" s="227"/>
      <c r="E53" s="227">
        <v>0.05</v>
      </c>
      <c r="F53" s="227"/>
      <c r="G53" s="226"/>
      <c r="H53" s="227"/>
      <c r="I53" s="227"/>
      <c r="J53" s="227"/>
      <c r="K53" s="228"/>
      <c r="O53">
        <f>IF(ISNUMBER(FIND($O$3,$C53)),MAXA($O$4:O52)+1,0)</f>
        <v>0</v>
      </c>
      <c r="P53" t="str">
        <f>IFERROR(INDEX($B$5:$O$625,MATCH(ROWS($P$5:$P53),$O$5:$O$625,0),2),"")</f>
        <v/>
      </c>
      <c r="Q53">
        <f>IF(ISNUMBER(FIND($Q$3,$B53)),MAXA($Q$4:Q52)+1,0)</f>
        <v>49</v>
      </c>
      <c r="R53">
        <f>IFERROR(INDEX($B$5:$Q$625,MATCH(ROWS($R$5:$R53),$Q$5:$Q$625,0),1),"")</f>
        <v>0</v>
      </c>
    </row>
    <row r="54" spans="2:18" x14ac:dyDescent="0.2">
      <c r="B54" s="225" t="s">
        <v>494</v>
      </c>
      <c r="C54" s="226" t="s">
        <v>495</v>
      </c>
      <c r="D54" s="227"/>
      <c r="E54" s="227">
        <v>0.05</v>
      </c>
      <c r="F54" s="227"/>
      <c r="G54" s="226"/>
      <c r="H54" s="227"/>
      <c r="I54" s="227"/>
      <c r="J54" s="227"/>
      <c r="K54" s="228"/>
      <c r="O54">
        <f>IF(ISNUMBER(FIND($O$3,$C54)),MAXA($O$4:O53)+1,0)</f>
        <v>0</v>
      </c>
      <c r="P54" t="str">
        <f>IFERROR(INDEX($B$5:$O$625,MATCH(ROWS($P$5:$P54),$O$5:$O$625,0),2),"")</f>
        <v/>
      </c>
      <c r="Q54">
        <f>IF(ISNUMBER(FIND($Q$3,$B54)),MAXA($Q$4:Q53)+1,0)</f>
        <v>50</v>
      </c>
      <c r="R54" t="str">
        <f>IFERROR(INDEX($B$5:$Q$625,MATCH(ROWS($R$5:$R54),$Q$5:$Q$625,0),1),"")</f>
        <v>301-04-2</v>
      </c>
    </row>
    <row r="55" spans="2:18" x14ac:dyDescent="0.2">
      <c r="B55" s="225" t="s">
        <v>496</v>
      </c>
      <c r="C55" s="226" t="s">
        <v>497</v>
      </c>
      <c r="D55" s="227"/>
      <c r="E55" s="227">
        <v>0.05</v>
      </c>
      <c r="F55" s="227"/>
      <c r="G55" s="226"/>
      <c r="H55" s="227"/>
      <c r="I55" s="227"/>
      <c r="J55" s="227"/>
      <c r="K55" s="228"/>
      <c r="O55">
        <f>IF(ISNUMBER(FIND($O$3,$C55)),MAXA($O$4:O54)+1,0)</f>
        <v>0</v>
      </c>
      <c r="P55" t="str">
        <f>IFERROR(INDEX($B$5:$O$625,MATCH(ROWS($P$5:$P55),$O$5:$O$625,0),2),"")</f>
        <v/>
      </c>
      <c r="Q55">
        <f>IF(ISNUMBER(FIND($Q$3,$B55)),MAXA($Q$4:Q54)+1,0)</f>
        <v>51</v>
      </c>
      <c r="R55" t="str">
        <f>IFERROR(INDEX($B$5:$Q$625,MATCH(ROWS($R$5:$R55),$Q$5:$Q$625,0),1),"")</f>
        <v>7446-27-7</v>
      </c>
    </row>
    <row r="56" spans="2:18" x14ac:dyDescent="0.2">
      <c r="B56" s="225" t="s">
        <v>498</v>
      </c>
      <c r="C56" s="226" t="s">
        <v>499</v>
      </c>
      <c r="D56" s="227"/>
      <c r="E56" s="227">
        <v>1E-3</v>
      </c>
      <c r="F56" s="227"/>
      <c r="G56" s="226"/>
      <c r="H56" s="227"/>
      <c r="I56" s="227"/>
      <c r="J56" s="227"/>
      <c r="K56" s="228"/>
      <c r="O56">
        <f>IF(ISNUMBER(FIND($O$3,$C56)),MAXA($O$4:O55)+1,0)</f>
        <v>0</v>
      </c>
      <c r="P56" t="str">
        <f>IFERROR(INDEX($B$5:$O$625,MATCH(ROWS($P$5:$P56),$O$5:$O$625,0),2),"")</f>
        <v/>
      </c>
      <c r="Q56">
        <f>IF(ISNUMBER(FIND($Q$3,$B56)),MAXA($Q$4:Q55)+1,0)</f>
        <v>52</v>
      </c>
      <c r="R56" t="str">
        <f>IFERROR(INDEX($B$5:$Q$625,MATCH(ROWS($R$5:$R56),$Q$5:$Q$625,0),1),"")</f>
        <v>7758-97-6</v>
      </c>
    </row>
    <row r="57" spans="2:18" x14ac:dyDescent="0.2">
      <c r="B57" s="225" t="s">
        <v>500</v>
      </c>
      <c r="C57" s="226" t="s">
        <v>501</v>
      </c>
      <c r="D57" s="227"/>
      <c r="E57" s="227">
        <v>0.05</v>
      </c>
      <c r="F57" s="227"/>
      <c r="G57" s="226"/>
      <c r="H57" s="227"/>
      <c r="I57" s="227"/>
      <c r="J57" s="227"/>
      <c r="K57" s="228"/>
      <c r="O57">
        <f>IF(ISNUMBER(FIND($O$3,$C57)),MAXA($O$4:O56)+1,0)</f>
        <v>0</v>
      </c>
      <c r="P57" t="str">
        <f>IFERROR(INDEX($B$5:$O$625,MATCH(ROWS($P$5:$P57),$O$5:$O$625,0),2),"")</f>
        <v/>
      </c>
      <c r="Q57">
        <f>IF(ISNUMBER(FIND($Q$3,$B57)),MAXA($Q$4:Q56)+1,0)</f>
        <v>53</v>
      </c>
      <c r="R57" t="str">
        <f>IFERROR(INDEX($B$5:$Q$625,MATCH(ROWS($R$5:$R57),$Q$5:$Q$625,0),1),"")</f>
        <v>1335-32-6</v>
      </c>
    </row>
    <row r="58" spans="2:18" x14ac:dyDescent="0.2">
      <c r="B58" s="225"/>
      <c r="C58" s="226" t="s">
        <v>502</v>
      </c>
      <c r="D58" s="227"/>
      <c r="E58" s="227">
        <v>0.2</v>
      </c>
      <c r="F58" s="227"/>
      <c r="G58" s="226"/>
      <c r="H58" s="227"/>
      <c r="I58" s="227"/>
      <c r="J58" s="227"/>
      <c r="K58" s="228"/>
      <c r="O58">
        <f>IF(ISNUMBER(FIND($O$3,$C58)),MAXA($O$4:O57)+1,0)</f>
        <v>0</v>
      </c>
      <c r="P58" t="str">
        <f>IFERROR(INDEX($B$5:$O$625,MATCH(ROWS($P$5:$P58),$O$5:$O$625,0),2),"")</f>
        <v/>
      </c>
      <c r="Q58">
        <f>IF(ISNUMBER(FIND($Q$3,$B58)),MAXA($Q$4:Q57)+1,0)</f>
        <v>54</v>
      </c>
      <c r="R58">
        <f>IFERROR(INDEX($B$5:$Q$625,MATCH(ROWS($R$5:$R58),$Q$5:$Q$625,0),1),"")</f>
        <v>0</v>
      </c>
    </row>
    <row r="59" spans="2:18" x14ac:dyDescent="0.2">
      <c r="B59" s="225" t="s">
        <v>503</v>
      </c>
      <c r="C59" s="226" t="s">
        <v>504</v>
      </c>
      <c r="D59" s="227"/>
      <c r="E59" s="227">
        <v>10</v>
      </c>
      <c r="F59" s="227"/>
      <c r="G59" s="226"/>
      <c r="H59" s="227"/>
      <c r="I59" s="227"/>
      <c r="J59" s="227"/>
      <c r="K59" s="228"/>
      <c r="O59">
        <f>IF(ISNUMBER(FIND($O$3,$C59)),MAXA($O$4:O58)+1,0)</f>
        <v>0</v>
      </c>
      <c r="P59" t="str">
        <f>IFERROR(INDEX($B$5:$O$625,MATCH(ROWS($P$5:$P59),$O$5:$O$625,0),2),"")</f>
        <v/>
      </c>
      <c r="Q59">
        <f>IF(ISNUMBER(FIND($Q$3,$B59)),MAXA($Q$4:Q58)+1,0)</f>
        <v>55</v>
      </c>
      <c r="R59" t="str">
        <f>IFERROR(INDEX($B$5:$Q$625,MATCH(ROWS($R$5:$R59),$Q$5:$Q$625,0),1),"")</f>
        <v>1303-86-2</v>
      </c>
    </row>
    <row r="60" spans="2:18" x14ac:dyDescent="0.2">
      <c r="B60" s="225" t="s">
        <v>505</v>
      </c>
      <c r="C60" s="226" t="s">
        <v>506</v>
      </c>
      <c r="D60" s="227"/>
      <c r="E60" s="227"/>
      <c r="F60" s="227"/>
      <c r="G60" s="226"/>
      <c r="H60" s="227"/>
      <c r="I60" s="227">
        <v>1</v>
      </c>
      <c r="J60" s="227">
        <v>10</v>
      </c>
      <c r="K60" s="228"/>
      <c r="O60">
        <f>IF(ISNUMBER(FIND($O$3,$C60)),MAXA($O$4:O59)+1,0)</f>
        <v>0</v>
      </c>
      <c r="P60" t="str">
        <f>IFERROR(INDEX($B$5:$O$625,MATCH(ROWS($P$5:$P60),$O$5:$O$625,0),2),"")</f>
        <v/>
      </c>
      <c r="Q60">
        <f>IF(ISNUMBER(FIND($Q$3,$B60)),MAXA($Q$4:Q59)+1,0)</f>
        <v>56</v>
      </c>
      <c r="R60" t="str">
        <f>IFERROR(INDEX($B$5:$Q$625,MATCH(ROWS($R$5:$R60),$Q$5:$Q$625,0),1),"")</f>
        <v>10294-33-4</v>
      </c>
    </row>
    <row r="61" spans="2:18" x14ac:dyDescent="0.2">
      <c r="B61" s="225">
        <v>2095581</v>
      </c>
      <c r="C61" s="226" t="s">
        <v>507</v>
      </c>
      <c r="D61" s="227"/>
      <c r="E61" s="227"/>
      <c r="F61" s="227"/>
      <c r="G61" s="226"/>
      <c r="H61" s="227"/>
      <c r="I61" s="227">
        <v>1</v>
      </c>
      <c r="J61" s="227">
        <v>3</v>
      </c>
      <c r="K61" s="228"/>
      <c r="O61">
        <f>IF(ISNUMBER(FIND($O$3,$C61)),MAXA($O$4:O60)+1,0)</f>
        <v>0</v>
      </c>
      <c r="P61" t="str">
        <f>IFERROR(INDEX($B$5:$O$625,MATCH(ROWS($P$5:$P61),$O$5:$O$625,0),2),"")</f>
        <v/>
      </c>
      <c r="Q61">
        <f>IF(ISNUMBER(FIND($Q$3,$B61)),MAXA($Q$4:Q60)+1,0)</f>
        <v>57</v>
      </c>
      <c r="R61">
        <f>IFERROR(INDEX($B$5:$Q$625,MATCH(ROWS($R$5:$R61),$Q$5:$Q$625,0),1),"")</f>
        <v>2095581</v>
      </c>
    </row>
    <row r="62" spans="2:18" x14ac:dyDescent="0.2">
      <c r="B62" s="225" t="s">
        <v>508</v>
      </c>
      <c r="C62" s="226" t="s">
        <v>509</v>
      </c>
      <c r="D62" s="227">
        <v>0.1</v>
      </c>
      <c r="E62" s="227">
        <v>0.7</v>
      </c>
      <c r="F62" s="227"/>
      <c r="G62" s="226"/>
      <c r="H62" s="227"/>
      <c r="I62" s="227"/>
      <c r="J62" s="227"/>
      <c r="K62" s="228"/>
      <c r="O62">
        <f>IF(ISNUMBER(FIND($O$3,$C62)),MAXA($O$4:O61)+1,0)</f>
        <v>0</v>
      </c>
      <c r="P62" t="str">
        <f>IFERROR(INDEX($B$5:$O$625,MATCH(ROWS($P$5:$P62),$O$5:$O$625,0),2),"")</f>
        <v/>
      </c>
      <c r="Q62">
        <f>IF(ISNUMBER(FIND($Q$3,$B62)),MAXA($Q$4:Q61)+1,0)</f>
        <v>58</v>
      </c>
      <c r="R62" t="str">
        <f>IFERROR(INDEX($B$5:$Q$625,MATCH(ROWS($R$5:$R62),$Q$5:$Q$625,0),1),"")</f>
        <v>7726-95-6</v>
      </c>
    </row>
    <row r="63" spans="2:18" x14ac:dyDescent="0.2">
      <c r="B63" s="225" t="s">
        <v>510</v>
      </c>
      <c r="C63" s="226" t="s">
        <v>511</v>
      </c>
      <c r="D63" s="227">
        <v>5</v>
      </c>
      <c r="E63" s="227">
        <v>22</v>
      </c>
      <c r="F63" s="227"/>
      <c r="G63" s="226"/>
      <c r="H63" s="227"/>
      <c r="I63" s="227"/>
      <c r="J63" s="227"/>
      <c r="K63" s="228"/>
      <c r="O63">
        <f>IF(ISNUMBER(FIND($O$3,$C63)),MAXA($O$4:O62)+1,0)</f>
        <v>0</v>
      </c>
      <c r="P63" t="str">
        <f>IFERROR(INDEX($B$5:$O$625,MATCH(ROWS($P$5:$P63),$O$5:$O$625,0),2),"")</f>
        <v/>
      </c>
      <c r="Q63">
        <f>IF(ISNUMBER(FIND($Q$3,$B63)),MAXA($Q$4:Q62)+1,0)</f>
        <v>59</v>
      </c>
      <c r="R63" t="str">
        <f>IFERROR(INDEX($B$5:$Q$625,MATCH(ROWS($R$5:$R63),$Q$5:$Q$625,0),1),"")</f>
        <v>74-96-4</v>
      </c>
    </row>
    <row r="64" spans="2:18" x14ac:dyDescent="0.2">
      <c r="B64" s="225" t="s">
        <v>512</v>
      </c>
      <c r="C64" s="226" t="s">
        <v>513</v>
      </c>
      <c r="D64" s="227">
        <v>100</v>
      </c>
      <c r="E64" s="227">
        <v>525</v>
      </c>
      <c r="F64" s="227"/>
      <c r="G64" s="226"/>
      <c r="H64" s="227"/>
      <c r="I64" s="227"/>
      <c r="J64" s="227"/>
      <c r="K64" s="228"/>
      <c r="O64">
        <f>IF(ISNUMBER(FIND($O$3,$C64)),MAXA($O$4:O63)+1,0)</f>
        <v>0</v>
      </c>
      <c r="P64" t="str">
        <f>IFERROR(INDEX($B$5:$O$625,MATCH(ROWS($P$5:$P64),$O$5:$O$625,0),2),"")</f>
        <v/>
      </c>
      <c r="Q64">
        <f>IF(ISNUMBER(FIND($Q$3,$B64)),MAXA($Q$4:Q63)+1,0)</f>
        <v>60</v>
      </c>
      <c r="R64" t="str">
        <f>IFERROR(INDEX($B$5:$Q$625,MATCH(ROWS($R$5:$R64),$Q$5:$Q$625,0),1),"")</f>
        <v>74-97-5</v>
      </c>
    </row>
    <row r="65" spans="2:18" x14ac:dyDescent="0.2">
      <c r="B65" s="225" t="s">
        <v>514</v>
      </c>
      <c r="C65" s="226" t="s">
        <v>515</v>
      </c>
      <c r="D65" s="227">
        <v>5</v>
      </c>
      <c r="E65" s="227">
        <v>20</v>
      </c>
      <c r="F65" s="227"/>
      <c r="G65" s="226"/>
      <c r="H65" s="227"/>
      <c r="I65" s="227"/>
      <c r="J65" s="227"/>
      <c r="K65" s="228"/>
      <c r="O65">
        <f>IF(ISNUMBER(FIND($O$3,$C65)),MAXA($O$4:O64)+1,0)</f>
        <v>0</v>
      </c>
      <c r="P65" t="str">
        <f>IFERROR(INDEX($B$5:$O$625,MATCH(ROWS($P$5:$P65),$O$5:$O$625,0),2),"")</f>
        <v/>
      </c>
      <c r="Q65">
        <f>IF(ISNUMBER(FIND($Q$3,$B65)),MAXA($Q$4:Q64)+1,0)</f>
        <v>61</v>
      </c>
      <c r="R65" t="str">
        <f>IFERROR(INDEX($B$5:$Q$625,MATCH(ROWS($R$5:$R65),$Q$5:$Q$625,0),1),"")</f>
        <v>74-83-9</v>
      </c>
    </row>
    <row r="66" spans="2:18" x14ac:dyDescent="0.2">
      <c r="B66" s="225" t="s">
        <v>516</v>
      </c>
      <c r="C66" s="226" t="s">
        <v>517</v>
      </c>
      <c r="D66" s="227">
        <v>0.1</v>
      </c>
      <c r="E66" s="227">
        <v>0.7</v>
      </c>
      <c r="F66" s="227"/>
      <c r="G66" s="226"/>
      <c r="H66" s="227"/>
      <c r="I66" s="227"/>
      <c r="J66" s="227"/>
      <c r="K66" s="228"/>
      <c r="O66">
        <f>IF(ISNUMBER(FIND($O$3,$C66)),MAXA($O$4:O65)+1,0)</f>
        <v>0</v>
      </c>
      <c r="P66" t="str">
        <f>IFERROR(INDEX($B$5:$O$625,MATCH(ROWS($P$5:$P66),$O$5:$O$625,0),2),"")</f>
        <v/>
      </c>
      <c r="Q66">
        <f>IF(ISNUMBER(FIND($Q$3,$B66)),MAXA($Q$4:Q65)+1,0)</f>
        <v>62</v>
      </c>
      <c r="R66" t="str">
        <f>IFERROR(INDEX($B$5:$Q$625,MATCH(ROWS($R$5:$R66),$Q$5:$Q$625,0),1),"")</f>
        <v>7789-30-2</v>
      </c>
    </row>
    <row r="67" spans="2:18" x14ac:dyDescent="0.2">
      <c r="B67" s="225" t="s">
        <v>518</v>
      </c>
      <c r="C67" s="226" t="s">
        <v>519</v>
      </c>
      <c r="D67" s="227">
        <v>500</v>
      </c>
      <c r="E67" s="227">
        <v>3050</v>
      </c>
      <c r="F67" s="227"/>
      <c r="G67" s="226"/>
      <c r="H67" s="227"/>
      <c r="I67" s="227"/>
      <c r="J67" s="227"/>
      <c r="K67" s="228"/>
      <c r="O67">
        <f>IF(ISNUMBER(FIND($O$3,$C67)),MAXA($O$4:O66)+1,0)</f>
        <v>0</v>
      </c>
      <c r="P67" t="str">
        <f>IFERROR(INDEX($B$5:$O$625,MATCH(ROWS($P$5:$P67),$O$5:$O$625,0),2),"")</f>
        <v/>
      </c>
      <c r="Q67">
        <f>IF(ISNUMBER(FIND($Q$3,$B67)),MAXA($Q$4:Q66)+1,0)</f>
        <v>63</v>
      </c>
      <c r="R67" t="str">
        <f>IFERROR(INDEX($B$5:$Q$625,MATCH(ROWS($R$5:$R67),$Q$5:$Q$625,0),1),"")</f>
        <v>75-63-8</v>
      </c>
    </row>
    <row r="68" spans="2:18" x14ac:dyDescent="0.2">
      <c r="B68" s="225" t="s">
        <v>520</v>
      </c>
      <c r="C68" s="226" t="s">
        <v>521</v>
      </c>
      <c r="D68" s="227">
        <v>1</v>
      </c>
      <c r="E68" s="227">
        <v>2.2000000000000002</v>
      </c>
      <c r="F68" s="227"/>
      <c r="G68" s="226"/>
      <c r="H68" s="227"/>
      <c r="I68" s="227"/>
      <c r="J68" s="227"/>
      <c r="K68" s="228"/>
      <c r="O68">
        <f>IF(ISNUMBER(FIND($O$3,$C68)),MAXA($O$4:O67)+1,0)</f>
        <v>0</v>
      </c>
      <c r="P68" t="str">
        <f>IFERROR(INDEX($B$5:$O$625,MATCH(ROWS($P$5:$P68),$O$5:$O$625,0),2),"")</f>
        <v/>
      </c>
      <c r="Q68">
        <f>IF(ISNUMBER(FIND($Q$3,$B68)),MAXA($Q$4:Q67)+1,0)</f>
        <v>64</v>
      </c>
      <c r="R68" t="str">
        <f>IFERROR(INDEX($B$5:$Q$625,MATCH(ROWS($R$5:$R68),$Q$5:$Q$625,0),1),"")</f>
        <v>106-99-0</v>
      </c>
    </row>
    <row r="69" spans="2:18" x14ac:dyDescent="0.2">
      <c r="B69" s="225" t="s">
        <v>522</v>
      </c>
      <c r="C69" s="226" t="s">
        <v>523</v>
      </c>
      <c r="D69" s="227">
        <v>250</v>
      </c>
      <c r="E69" s="227">
        <v>600</v>
      </c>
      <c r="F69" s="227"/>
      <c r="G69" s="226"/>
      <c r="H69" s="227"/>
      <c r="I69" s="227"/>
      <c r="J69" s="227"/>
      <c r="K69" s="228"/>
      <c r="O69">
        <f>IF(ISNUMBER(FIND($O$3,$C69)),MAXA($O$4:O68)+1,0)</f>
        <v>0</v>
      </c>
      <c r="P69" t="str">
        <f>IFERROR(INDEX($B$5:$O$625,MATCH(ROWS($P$5:$P69),$O$5:$O$625,0),2),"")</f>
        <v/>
      </c>
      <c r="Q69">
        <f>IF(ISNUMBER(FIND($Q$3,$B69)),MAXA($Q$4:Q68)+1,0)</f>
        <v>65</v>
      </c>
      <c r="R69" t="str">
        <f>IFERROR(INDEX($B$5:$Q$625,MATCH(ROWS($R$5:$R69),$Q$5:$Q$625,0),1),"")</f>
        <v>106-97-8</v>
      </c>
    </row>
    <row r="70" spans="2:18" x14ac:dyDescent="0.2">
      <c r="B70" s="225" t="s">
        <v>524</v>
      </c>
      <c r="C70" s="226" t="s">
        <v>525</v>
      </c>
      <c r="D70" s="227"/>
      <c r="E70" s="227"/>
      <c r="F70" s="227"/>
      <c r="G70" s="226"/>
      <c r="H70" s="227"/>
      <c r="I70" s="227">
        <v>25</v>
      </c>
      <c r="J70" s="227">
        <v>75</v>
      </c>
      <c r="K70" s="228"/>
      <c r="O70">
        <f>IF(ISNUMBER(FIND($O$3,$C70)),MAXA($O$4:O69)+1,0)</f>
        <v>0</v>
      </c>
      <c r="P70" t="str">
        <f>IFERROR(INDEX($B$5:$O$625,MATCH(ROWS($P$5:$P70),$O$5:$O$625,0),2),"")</f>
        <v/>
      </c>
      <c r="Q70">
        <f>IF(ISNUMBER(FIND($Q$3,$B70)),MAXA($Q$4:Q69)+1,0)</f>
        <v>66</v>
      </c>
      <c r="R70" t="str">
        <f>IFERROR(INDEX($B$5:$Q$625,MATCH(ROWS($R$5:$R70),$Q$5:$Q$625,0),1),"")</f>
        <v>71-36-3</v>
      </c>
    </row>
    <row r="71" spans="2:18" x14ac:dyDescent="0.2">
      <c r="B71" s="225" t="s">
        <v>526</v>
      </c>
      <c r="C71" s="226" t="s">
        <v>527</v>
      </c>
      <c r="D71" s="227"/>
      <c r="E71" s="227"/>
      <c r="F71" s="227"/>
      <c r="G71" s="226"/>
      <c r="H71" s="227"/>
      <c r="I71" s="227">
        <v>25</v>
      </c>
      <c r="J71" s="227">
        <v>75</v>
      </c>
      <c r="K71" s="228"/>
      <c r="O71">
        <f>IF(ISNUMBER(FIND($O$3,$C71)),MAXA($O$4:O70)+1,0)</f>
        <v>0</v>
      </c>
      <c r="P71" t="str">
        <f>IFERROR(INDEX($B$5:$O$625,MATCH(ROWS($P$5:$P71),$O$5:$O$625,0),2),"")</f>
        <v/>
      </c>
      <c r="Q71">
        <f>IF(ISNUMBER(FIND($Q$3,$B71)),MAXA($Q$4:Q70)+1,0)</f>
        <v>67</v>
      </c>
      <c r="R71" t="str">
        <f>IFERROR(INDEX($B$5:$Q$625,MATCH(ROWS($R$5:$R71),$Q$5:$Q$625,0),1),"")</f>
        <v>78-92-2</v>
      </c>
    </row>
    <row r="72" spans="2:18" x14ac:dyDescent="0.2">
      <c r="B72" s="225" t="s">
        <v>528</v>
      </c>
      <c r="C72" s="226" t="s">
        <v>529</v>
      </c>
      <c r="D72" s="227">
        <v>0.1</v>
      </c>
      <c r="E72" s="227">
        <v>0.4</v>
      </c>
      <c r="F72" s="227"/>
      <c r="G72" s="226"/>
      <c r="H72" s="227"/>
      <c r="I72" s="227"/>
      <c r="J72" s="227"/>
      <c r="K72" s="228"/>
      <c r="O72">
        <f>IF(ISNUMBER(FIND($O$3,$C72)),MAXA($O$4:O71)+1,0)</f>
        <v>0</v>
      </c>
      <c r="P72" t="str">
        <f>IFERROR(INDEX($B$5:$O$625,MATCH(ROWS($P$5:$P72),$O$5:$O$625,0),2),"")</f>
        <v/>
      </c>
      <c r="Q72">
        <f>IF(ISNUMBER(FIND($Q$3,$B72)),MAXA($Q$4:Q71)+1,0)</f>
        <v>68</v>
      </c>
      <c r="R72" t="str">
        <f>IFERROR(INDEX($B$5:$Q$625,MATCH(ROWS($R$5:$R72),$Q$5:$Q$625,0),1),"")</f>
        <v>431-03-8</v>
      </c>
    </row>
    <row r="73" spans="2:18" x14ac:dyDescent="0.2">
      <c r="B73" s="225"/>
      <c r="C73" s="226" t="s">
        <v>530</v>
      </c>
      <c r="D73" s="227"/>
      <c r="E73" s="227"/>
      <c r="F73" s="227"/>
      <c r="G73" s="226"/>
      <c r="H73" s="227"/>
      <c r="I73" s="227">
        <v>25</v>
      </c>
      <c r="J73" s="227">
        <v>75</v>
      </c>
      <c r="K73" s="228"/>
      <c r="O73">
        <f>IF(ISNUMBER(FIND($O$3,$C73)),MAXA($O$4:O72)+1,0)</f>
        <v>0</v>
      </c>
      <c r="P73" t="str">
        <f>IFERROR(INDEX($B$5:$O$625,MATCH(ROWS($P$5:$P73),$O$5:$O$625,0),2),"")</f>
        <v/>
      </c>
      <c r="Q73">
        <f>IF(ISNUMBER(FIND($Q$3,$B73)),MAXA($Q$4:Q72)+1,0)</f>
        <v>69</v>
      </c>
      <c r="R73">
        <f>IFERROR(INDEX($B$5:$Q$625,MATCH(ROWS($R$5:$R73),$Q$5:$Q$625,0),1),"")</f>
        <v>0</v>
      </c>
    </row>
    <row r="74" spans="2:18" x14ac:dyDescent="0.2">
      <c r="B74" s="225" t="s">
        <v>531</v>
      </c>
      <c r="C74" s="226" t="s">
        <v>532</v>
      </c>
      <c r="D74" s="227">
        <v>75</v>
      </c>
      <c r="E74" s="227">
        <v>220</v>
      </c>
      <c r="F74" s="227"/>
      <c r="G74" s="226"/>
      <c r="H74" s="227"/>
      <c r="I74" s="227"/>
      <c r="J74" s="227"/>
      <c r="K74" s="228"/>
      <c r="O74">
        <f>IF(ISNUMBER(FIND($O$3,$C74)),MAXA($O$4:O73)+1,0)</f>
        <v>0</v>
      </c>
      <c r="P74" t="str">
        <f>IFERROR(INDEX($B$5:$O$625,MATCH(ROWS($P$5:$P74),$O$5:$O$625,0),2),"")</f>
        <v/>
      </c>
      <c r="Q74">
        <f>IF(ISNUMBER(FIND($Q$3,$B74)),MAXA($Q$4:Q73)+1,0)</f>
        <v>70</v>
      </c>
      <c r="R74" t="str">
        <f>IFERROR(INDEX($B$5:$Q$625,MATCH(ROWS($R$5:$R74),$Q$5:$Q$625,0),1),"")</f>
        <v>78-93-3</v>
      </c>
    </row>
    <row r="75" spans="2:18" x14ac:dyDescent="0.2">
      <c r="B75" s="225" t="s">
        <v>533</v>
      </c>
      <c r="C75" s="226" t="s">
        <v>534</v>
      </c>
      <c r="D75" s="227"/>
      <c r="E75" s="227"/>
      <c r="F75" s="227"/>
      <c r="G75" s="226"/>
      <c r="H75" s="227"/>
      <c r="I75" s="227"/>
      <c r="J75" s="227">
        <v>1</v>
      </c>
      <c r="K75" s="228"/>
      <c r="O75">
        <f>IF(ISNUMBER(FIND($O$3,$C75)),MAXA($O$4:O74)+1,0)</f>
        <v>0</v>
      </c>
      <c r="P75" t="str">
        <f>IFERROR(INDEX($B$5:$O$625,MATCH(ROWS($P$5:$P75),$O$5:$O$625,0),2),"")</f>
        <v/>
      </c>
      <c r="Q75">
        <f>IF(ISNUMBER(FIND($Q$3,$B75)),MAXA($Q$4:Q74)+1,0)</f>
        <v>71</v>
      </c>
      <c r="R75" t="str">
        <f>IFERROR(INDEX($B$5:$Q$625,MATCH(ROWS($R$5:$R75),$Q$5:$Q$625,0),1),"")</f>
        <v>1338-23-4</v>
      </c>
    </row>
    <row r="76" spans="2:18" x14ac:dyDescent="0.2">
      <c r="B76" s="225" t="s">
        <v>535</v>
      </c>
      <c r="C76" s="226" t="s">
        <v>536</v>
      </c>
      <c r="D76" s="227">
        <v>0.5</v>
      </c>
      <c r="E76" s="227">
        <v>1.5</v>
      </c>
      <c r="F76" s="227"/>
      <c r="G76" s="226"/>
      <c r="H76" s="227"/>
      <c r="I76" s="227"/>
      <c r="J76" s="227"/>
      <c r="K76" s="228"/>
      <c r="O76">
        <f>IF(ISNUMBER(FIND($O$3,$C76)),MAXA($O$4:O75)+1,0)</f>
        <v>0</v>
      </c>
      <c r="P76" t="str">
        <f>IFERROR(INDEX($B$5:$O$625,MATCH(ROWS($P$5:$P76),$O$5:$O$625,0),2),"")</f>
        <v/>
      </c>
      <c r="Q76">
        <f>IF(ISNUMBER(FIND($Q$3,$B76)),MAXA($Q$4:Q75)+1,0)</f>
        <v>72</v>
      </c>
      <c r="R76" t="str">
        <f>IFERROR(INDEX($B$5:$Q$625,MATCH(ROWS($R$5:$R76),$Q$5:$Q$625,0),1),"")</f>
        <v>109-79-5</v>
      </c>
    </row>
    <row r="77" spans="2:18" x14ac:dyDescent="0.2">
      <c r="B77" s="225" t="s">
        <v>537</v>
      </c>
      <c r="C77" s="226" t="s">
        <v>538</v>
      </c>
      <c r="D77" s="227">
        <v>2</v>
      </c>
      <c r="E77" s="227">
        <v>6</v>
      </c>
      <c r="F77" s="227"/>
      <c r="G77" s="226"/>
      <c r="H77" s="227"/>
      <c r="I77" s="227"/>
      <c r="J77" s="227"/>
      <c r="K77" s="228"/>
      <c r="O77">
        <f>IF(ISNUMBER(FIND($O$3,$C77)),MAXA($O$4:O76)+1,0)</f>
        <v>0</v>
      </c>
      <c r="P77" t="str">
        <f>IFERROR(INDEX($B$5:$O$625,MATCH(ROWS($P$5:$P77),$O$5:$O$625,0),2),"")</f>
        <v/>
      </c>
      <c r="Q77">
        <f>IF(ISNUMBER(FIND($Q$3,$B77)),MAXA($Q$4:Q76)+1,0)</f>
        <v>73</v>
      </c>
      <c r="R77" t="str">
        <f>IFERROR(INDEX($B$5:$Q$625,MATCH(ROWS($R$5:$R77),$Q$5:$Q$625,0),1),"")</f>
        <v>123-73-9</v>
      </c>
    </row>
    <row r="78" spans="2:18" x14ac:dyDescent="0.2">
      <c r="B78" s="225" t="s">
        <v>539</v>
      </c>
      <c r="C78" s="226" t="s">
        <v>540</v>
      </c>
      <c r="D78" s="227">
        <v>10</v>
      </c>
      <c r="E78" s="227">
        <v>50</v>
      </c>
      <c r="F78" s="227"/>
      <c r="G78" s="226"/>
      <c r="H78" s="227"/>
      <c r="I78" s="227"/>
      <c r="J78" s="227"/>
      <c r="K78" s="228"/>
      <c r="O78">
        <f>IF(ISNUMBER(FIND($O$3,$C78)),MAXA($O$4:O77)+1,0)</f>
        <v>0</v>
      </c>
      <c r="P78" t="str">
        <f>IFERROR(INDEX($B$5:$O$625,MATCH(ROWS($P$5:$P78),$O$5:$O$625,0),2),"")</f>
        <v/>
      </c>
      <c r="Q78">
        <f>IF(ISNUMBER(FIND($Q$3,$B78)),MAXA($Q$4:Q77)+1,0)</f>
        <v>74</v>
      </c>
      <c r="R78" t="str">
        <f>IFERROR(INDEX($B$5:$Q$625,MATCH(ROWS($R$5:$R78),$Q$5:$Q$625,0),1),"")</f>
        <v>111-76-2</v>
      </c>
    </row>
    <row r="79" spans="2:18" x14ac:dyDescent="0.2">
      <c r="B79" s="225">
        <v>192337</v>
      </c>
      <c r="C79" s="226" t="s">
        <v>541</v>
      </c>
      <c r="D79" s="227">
        <v>5</v>
      </c>
      <c r="E79" s="227">
        <v>27</v>
      </c>
      <c r="F79" s="227"/>
      <c r="G79" s="226"/>
      <c r="H79" s="227"/>
      <c r="I79" s="227"/>
      <c r="J79" s="227"/>
      <c r="K79" s="228"/>
      <c r="O79">
        <f>IF(ISNUMBER(FIND($O$3,$C79)),MAXA($O$4:O78)+1,0)</f>
        <v>0</v>
      </c>
      <c r="P79" t="str">
        <f>IFERROR(INDEX($B$5:$O$625,MATCH(ROWS($P$5:$P79),$O$5:$O$625,0),2),"")</f>
        <v/>
      </c>
      <c r="Q79">
        <f>IF(ISNUMBER(FIND($Q$3,$B79)),MAXA($Q$4:Q78)+1,0)</f>
        <v>75</v>
      </c>
      <c r="R79">
        <f>IFERROR(INDEX($B$5:$Q$625,MATCH(ROWS($R$5:$R79),$Q$5:$Q$625,0),1),"")</f>
        <v>192337</v>
      </c>
    </row>
    <row r="80" spans="2:18" x14ac:dyDescent="0.2">
      <c r="B80" s="225" t="s">
        <v>542</v>
      </c>
      <c r="C80" s="226" t="s">
        <v>543</v>
      </c>
      <c r="D80" s="227">
        <v>10</v>
      </c>
      <c r="E80" s="227">
        <v>68</v>
      </c>
      <c r="F80" s="227"/>
      <c r="G80" s="226"/>
      <c r="H80" s="227"/>
      <c r="I80" s="227"/>
      <c r="J80" s="227"/>
      <c r="K80" s="228"/>
      <c r="O80">
        <f>IF(ISNUMBER(FIND($O$3,$C80)),MAXA($O$4:O79)+1,0)</f>
        <v>0</v>
      </c>
      <c r="P80" t="str">
        <f>IFERROR(INDEX($B$5:$O$625,MATCH(ROWS($P$5:$P80),$O$5:$O$625,0),2),"")</f>
        <v/>
      </c>
      <c r="Q80">
        <f>IF(ISNUMBER(FIND($Q$3,$B80)),MAXA($Q$4:Q79)+1,0)</f>
        <v>76</v>
      </c>
      <c r="R80" t="str">
        <f>IFERROR(INDEX($B$5:$Q$625,MATCH(ROWS($R$5:$R80),$Q$5:$Q$625,0),1),"")</f>
        <v>112-34-5</v>
      </c>
    </row>
    <row r="81" spans="2:18" x14ac:dyDescent="0.2">
      <c r="B81" s="225" t="s">
        <v>544</v>
      </c>
      <c r="C81" s="226" t="s">
        <v>545</v>
      </c>
      <c r="D81" s="227">
        <v>10</v>
      </c>
      <c r="E81" s="227">
        <v>65</v>
      </c>
      <c r="F81" s="227"/>
      <c r="G81" s="226"/>
      <c r="H81" s="227"/>
      <c r="I81" s="227"/>
      <c r="J81" s="227"/>
      <c r="K81" s="228"/>
      <c r="O81">
        <f>IF(ISNUMBER(FIND($O$3,$C81)),MAXA($O$4:O80)+1,0)</f>
        <v>0</v>
      </c>
      <c r="P81" t="str">
        <f>IFERROR(INDEX($B$5:$O$625,MATCH(ROWS($P$5:$P81),$O$5:$O$625,0),2),"")</f>
        <v/>
      </c>
      <c r="Q81">
        <f>IF(ISNUMBER(FIND($Q$3,$B81)),MAXA($Q$4:Q80)+1,0)</f>
        <v>77</v>
      </c>
      <c r="R81" t="str">
        <f>IFERROR(INDEX($B$5:$Q$625,MATCH(ROWS($R$5:$R81),$Q$5:$Q$625,0),1),"")</f>
        <v>112-07-2</v>
      </c>
    </row>
    <row r="82" spans="2:18" x14ac:dyDescent="0.2">
      <c r="B82" s="225"/>
      <c r="C82" s="226" t="s">
        <v>546</v>
      </c>
      <c r="D82" s="227">
        <v>50</v>
      </c>
      <c r="E82" s="227">
        <v>241</v>
      </c>
      <c r="F82" s="227"/>
      <c r="G82" s="226"/>
      <c r="H82" s="227"/>
      <c r="I82" s="227"/>
      <c r="J82" s="227"/>
      <c r="K82" s="228"/>
      <c r="O82">
        <f>IF(ISNUMBER(FIND($O$3,$C82)),MAXA($O$4:O81)+1,0)</f>
        <v>0</v>
      </c>
      <c r="P82" t="str">
        <f>IFERROR(INDEX($B$5:$O$625,MATCH(ROWS($P$5:$P82),$O$5:$O$625,0),2),"")</f>
        <v/>
      </c>
      <c r="Q82">
        <f>IF(ISNUMBER(FIND($Q$3,$B82)),MAXA($Q$4:Q81)+1,0)</f>
        <v>78</v>
      </c>
      <c r="R82">
        <f>IFERROR(INDEX($B$5:$Q$625,MATCH(ROWS($R$5:$R82),$Q$5:$Q$625,0),1),"")</f>
        <v>0</v>
      </c>
    </row>
    <row r="83" spans="2:18" x14ac:dyDescent="0.2">
      <c r="B83" s="225" t="s">
        <v>547</v>
      </c>
      <c r="C83" s="226" t="s">
        <v>548</v>
      </c>
      <c r="D83" s="227">
        <v>2</v>
      </c>
      <c r="E83" s="227">
        <v>11</v>
      </c>
      <c r="F83" s="227"/>
      <c r="G83" s="226"/>
      <c r="H83" s="227"/>
      <c r="I83" s="227"/>
      <c r="J83" s="227"/>
      <c r="K83" s="228"/>
      <c r="O83">
        <f>IF(ISNUMBER(FIND($O$3,$C83)),MAXA($O$4:O82)+1,0)</f>
        <v>0</v>
      </c>
      <c r="P83" t="str">
        <f>IFERROR(INDEX($B$5:$O$625,MATCH(ROWS($P$5:$P83),$O$5:$O$625,0),2),"")</f>
        <v/>
      </c>
      <c r="Q83">
        <f>IF(ISNUMBER(FIND($Q$3,$B83)),MAXA($Q$4:Q82)+1,0)</f>
        <v>79</v>
      </c>
      <c r="R83" t="str">
        <f>IFERROR(INDEX($B$5:$Q$625,MATCH(ROWS($R$5:$R83),$Q$5:$Q$625,0),1),"")</f>
        <v>141-32-2</v>
      </c>
    </row>
    <row r="84" spans="2:18" x14ac:dyDescent="0.2">
      <c r="B84" s="225"/>
      <c r="C84" s="226" t="s">
        <v>549</v>
      </c>
      <c r="D84" s="227"/>
      <c r="E84" s="227"/>
      <c r="F84" s="227"/>
      <c r="G84" s="226"/>
      <c r="H84" s="227"/>
      <c r="I84" s="227">
        <v>5</v>
      </c>
      <c r="J84" s="227">
        <v>15</v>
      </c>
      <c r="K84" s="228"/>
      <c r="O84">
        <f>IF(ISNUMBER(FIND($O$3,$C84)),MAXA($O$4:O83)+1,0)</f>
        <v>0</v>
      </c>
      <c r="P84" t="str">
        <f>IFERROR(INDEX($B$5:$O$625,MATCH(ROWS($P$5:$P84),$O$5:$O$625,0),2),"")</f>
        <v/>
      </c>
      <c r="Q84">
        <f>IF(ISNUMBER(FIND($Q$3,$B84)),MAXA($Q$4:Q83)+1,0)</f>
        <v>80</v>
      </c>
      <c r="R84">
        <f>IFERROR(INDEX($B$5:$Q$625,MATCH(ROWS($R$5:$R84),$Q$5:$Q$625,0),1),"")</f>
        <v>0</v>
      </c>
    </row>
    <row r="85" spans="2:18" x14ac:dyDescent="0.2">
      <c r="B85" s="225" t="s">
        <v>550</v>
      </c>
      <c r="C85" s="226" t="s">
        <v>551</v>
      </c>
      <c r="D85" s="227"/>
      <c r="E85" s="227"/>
      <c r="F85" s="227"/>
      <c r="G85" s="226"/>
      <c r="H85" s="227"/>
      <c r="I85" s="227"/>
      <c r="J85" s="227">
        <v>0.1</v>
      </c>
      <c r="K85" s="228"/>
      <c r="O85">
        <f>IF(ISNUMBER(FIND($O$3,$C85)),MAXA($O$4:O84)+1,0)</f>
        <v>0</v>
      </c>
      <c r="P85" t="str">
        <f>IFERROR(INDEX($B$5:$O$625,MATCH(ROWS($P$5:$P85),$O$5:$O$625,0),2),"")</f>
        <v/>
      </c>
      <c r="Q85">
        <f>IF(ISNUMBER(FIND($Q$3,$B85)),MAXA($Q$4:Q84)+1,0)</f>
        <v>81</v>
      </c>
      <c r="R85" t="str">
        <f>IFERROR(INDEX($B$5:$Q$625,MATCH(ROWS($R$5:$R85),$Q$5:$Q$625,0),1),"")</f>
        <v>1189-85-1</v>
      </c>
    </row>
    <row r="86" spans="2:18" x14ac:dyDescent="0.2">
      <c r="B86" s="225" t="s">
        <v>552</v>
      </c>
      <c r="C86" s="226" t="s">
        <v>553</v>
      </c>
      <c r="D86" s="227">
        <v>5</v>
      </c>
      <c r="E86" s="227">
        <v>25</v>
      </c>
      <c r="F86" s="227"/>
      <c r="G86" s="226"/>
      <c r="H86" s="227"/>
      <c r="I86" s="227"/>
      <c r="J86" s="227"/>
      <c r="K86" s="228"/>
      <c r="O86">
        <f>IF(ISNUMBER(FIND($O$3,$C86)),MAXA($O$4:O85)+1,0)</f>
        <v>0</v>
      </c>
      <c r="P86" t="str">
        <f>IFERROR(INDEX($B$5:$O$625,MATCH(ROWS($P$5:$P86),$O$5:$O$625,0),2),"")</f>
        <v/>
      </c>
      <c r="Q86">
        <f>IF(ISNUMBER(FIND($Q$3,$B86)),MAXA($Q$4:Q85)+1,0)</f>
        <v>82</v>
      </c>
      <c r="R86" t="str">
        <f>IFERROR(INDEX($B$5:$Q$625,MATCH(ROWS($R$5:$R86),$Q$5:$Q$625,0),1),"")</f>
        <v>138-22-7</v>
      </c>
    </row>
    <row r="87" spans="2:18" x14ac:dyDescent="0.2">
      <c r="B87" s="225" t="s">
        <v>554</v>
      </c>
      <c r="C87" s="226" t="s">
        <v>555</v>
      </c>
      <c r="D87" s="227">
        <v>10</v>
      </c>
      <c r="E87" s="227">
        <v>59</v>
      </c>
      <c r="F87" s="227"/>
      <c r="G87" s="226"/>
      <c r="H87" s="227"/>
      <c r="I87" s="227"/>
      <c r="J87" s="227"/>
      <c r="K87" s="228"/>
      <c r="O87">
        <f>IF(ISNUMBER(FIND($O$3,$C87)),MAXA($O$4:O86)+1,0)</f>
        <v>0</v>
      </c>
      <c r="P87" t="str">
        <f>IFERROR(INDEX($B$5:$O$625,MATCH(ROWS($P$5:$P87),$O$5:$O$625,0),2),"")</f>
        <v/>
      </c>
      <c r="Q87">
        <f>IF(ISNUMBER(FIND($Q$3,$B87)),MAXA($Q$4:Q86)+1,0)</f>
        <v>83</v>
      </c>
      <c r="R87" t="str">
        <f>IFERROR(INDEX($B$5:$Q$625,MATCH(ROWS($R$5:$R87),$Q$5:$Q$625,0),1),"")</f>
        <v>97-88-1</v>
      </c>
    </row>
    <row r="88" spans="2:18" x14ac:dyDescent="0.2">
      <c r="B88" s="225" t="s">
        <v>556</v>
      </c>
      <c r="C88" s="226" t="s">
        <v>557</v>
      </c>
      <c r="D88" s="227">
        <v>50</v>
      </c>
      <c r="E88" s="227">
        <v>183.5</v>
      </c>
      <c r="F88" s="227"/>
      <c r="G88" s="226">
        <v>100</v>
      </c>
      <c r="H88" s="227">
        <v>367</v>
      </c>
      <c r="I88" s="227"/>
      <c r="J88" s="227"/>
      <c r="K88" s="228"/>
      <c r="O88">
        <f>IF(ISNUMBER(FIND($O$3,$C88)),MAXA($O$4:O87)+1,0)</f>
        <v>0</v>
      </c>
      <c r="P88" t="str">
        <f>IFERROR(INDEX($B$5:$O$625,MATCH(ROWS($P$5:$P88),$O$5:$O$625,0),2),"")</f>
        <v/>
      </c>
      <c r="Q88">
        <f>IF(ISNUMBER(FIND($Q$3,$B88)),MAXA($Q$4:Q87)+1,0)</f>
        <v>84</v>
      </c>
      <c r="R88" t="str">
        <f>IFERROR(INDEX($B$5:$Q$625,MATCH(ROWS($R$5:$R88),$Q$5:$Q$625,0),1),"")</f>
        <v>1634-04-4</v>
      </c>
    </row>
    <row r="89" spans="2:18" x14ac:dyDescent="0.2">
      <c r="B89" s="225">
        <v>191906</v>
      </c>
      <c r="C89" s="226" t="s">
        <v>558</v>
      </c>
      <c r="D89" s="227"/>
      <c r="E89" s="227">
        <v>0.1</v>
      </c>
      <c r="F89" s="227"/>
      <c r="G89" s="226"/>
      <c r="H89" s="227"/>
      <c r="I89" s="227"/>
      <c r="J89" s="227"/>
      <c r="K89" s="228"/>
      <c r="O89">
        <f>IF(ISNUMBER(FIND($O$3,$C89)),MAXA($O$4:O88)+1,0)</f>
        <v>0</v>
      </c>
      <c r="P89" t="str">
        <f>IFERROR(INDEX($B$5:$O$625,MATCH(ROWS($P$5:$P89),$O$5:$O$625,0),2),"")</f>
        <v/>
      </c>
      <c r="Q89">
        <f>IF(ISNUMBER(FIND($Q$3,$B89)),MAXA($Q$4:Q88)+1,0)</f>
        <v>85</v>
      </c>
      <c r="R89">
        <f>IFERROR(INDEX($B$5:$Q$625,MATCH(ROWS($R$5:$R89),$Q$5:$Q$625,0),1),"")</f>
        <v>191906</v>
      </c>
    </row>
    <row r="90" spans="2:18" x14ac:dyDescent="0.2">
      <c r="B90" s="225" t="s">
        <v>559</v>
      </c>
      <c r="C90" s="226" t="s">
        <v>560</v>
      </c>
      <c r="D90" s="227"/>
      <c r="E90" s="227">
        <v>5</v>
      </c>
      <c r="F90" s="227"/>
      <c r="G90" s="226"/>
      <c r="H90" s="227"/>
      <c r="I90" s="227"/>
      <c r="J90" s="227"/>
      <c r="K90" s="228"/>
      <c r="O90">
        <f>IF(ISNUMBER(FIND($O$3,$C90)),MAXA($O$4:O89)+1,0)</f>
        <v>0</v>
      </c>
      <c r="P90" t="str">
        <f>IFERROR(INDEX($B$5:$O$625,MATCH(ROWS($P$5:$P90),$O$5:$O$625,0),2),"")</f>
        <v/>
      </c>
      <c r="Q90">
        <f>IF(ISNUMBER(FIND($Q$3,$B90)),MAXA($Q$4:Q89)+1,0)</f>
        <v>86</v>
      </c>
      <c r="R90" t="str">
        <f>IFERROR(INDEX($B$5:$Q$625,MATCH(ROWS($R$5:$R90),$Q$5:$Q$625,0),1),"")</f>
        <v>133-06-2</v>
      </c>
    </row>
    <row r="91" spans="2:18" x14ac:dyDescent="0.2">
      <c r="B91" s="225" t="s">
        <v>561</v>
      </c>
      <c r="C91" s="226" t="s">
        <v>562</v>
      </c>
      <c r="D91" s="227"/>
      <c r="E91" s="227">
        <v>3.5</v>
      </c>
      <c r="F91" s="227"/>
      <c r="G91" s="226"/>
      <c r="H91" s="227"/>
      <c r="I91" s="227"/>
      <c r="J91" s="227"/>
      <c r="K91" s="228"/>
      <c r="O91">
        <f>IF(ISNUMBER(FIND($O$3,$C91)),MAXA($O$4:O90)+1,0)</f>
        <v>0</v>
      </c>
      <c r="P91" t="str">
        <f>IFERROR(INDEX($B$5:$O$625,MATCH(ROWS($P$5:$P91),$O$5:$O$625,0),2),"")</f>
        <v/>
      </c>
      <c r="Q91">
        <f>IF(ISNUMBER(FIND($Q$3,$B91)),MAXA($Q$4:Q90)+1,0)</f>
        <v>87</v>
      </c>
      <c r="R91" t="str">
        <f>IFERROR(INDEX($B$5:$Q$625,MATCH(ROWS($R$5:$R91),$Q$5:$Q$625,0),1),"")</f>
        <v>1333-86-4</v>
      </c>
    </row>
    <row r="92" spans="2:18" x14ac:dyDescent="0.2">
      <c r="B92" s="225" t="s">
        <v>563</v>
      </c>
      <c r="C92" s="226" t="s">
        <v>564</v>
      </c>
      <c r="D92" s="227"/>
      <c r="E92" s="227">
        <v>2</v>
      </c>
      <c r="F92" s="227"/>
      <c r="G92" s="226"/>
      <c r="H92" s="227"/>
      <c r="I92" s="227"/>
      <c r="J92" s="227"/>
      <c r="K92" s="228"/>
      <c r="O92">
        <f>IF(ISNUMBER(FIND($O$3,$C92)),MAXA($O$4:O91)+1,0)</f>
        <v>0</v>
      </c>
      <c r="P92" t="str">
        <f>IFERROR(INDEX($B$5:$O$625,MATCH(ROWS($P$5:$P92),$O$5:$O$625,0),2),"")</f>
        <v/>
      </c>
      <c r="Q92">
        <f>IF(ISNUMBER(FIND($Q$3,$B92)),MAXA($Q$4:Q91)+1,0)</f>
        <v>88</v>
      </c>
      <c r="R92" t="str">
        <f>IFERROR(INDEX($B$5:$Q$625,MATCH(ROWS($R$5:$R92),$Q$5:$Q$625,0),1),"")</f>
        <v>21351-79-1</v>
      </c>
    </row>
    <row r="93" spans="2:18" x14ac:dyDescent="0.2">
      <c r="B93" s="225" t="s">
        <v>565</v>
      </c>
      <c r="C93" s="226" t="s">
        <v>566</v>
      </c>
      <c r="D93" s="227">
        <v>0.6</v>
      </c>
      <c r="E93" s="227">
        <v>1</v>
      </c>
      <c r="F93" s="227"/>
      <c r="G93" s="226"/>
      <c r="H93" s="227"/>
      <c r="I93" s="227"/>
      <c r="J93" s="227"/>
      <c r="K93" s="228"/>
      <c r="O93">
        <f>IF(ISNUMBER(FIND($O$3,$C93)),MAXA($O$4:O92)+1,0)</f>
        <v>0</v>
      </c>
      <c r="P93" t="str">
        <f>IFERROR(INDEX($B$5:$O$625,MATCH(ROWS($P$5:$P93),$O$5:$O$625,0),2),"")</f>
        <v/>
      </c>
      <c r="Q93">
        <f>IF(ISNUMBER(FIND($Q$3,$B93)),MAXA($Q$4:Q92)+1,0)</f>
        <v>89</v>
      </c>
      <c r="R93" t="str">
        <f>IFERROR(INDEX($B$5:$Q$625,MATCH(ROWS($R$5:$R93),$Q$5:$Q$625,0),1),"")</f>
        <v>420-04-2</v>
      </c>
    </row>
    <row r="94" spans="2:18" x14ac:dyDescent="0.2">
      <c r="B94" s="225"/>
      <c r="C94" s="226" t="s">
        <v>567</v>
      </c>
      <c r="D94" s="227">
        <v>5</v>
      </c>
      <c r="E94" s="227">
        <v>5</v>
      </c>
      <c r="F94" s="227"/>
      <c r="G94" s="226"/>
      <c r="H94" s="227"/>
      <c r="I94" s="227"/>
      <c r="J94" s="227"/>
      <c r="K94" s="228"/>
      <c r="O94">
        <f>IF(ISNUMBER(FIND($O$3,$C94)),MAXA($O$4:O93)+1,0)</f>
        <v>0</v>
      </c>
      <c r="P94" t="str">
        <f>IFERROR(INDEX($B$5:$O$625,MATCH(ROWS($P$5:$P94),$O$5:$O$625,0),2),"")</f>
        <v/>
      </c>
      <c r="Q94">
        <f>IF(ISNUMBER(FIND($Q$3,$B94)),MAXA($Q$4:Q93)+1,0)</f>
        <v>90</v>
      </c>
      <c r="R94">
        <f>IFERROR(INDEX($B$5:$Q$625,MATCH(ROWS($R$5:$R94),$Q$5:$Q$625,0),1),"")</f>
        <v>0</v>
      </c>
    </row>
    <row r="95" spans="2:18" x14ac:dyDescent="0.2">
      <c r="B95" s="225" t="s">
        <v>568</v>
      </c>
      <c r="C95" s="226" t="s">
        <v>569</v>
      </c>
      <c r="D95" s="227"/>
      <c r="E95" s="227"/>
      <c r="F95" s="227"/>
      <c r="G95" s="226"/>
      <c r="H95" s="227"/>
      <c r="I95" s="227">
        <v>0.25</v>
      </c>
      <c r="J95" s="227">
        <v>0.6</v>
      </c>
      <c r="K95" s="228"/>
      <c r="O95">
        <f>IF(ISNUMBER(FIND($O$3,$C95)),MAXA($O$4:O94)+1,0)</f>
        <v>0</v>
      </c>
      <c r="P95" t="str">
        <f>IFERROR(INDEX($B$5:$O$625,MATCH(ROWS($P$5:$P95),$O$5:$O$625,0),2),"")</f>
        <v/>
      </c>
      <c r="Q95">
        <f>IF(ISNUMBER(FIND($Q$3,$B95)),MAXA($Q$4:Q94)+1,0)</f>
        <v>91</v>
      </c>
      <c r="R95" t="str">
        <f>IFERROR(INDEX($B$5:$Q$625,MATCH(ROWS($R$5:$R95),$Q$5:$Q$625,0),1),"")</f>
        <v>506-77-4</v>
      </c>
    </row>
    <row r="96" spans="2:18" x14ac:dyDescent="0.2">
      <c r="B96" s="225" t="s">
        <v>570</v>
      </c>
      <c r="C96" s="226" t="s">
        <v>571</v>
      </c>
      <c r="D96" s="227"/>
      <c r="E96" s="227">
        <v>5</v>
      </c>
      <c r="F96" s="227"/>
      <c r="G96" s="226"/>
      <c r="H96" s="227"/>
      <c r="I96" s="227"/>
      <c r="J96" s="227"/>
      <c r="K96" s="228"/>
      <c r="O96">
        <f>IF(ISNUMBER(FIND($O$3,$C96)),MAXA($O$4:O95)+1,0)</f>
        <v>0</v>
      </c>
      <c r="P96" t="str">
        <f>IFERROR(INDEX($B$5:$O$625,MATCH(ROWS($P$5:$P96),$O$5:$O$625,0),2),"")</f>
        <v/>
      </c>
      <c r="Q96">
        <f>IF(ISNUMBER(FIND($Q$3,$B96)),MAXA($Q$4:Q95)+1,0)</f>
        <v>92</v>
      </c>
      <c r="R96" t="str">
        <f>IFERROR(INDEX($B$5:$Q$625,MATCH(ROWS($R$5:$R96),$Q$5:$Q$625,0),1),"")</f>
        <v>13121-70-5</v>
      </c>
    </row>
    <row r="97" spans="2:18" x14ac:dyDescent="0.2">
      <c r="B97" s="225" t="s">
        <v>572</v>
      </c>
      <c r="C97" s="226" t="s">
        <v>573</v>
      </c>
      <c r="D97" s="227"/>
      <c r="E97" s="227">
        <v>1</v>
      </c>
      <c r="F97" s="227"/>
      <c r="G97" s="226"/>
      <c r="H97" s="227"/>
      <c r="I97" s="227"/>
      <c r="J97" s="227"/>
      <c r="K97" s="228"/>
      <c r="O97">
        <f>IF(ISNUMBER(FIND($O$3,$C97)),MAXA($O$4:O96)+1,0)</f>
        <v>0</v>
      </c>
      <c r="P97" t="str">
        <f>IFERROR(INDEX($B$5:$O$625,MATCH(ROWS($P$5:$P97),$O$5:$O$625,0),2),"")</f>
        <v/>
      </c>
      <c r="Q97">
        <f>IF(ISNUMBER(FIND($Q$3,$B97)),MAXA($Q$4:Q96)+1,0)</f>
        <v>93</v>
      </c>
      <c r="R97" t="str">
        <f>IFERROR(INDEX($B$5:$Q$625,MATCH(ROWS($R$5:$R97),$Q$5:$Q$625,0),1),"")</f>
        <v>50-29-3</v>
      </c>
    </row>
    <row r="98" spans="2:18" x14ac:dyDescent="0.2">
      <c r="B98" s="225" t="s">
        <v>574</v>
      </c>
      <c r="C98" s="226" t="s">
        <v>575</v>
      </c>
      <c r="D98" s="227">
        <v>0.05</v>
      </c>
      <c r="E98" s="227">
        <v>0.3</v>
      </c>
      <c r="F98" s="227"/>
      <c r="G98" s="226"/>
      <c r="H98" s="227"/>
      <c r="I98" s="227"/>
      <c r="J98" s="227"/>
      <c r="K98" s="228"/>
      <c r="O98">
        <f>IF(ISNUMBER(FIND($O$3,$C98)),MAXA($O$4:O97)+1,0)</f>
        <v>0</v>
      </c>
      <c r="P98" t="str">
        <f>IFERROR(INDEX($B$5:$O$625,MATCH(ROWS($P$5:$P98),$O$5:$O$625,0),2),"")</f>
        <v/>
      </c>
      <c r="Q98">
        <f>IF(ISNUMBER(FIND($Q$3,$B98)),MAXA($Q$4:Q97)+1,0)</f>
        <v>94</v>
      </c>
      <c r="R98" t="str">
        <f>IFERROR(INDEX($B$5:$Q$625,MATCH(ROWS($R$5:$R98),$Q$5:$Q$625,0),1),"")</f>
        <v>17702-41-9</v>
      </c>
    </row>
    <row r="99" spans="2:18" x14ac:dyDescent="0.2">
      <c r="B99" s="225"/>
      <c r="C99" s="226" t="s">
        <v>576</v>
      </c>
      <c r="D99" s="227">
        <v>40</v>
      </c>
      <c r="E99" s="227">
        <v>275</v>
      </c>
      <c r="F99" s="227"/>
      <c r="G99" s="226"/>
      <c r="H99" s="227"/>
      <c r="I99" s="227"/>
      <c r="J99" s="227"/>
      <c r="K99" s="228"/>
      <c r="O99">
        <f>IF(ISNUMBER(FIND($O$3,$C99)),MAXA($O$4:O98)+1,0)</f>
        <v>0</v>
      </c>
      <c r="P99" t="str">
        <f>IFERROR(INDEX($B$5:$O$625,MATCH(ROWS($P$5:$P99),$O$5:$O$625,0),2),"")</f>
        <v/>
      </c>
      <c r="Q99">
        <f>IF(ISNUMBER(FIND($Q$3,$B99)),MAXA($Q$4:Q98)+1,0)</f>
        <v>95</v>
      </c>
      <c r="R99">
        <f>IFERROR(INDEX($B$5:$Q$625,MATCH(ROWS($R$5:$R99),$Q$5:$Q$625,0),1),"")</f>
        <v>0</v>
      </c>
    </row>
    <row r="100" spans="2:18" x14ac:dyDescent="0.2">
      <c r="B100" s="225" t="s">
        <v>577</v>
      </c>
      <c r="C100" s="226" t="s">
        <v>578</v>
      </c>
      <c r="D100" s="227">
        <v>0.01</v>
      </c>
      <c r="E100" s="227">
        <v>0.1</v>
      </c>
      <c r="F100" s="227"/>
      <c r="G100" s="226"/>
      <c r="H100" s="227"/>
      <c r="I100" s="227"/>
      <c r="J100" s="227"/>
      <c r="K100" s="228"/>
      <c r="O100">
        <f>IF(ISNUMBER(FIND($O$3,$C100)),MAXA($O$4:O99)+1,0)</f>
        <v>0</v>
      </c>
      <c r="P100" t="str">
        <f>IFERROR(INDEX($B$5:$O$625,MATCH(ROWS($P$5:$P100),$O$5:$O$625,0),2),"")</f>
        <v/>
      </c>
      <c r="Q100">
        <f>IF(ISNUMBER(FIND($Q$3,$B100)),MAXA($Q$4:Q99)+1,0)</f>
        <v>96</v>
      </c>
      <c r="R100" t="str">
        <f>IFERROR(INDEX($B$5:$Q$625,MATCH(ROWS($R$5:$R100),$Q$5:$Q$625,0),1),"")</f>
        <v>8065-48-3</v>
      </c>
    </row>
    <row r="101" spans="2:18" x14ac:dyDescent="0.2">
      <c r="B101" s="225" t="s">
        <v>579</v>
      </c>
      <c r="C101" s="226" t="s">
        <v>580</v>
      </c>
      <c r="D101" s="227">
        <v>0.05</v>
      </c>
      <c r="E101" s="227">
        <v>0.5</v>
      </c>
      <c r="F101" s="227"/>
      <c r="G101" s="226"/>
      <c r="H101" s="227"/>
      <c r="I101" s="227"/>
      <c r="J101" s="227"/>
      <c r="K101" s="228"/>
      <c r="O101">
        <f>IF(ISNUMBER(FIND($O$3,$C101)),MAXA($O$4:O100)+1,0)</f>
        <v>0</v>
      </c>
      <c r="P101" t="str">
        <f>IFERROR(INDEX($B$5:$O$625,MATCH(ROWS($P$5:$P101),$O$5:$O$625,0),2),"")</f>
        <v/>
      </c>
      <c r="Q101">
        <f>IF(ISNUMBER(FIND($Q$3,$B101)),MAXA($Q$4:Q100)+1,0)</f>
        <v>97</v>
      </c>
      <c r="R101" t="str">
        <f>IFERROR(INDEX($B$5:$Q$625,MATCH(ROWS($R$5:$R101),$Q$5:$Q$625,0),1),"")</f>
        <v>867-27-6</v>
      </c>
    </row>
    <row r="102" spans="2:18" x14ac:dyDescent="0.2">
      <c r="B102" s="225" t="s">
        <v>581</v>
      </c>
      <c r="C102" s="226" t="s">
        <v>582</v>
      </c>
      <c r="D102" s="227">
        <v>5</v>
      </c>
      <c r="E102" s="227">
        <v>35</v>
      </c>
      <c r="F102" s="227"/>
      <c r="G102" s="226"/>
      <c r="H102" s="227"/>
      <c r="I102" s="227"/>
      <c r="J102" s="227"/>
      <c r="K102" s="228"/>
      <c r="O102">
        <f>IF(ISNUMBER(FIND($O$3,$C102)),MAXA($O$4:O101)+1,0)</f>
        <v>0</v>
      </c>
      <c r="P102" t="str">
        <f>IFERROR(INDEX($B$5:$O$625,MATCH(ROWS($P$5:$P102),$O$5:$O$625,0),2),"")</f>
        <v/>
      </c>
      <c r="Q102">
        <f>IF(ISNUMBER(FIND($Q$3,$B102)),MAXA($Q$4:Q101)+1,0)</f>
        <v>98</v>
      </c>
      <c r="R102" t="str">
        <f>IFERROR(INDEX($B$5:$Q$625,MATCH(ROWS($R$5:$R102),$Q$5:$Q$625,0),1),"")</f>
        <v>57041-67-5</v>
      </c>
    </row>
    <row r="103" spans="2:18" x14ac:dyDescent="0.2">
      <c r="B103" s="225"/>
      <c r="C103" s="226" t="s">
        <v>583</v>
      </c>
      <c r="D103" s="227"/>
      <c r="E103" s="227">
        <v>1.5</v>
      </c>
      <c r="F103" s="227"/>
      <c r="G103" s="226"/>
      <c r="H103" s="227"/>
      <c r="I103" s="227"/>
      <c r="J103" s="227"/>
      <c r="K103" s="228"/>
      <c r="O103">
        <f>IF(ISNUMBER(FIND($O$3,$C103)),MAXA($O$4:O102)+1,0)</f>
        <v>0</v>
      </c>
      <c r="P103" t="str">
        <f>IFERROR(INDEX($B$5:$O$625,MATCH(ROWS($P$5:$P103),$O$5:$O$625,0),2),"")</f>
        <v/>
      </c>
      <c r="Q103">
        <f>IF(ISNUMBER(FIND($Q$3,$B103)),MAXA($Q$4:Q102)+1,0)</f>
        <v>99</v>
      </c>
      <c r="R103">
        <f>IFERROR(INDEX($B$5:$Q$625,MATCH(ROWS($R$5:$R103),$Q$5:$Q$625,0),1),"")</f>
        <v>0</v>
      </c>
    </row>
    <row r="104" spans="2:18" x14ac:dyDescent="0.2">
      <c r="B104" s="225" t="s">
        <v>584</v>
      </c>
      <c r="C104" s="226" t="s">
        <v>585</v>
      </c>
      <c r="D104" s="227"/>
      <c r="E104" s="227">
        <v>0.1</v>
      </c>
      <c r="F104" s="227"/>
      <c r="G104" s="226"/>
      <c r="H104" s="227"/>
      <c r="I104" s="227"/>
      <c r="J104" s="227"/>
      <c r="K104" s="228"/>
      <c r="O104">
        <f>IF(ISNUMBER(FIND($O$3,$C104)),MAXA($O$4:O103)+1,0)</f>
        <v>0</v>
      </c>
      <c r="P104" t="str">
        <f>IFERROR(INDEX($B$5:$O$625,MATCH(ROWS($P$5:$P104),$O$5:$O$625,0),2),"")</f>
        <v/>
      </c>
      <c r="Q104">
        <f>IF(ISNUMBER(FIND($Q$3,$B104)),MAXA($Q$4:Q103)+1,0)</f>
        <v>100</v>
      </c>
      <c r="R104" t="str">
        <f>IFERROR(INDEX($B$5:$Q$625,MATCH(ROWS($R$5:$R104),$Q$5:$Q$625,0),1),"")</f>
        <v>333-41-5</v>
      </c>
    </row>
    <row r="105" spans="2:18" x14ac:dyDescent="0.2">
      <c r="B105" s="225" t="s">
        <v>586</v>
      </c>
      <c r="C105" s="226" t="s">
        <v>587</v>
      </c>
      <c r="D105" s="227">
        <v>0.2</v>
      </c>
      <c r="E105" s="227">
        <v>0.4</v>
      </c>
      <c r="F105" s="227"/>
      <c r="G105" s="226"/>
      <c r="H105" s="227"/>
      <c r="I105" s="227"/>
      <c r="J105" s="227"/>
      <c r="K105" s="228"/>
      <c r="O105">
        <f>IF(ISNUMBER(FIND($O$3,$C105)),MAXA($O$4:O104)+1,0)</f>
        <v>0</v>
      </c>
      <c r="P105" t="str">
        <f>IFERROR(INDEX($B$5:$O$625,MATCH(ROWS($P$5:$P105),$O$5:$O$625,0),2),"")</f>
        <v/>
      </c>
      <c r="Q105">
        <f>IF(ISNUMBER(FIND($Q$3,$B105)),MAXA($Q$4:Q104)+1,0)</f>
        <v>101</v>
      </c>
      <c r="R105" t="str">
        <f>IFERROR(INDEX($B$5:$Q$625,MATCH(ROWS($R$5:$R105),$Q$5:$Q$625,0),1),"")</f>
        <v>334-88-3</v>
      </c>
    </row>
    <row r="106" spans="2:18" x14ac:dyDescent="0.2">
      <c r="B106" s="225" t="s">
        <v>588</v>
      </c>
      <c r="C106" s="226" t="s">
        <v>589</v>
      </c>
      <c r="D106" s="227">
        <v>0.1</v>
      </c>
      <c r="E106" s="227">
        <v>0.1</v>
      </c>
      <c r="F106" s="227"/>
      <c r="G106" s="226"/>
      <c r="H106" s="227"/>
      <c r="I106" s="227"/>
      <c r="J106" s="227"/>
      <c r="K106" s="228"/>
      <c r="O106">
        <f>IF(ISNUMBER(FIND($O$3,$C106)),MAXA($O$4:O105)+1,0)</f>
        <v>0</v>
      </c>
      <c r="P106" t="str">
        <f>IFERROR(INDEX($B$5:$O$625,MATCH(ROWS($P$5:$P106),$O$5:$O$625,0),2),"")</f>
        <v/>
      </c>
      <c r="Q106">
        <f>IF(ISNUMBER(FIND($Q$3,$B106)),MAXA($Q$4:Q105)+1,0)</f>
        <v>102</v>
      </c>
      <c r="R106" t="str">
        <f>IFERROR(INDEX($B$5:$Q$625,MATCH(ROWS($R$5:$R106),$Q$5:$Q$625,0),1),"")</f>
        <v>19287-45-7</v>
      </c>
    </row>
    <row r="107" spans="2:18" x14ac:dyDescent="0.2">
      <c r="B107" s="225" t="s">
        <v>590</v>
      </c>
      <c r="C107" s="226" t="s">
        <v>591</v>
      </c>
      <c r="D107" s="227">
        <v>50</v>
      </c>
      <c r="E107" s="227">
        <v>430</v>
      </c>
      <c r="F107" s="227"/>
      <c r="G107" s="226"/>
      <c r="H107" s="227"/>
      <c r="I107" s="227"/>
      <c r="J107" s="227"/>
      <c r="K107" s="228"/>
      <c r="O107">
        <f>IF(ISNUMBER(FIND($O$3,$C107)),MAXA($O$4:O106)+1,0)</f>
        <v>0</v>
      </c>
      <c r="P107" t="str">
        <f>IFERROR(INDEX($B$5:$O$625,MATCH(ROWS($P$5:$P107),$O$5:$O$625,0),2),"")</f>
        <v/>
      </c>
      <c r="Q107">
        <f>IF(ISNUMBER(FIND($Q$3,$B107)),MAXA($Q$4:Q106)+1,0)</f>
        <v>103</v>
      </c>
      <c r="R107" t="str">
        <f>IFERROR(INDEX($B$5:$Q$625,MATCH(ROWS($R$5:$R107),$Q$5:$Q$625,0),1),"")</f>
        <v>75-61-6</v>
      </c>
    </row>
    <row r="108" spans="2:18" x14ac:dyDescent="0.2">
      <c r="B108" s="225" t="s">
        <v>592</v>
      </c>
      <c r="C108" s="226" t="s">
        <v>593</v>
      </c>
      <c r="D108" s="227">
        <v>0.1</v>
      </c>
      <c r="E108" s="227">
        <v>1</v>
      </c>
      <c r="F108" s="227"/>
      <c r="G108" s="226"/>
      <c r="H108" s="227"/>
      <c r="I108" s="227"/>
      <c r="J108" s="227"/>
      <c r="K108" s="228"/>
      <c r="O108">
        <f>IF(ISNUMBER(FIND($O$3,$C108)),MAXA($O$4:O107)+1,0)</f>
        <v>0</v>
      </c>
      <c r="P108" t="str">
        <f>IFERROR(INDEX($B$5:$O$625,MATCH(ROWS($P$5:$P108),$O$5:$O$625,0),2),"")</f>
        <v/>
      </c>
      <c r="Q108">
        <f>IF(ISNUMBER(FIND($Q$3,$B108)),MAXA($Q$4:Q107)+1,0)</f>
        <v>104</v>
      </c>
      <c r="R108" t="str">
        <f>IFERROR(INDEX($B$5:$Q$625,MATCH(ROWS($R$5:$R108),$Q$5:$Q$625,0),1),"")</f>
        <v>106-93-4</v>
      </c>
    </row>
    <row r="109" spans="2:18" x14ac:dyDescent="0.2">
      <c r="B109" s="225" t="s">
        <v>594</v>
      </c>
      <c r="C109" s="226" t="s">
        <v>595</v>
      </c>
      <c r="D109" s="227">
        <v>2</v>
      </c>
      <c r="E109" s="227">
        <v>14</v>
      </c>
      <c r="F109" s="227"/>
      <c r="G109" s="226"/>
      <c r="H109" s="227"/>
      <c r="I109" s="227"/>
      <c r="J109" s="227"/>
      <c r="K109" s="228"/>
      <c r="O109">
        <f>IF(ISNUMBER(FIND($O$3,$C109)),MAXA($O$4:O108)+1,0)</f>
        <v>0</v>
      </c>
      <c r="P109" t="str">
        <f>IFERROR(INDEX($B$5:$O$625,MATCH(ROWS($P$5:$P109),$O$5:$O$625,0),2),"")</f>
        <v/>
      </c>
      <c r="Q109">
        <f>IF(ISNUMBER(FIND($Q$3,$B109)),MAXA($Q$4:Q108)+1,0)</f>
        <v>105</v>
      </c>
      <c r="R109" t="str">
        <f>IFERROR(INDEX($B$5:$Q$625,MATCH(ROWS($R$5:$R109),$Q$5:$Q$625,0),1),"")</f>
        <v>102-81-8</v>
      </c>
    </row>
    <row r="110" spans="2:18" x14ac:dyDescent="0.2">
      <c r="B110" s="225"/>
      <c r="C110" s="226" t="s">
        <v>596</v>
      </c>
      <c r="D110" s="227">
        <v>1</v>
      </c>
      <c r="E110" s="227">
        <v>5</v>
      </c>
      <c r="F110" s="227"/>
      <c r="G110" s="226"/>
      <c r="H110" s="227"/>
      <c r="I110" s="227"/>
      <c r="J110" s="227"/>
      <c r="K110" s="228"/>
      <c r="O110">
        <f>IF(ISNUMBER(FIND($O$3,$C110)),MAXA($O$4:O109)+1,0)</f>
        <v>0</v>
      </c>
      <c r="P110" t="str">
        <f>IFERROR(INDEX($B$5:$O$625,MATCH(ROWS($P$5:$P110),$O$5:$O$625,0),2),"")</f>
        <v/>
      </c>
      <c r="Q110">
        <f>IF(ISNUMBER(FIND($Q$3,$B110)),MAXA($Q$4:Q109)+1,0)</f>
        <v>106</v>
      </c>
      <c r="R110">
        <f>IFERROR(INDEX($B$5:$Q$625,MATCH(ROWS($R$5:$R110),$Q$5:$Q$625,0),1),"")</f>
        <v>0</v>
      </c>
    </row>
    <row r="111" spans="2:18" x14ac:dyDescent="0.2">
      <c r="B111" s="225" t="s">
        <v>597</v>
      </c>
      <c r="C111" s="226" t="s">
        <v>598</v>
      </c>
      <c r="D111" s="227"/>
      <c r="E111" s="227">
        <v>3</v>
      </c>
      <c r="F111" s="227"/>
      <c r="G111" s="226"/>
      <c r="H111" s="227"/>
      <c r="I111" s="227"/>
      <c r="J111" s="227"/>
      <c r="K111" s="228"/>
      <c r="O111">
        <f>IF(ISNUMBER(FIND($O$3,$C111)),MAXA($O$4:O110)+1,0)</f>
        <v>0</v>
      </c>
      <c r="P111" t="str">
        <f>IFERROR(INDEX($B$5:$O$625,MATCH(ROWS($P$5:$P111),$O$5:$O$625,0),2),"")</f>
        <v/>
      </c>
      <c r="Q111">
        <f>IF(ISNUMBER(FIND($Q$3,$B111)),MAXA($Q$4:Q110)+1,0)</f>
        <v>107</v>
      </c>
      <c r="R111" t="str">
        <f>IFERROR(INDEX($B$5:$Q$625,MATCH(ROWS($R$5:$R111),$Q$5:$Q$625,0),1),"")</f>
        <v>84-74-2</v>
      </c>
    </row>
    <row r="112" spans="2:18" x14ac:dyDescent="0.2">
      <c r="B112" s="225" t="s">
        <v>599</v>
      </c>
      <c r="C112" s="226" t="s">
        <v>600</v>
      </c>
      <c r="D112" s="227">
        <v>10</v>
      </c>
      <c r="E112" s="227">
        <v>22</v>
      </c>
      <c r="F112" s="227"/>
      <c r="G112" s="226"/>
      <c r="H112" s="227"/>
      <c r="I112" s="227"/>
      <c r="J112" s="227"/>
      <c r="K112" s="228"/>
      <c r="O112">
        <f>IF(ISNUMBER(FIND($O$3,$C112)),MAXA($O$4:O111)+1,0)</f>
        <v>0</v>
      </c>
      <c r="P112" t="str">
        <f>IFERROR(INDEX($B$5:$O$625,MATCH(ROWS($P$5:$P112),$O$5:$O$625,0),2),"")</f>
        <v/>
      </c>
      <c r="Q112">
        <f>IF(ISNUMBER(FIND($Q$3,$B112)),MAXA($Q$4:Q111)+1,0)</f>
        <v>108</v>
      </c>
      <c r="R112" t="str">
        <f>IFERROR(INDEX($B$5:$Q$625,MATCH(ROWS($R$5:$R112),$Q$5:$Q$625,0),1),"")</f>
        <v>460-19-5</v>
      </c>
    </row>
    <row r="113" spans="2:18" x14ac:dyDescent="0.2">
      <c r="B113" s="225" t="s">
        <v>601</v>
      </c>
      <c r="C113" s="226" t="s">
        <v>602</v>
      </c>
      <c r="D113" s="227"/>
      <c r="E113" s="227">
        <v>0.25</v>
      </c>
      <c r="F113" s="227"/>
      <c r="G113" s="226"/>
      <c r="H113" s="227"/>
      <c r="I113" s="227"/>
      <c r="J113" s="227"/>
      <c r="K113" s="228"/>
      <c r="O113">
        <f>IF(ISNUMBER(FIND($O$3,$C113)),MAXA($O$4:O112)+1,0)</f>
        <v>0</v>
      </c>
      <c r="P113" t="str">
        <f>IFERROR(INDEX($B$5:$O$625,MATCH(ROWS($P$5:$P113),$O$5:$O$625,0),2),"")</f>
        <v/>
      </c>
      <c r="Q113">
        <f>IF(ISNUMBER(FIND($Q$3,$B113)),MAXA($Q$4:Q112)+1,0)</f>
        <v>109</v>
      </c>
      <c r="R113" t="str">
        <f>IFERROR(INDEX($B$5:$Q$625,MATCH(ROWS($R$5:$R113),$Q$5:$Q$625,0),1),"")</f>
        <v>60-57-1</v>
      </c>
    </row>
    <row r="114" spans="2:18" x14ac:dyDescent="0.2">
      <c r="B114" s="225"/>
      <c r="C114" s="226" t="s">
        <v>1994</v>
      </c>
      <c r="D114" s="227"/>
      <c r="E114" s="227">
        <v>0.05</v>
      </c>
      <c r="F114" s="227"/>
      <c r="G114" s="226"/>
      <c r="H114" s="227"/>
      <c r="I114" s="227"/>
      <c r="J114" s="227"/>
      <c r="K114" s="228"/>
      <c r="O114">
        <f>IF(ISNUMBER(FIND($O$3,$C115)),MAXA($O$4:O113)+1,0)</f>
        <v>0</v>
      </c>
      <c r="P114" t="str">
        <f>IFERROR(INDEX($B$5:$O$625,MATCH(ROWS($P$5:$P114),$O$5:$O$625,0),2),"")</f>
        <v/>
      </c>
      <c r="Q114">
        <f>IF(ISNUMBER(FIND($Q$3,$B115)),MAXA($Q$4:Q113)+1,0)</f>
        <v>110</v>
      </c>
      <c r="R114">
        <f>IFERROR(INDEX($B$5:$Q$625,MATCH(ROWS($R$5:$R114),$Q$5:$Q$625,0),1),"")</f>
        <v>0</v>
      </c>
    </row>
    <row r="115" spans="2:18" x14ac:dyDescent="0.2">
      <c r="B115" s="225"/>
      <c r="C115" s="226" t="s">
        <v>603</v>
      </c>
      <c r="D115" s="227">
        <v>3</v>
      </c>
      <c r="E115" s="227">
        <v>15</v>
      </c>
      <c r="F115" s="227"/>
      <c r="G115" s="226"/>
      <c r="H115" s="227"/>
      <c r="I115" s="227"/>
      <c r="J115" s="227"/>
      <c r="K115" s="228"/>
      <c r="O115">
        <f>IF(ISNUMBER(FIND($O$3,$C116)),MAXA($O$4:O114)+1,0)</f>
        <v>0</v>
      </c>
      <c r="P115" t="str">
        <f>IFERROR(INDEX($B$5:$O$625,MATCH(ROWS($P$5:$P115),$O$5:$O$625,0),2),"")</f>
        <v/>
      </c>
      <c r="Q115">
        <f>IF(ISNUMBER(FIND($Q$3,$B116)),MAXA($Q$4:Q114)+1,0)</f>
        <v>111</v>
      </c>
      <c r="R115">
        <f>IFERROR(INDEX($B$5:$Q$625,MATCH(ROWS($R$5:$R115),$Q$5:$Q$625,0),1),"")</f>
        <v>0</v>
      </c>
    </row>
    <row r="116" spans="2:18" x14ac:dyDescent="0.2">
      <c r="B116" s="225" t="s">
        <v>604</v>
      </c>
      <c r="C116" s="226" t="s">
        <v>605</v>
      </c>
      <c r="D116" s="227">
        <v>5</v>
      </c>
      <c r="E116" s="227">
        <v>15</v>
      </c>
      <c r="F116" s="227"/>
      <c r="G116" s="226"/>
      <c r="H116" s="227"/>
      <c r="I116" s="227"/>
      <c r="J116" s="227"/>
      <c r="K116" s="228"/>
      <c r="O116">
        <f>IF(ISNUMBER(FIND($O$3,$C117)),MAXA($O$4:O115)+1,0)</f>
        <v>0</v>
      </c>
      <c r="P116" t="str">
        <f>IFERROR(INDEX($B$5:$O$625,MATCH(ROWS($P$5:$P116),$O$5:$O$625,0),2),"")</f>
        <v/>
      </c>
      <c r="Q116">
        <f>IF(ISNUMBER(FIND($Q$3,$B117)),MAXA($Q$4:Q115)+1,0)</f>
        <v>112</v>
      </c>
      <c r="R116" t="str">
        <f>IFERROR(INDEX($B$5:$Q$625,MATCH(ROWS($R$5:$R116),$Q$5:$Q$625,0),1),"")</f>
        <v>109-89-7</v>
      </c>
    </row>
    <row r="117" spans="2:18" x14ac:dyDescent="0.2">
      <c r="B117" s="225" t="s">
        <v>606</v>
      </c>
      <c r="C117" s="226" t="s">
        <v>607</v>
      </c>
      <c r="D117" s="227">
        <v>10</v>
      </c>
      <c r="E117" s="227">
        <v>50</v>
      </c>
      <c r="F117" s="227"/>
      <c r="G117" s="226"/>
      <c r="H117" s="227"/>
      <c r="I117" s="227"/>
      <c r="J117" s="227"/>
      <c r="K117" s="228"/>
      <c r="O117">
        <f>IF(ISNUMBER(FIND($O$3,$C118)),MAXA($O$4:O116)+1,0)</f>
        <v>0</v>
      </c>
      <c r="P117" t="str">
        <f>IFERROR(INDEX($B$5:$O$625,MATCH(ROWS($P$5:$P117),$O$5:$O$625,0),2),"")</f>
        <v/>
      </c>
      <c r="Q117">
        <f>IF(ISNUMBER(FIND($Q$3,$B118)),MAXA($Q$4:Q116)+1,0)</f>
        <v>113</v>
      </c>
      <c r="R117" t="str">
        <f>IFERROR(INDEX($B$5:$Q$625,MATCH(ROWS($R$5:$R117),$Q$5:$Q$625,0),1),"")</f>
        <v>100-37-8</v>
      </c>
    </row>
    <row r="118" spans="2:18" x14ac:dyDescent="0.2">
      <c r="B118" s="225" t="s">
        <v>608</v>
      </c>
      <c r="C118" s="226" t="s">
        <v>609</v>
      </c>
      <c r="D118" s="227">
        <v>100</v>
      </c>
      <c r="E118" s="227">
        <v>300</v>
      </c>
      <c r="F118" s="227"/>
      <c r="G118" s="226"/>
      <c r="H118" s="227"/>
      <c r="I118" s="227"/>
      <c r="J118" s="227"/>
      <c r="K118" s="228"/>
      <c r="O118">
        <f>IF(ISNUMBER(FIND($O$3,$C119)),MAXA($O$4:O117)+1,0)</f>
        <v>0</v>
      </c>
      <c r="P118" t="str">
        <f>IFERROR(INDEX($B$5:$O$625,MATCH(ROWS($P$5:$P118),$O$5:$O$625,0),2),"")</f>
        <v/>
      </c>
      <c r="Q118">
        <f>IF(ISNUMBER(FIND($Q$3,$B119)),MAXA($Q$4:Q117)+1,0)</f>
        <v>114</v>
      </c>
      <c r="R118" t="str">
        <f>IFERROR(INDEX($B$5:$Q$625,MATCH(ROWS($R$5:$R118),$Q$5:$Q$625,0),1),"")</f>
        <v>60-29-7</v>
      </c>
    </row>
    <row r="119" spans="2:18" x14ac:dyDescent="0.2">
      <c r="B119" s="225" t="s">
        <v>610</v>
      </c>
      <c r="C119" s="226" t="s">
        <v>611</v>
      </c>
      <c r="D119" s="227"/>
      <c r="E119" s="227">
        <v>3</v>
      </c>
      <c r="F119" s="227"/>
      <c r="G119" s="226"/>
      <c r="H119" s="227"/>
      <c r="I119" s="227"/>
      <c r="J119" s="227"/>
      <c r="K119" s="228"/>
      <c r="O119">
        <f>IF(ISNUMBER(FIND($O$3,$C120)),MAXA($O$4:O118)+1,0)</f>
        <v>0</v>
      </c>
      <c r="P119" t="str">
        <f>IFERROR(INDEX($B$5:$O$625,MATCH(ROWS($P$5:$P119),$O$5:$O$625,0),2),"")</f>
        <v/>
      </c>
      <c r="Q119">
        <f>IF(ISNUMBER(FIND($Q$3,$B120)),MAXA($Q$4:Q118)+1,0)</f>
        <v>115</v>
      </c>
      <c r="R119" t="str">
        <f>IFERROR(INDEX($B$5:$Q$625,MATCH(ROWS($R$5:$R119),$Q$5:$Q$625,0),1),"")</f>
        <v>84-66-2</v>
      </c>
    </row>
    <row r="120" spans="2:18" x14ac:dyDescent="0.2">
      <c r="B120" s="225" t="s">
        <v>612</v>
      </c>
      <c r="C120" s="226" t="s">
        <v>613</v>
      </c>
      <c r="D120" s="227"/>
      <c r="E120" s="227">
        <v>1</v>
      </c>
      <c r="F120" s="227"/>
      <c r="G120" s="226"/>
      <c r="H120" s="227"/>
      <c r="I120" s="227"/>
      <c r="J120" s="227"/>
      <c r="K120" s="228"/>
      <c r="O120">
        <f>IF(ISNUMBER(FIND($O$3,$C121)),MAXA($O$4:O119)+1,0)</f>
        <v>0</v>
      </c>
      <c r="P120" t="str">
        <f>IFERROR(INDEX($B$5:$O$625,MATCH(ROWS($P$5:$P120),$O$5:$O$625,0),2),"")</f>
        <v/>
      </c>
      <c r="Q120">
        <f>IF(ISNUMBER(FIND($Q$3,$B121)),MAXA($Q$4:Q119)+1,0)</f>
        <v>116</v>
      </c>
      <c r="R120" t="str">
        <f>IFERROR(INDEX($B$5:$Q$625,MATCH(ROWS($R$5:$R120),$Q$5:$Q$625,0),1),"")</f>
        <v>117-81-7</v>
      </c>
    </row>
    <row r="121" spans="2:18" x14ac:dyDescent="0.2">
      <c r="B121" s="225" t="s">
        <v>614</v>
      </c>
      <c r="C121" s="226" t="s">
        <v>615</v>
      </c>
      <c r="D121" s="227"/>
      <c r="E121" s="227">
        <v>5</v>
      </c>
      <c r="F121" s="227"/>
      <c r="G121" s="226"/>
      <c r="H121" s="227"/>
      <c r="I121" s="227"/>
      <c r="J121" s="227"/>
      <c r="K121" s="228"/>
      <c r="O121">
        <f>IF(ISNUMBER(FIND($O$3,$C122)),MAXA($O$4:O120)+1,0)</f>
        <v>0</v>
      </c>
      <c r="P121" t="str">
        <f>IFERROR(INDEX($B$5:$O$625,MATCH(ROWS($P$5:$P121),$O$5:$O$625,0),2),"")</f>
        <v/>
      </c>
      <c r="Q121">
        <f>IF(ISNUMBER(FIND($Q$3,$B122)),MAXA($Q$4:Q120)+1,0)</f>
        <v>117</v>
      </c>
      <c r="R121" t="str">
        <f>IFERROR(INDEX($B$5:$Q$625,MATCH(ROWS($R$5:$R121),$Q$5:$Q$625,0),1),"")</f>
        <v>122-39-4</v>
      </c>
    </row>
    <row r="122" spans="2:18" x14ac:dyDescent="0.2">
      <c r="B122" s="225" t="s">
        <v>616</v>
      </c>
      <c r="C122" s="226" t="s">
        <v>617</v>
      </c>
      <c r="D122" s="227">
        <v>1</v>
      </c>
      <c r="E122" s="227">
        <v>7</v>
      </c>
      <c r="F122" s="227"/>
      <c r="G122" s="226"/>
      <c r="H122" s="227"/>
      <c r="I122" s="227"/>
      <c r="J122" s="227"/>
      <c r="K122" s="228"/>
      <c r="O122">
        <f>IF(ISNUMBER(FIND($O$3,$C123)),MAXA($O$4:O121)+1,0)</f>
        <v>0</v>
      </c>
      <c r="P122" t="str">
        <f>IFERROR(INDEX($B$5:$O$625,MATCH(ROWS($P$5:$P122),$O$5:$O$625,0),2),"")</f>
        <v/>
      </c>
      <c r="Q122">
        <f>IF(ISNUMBER(FIND($Q$3,$B123)),MAXA($Q$4:Q121)+1,0)</f>
        <v>118</v>
      </c>
      <c r="R122" t="str">
        <f>IFERROR(INDEX($B$5:$Q$625,MATCH(ROWS($R$5:$R122),$Q$5:$Q$625,0),1),"")</f>
        <v>101-84-8</v>
      </c>
    </row>
    <row r="123" spans="2:18" x14ac:dyDescent="0.2">
      <c r="B123" s="225" t="s">
        <v>618</v>
      </c>
      <c r="C123" s="226" t="s">
        <v>619</v>
      </c>
      <c r="D123" s="227">
        <v>5.0000000000000001E-3</v>
      </c>
      <c r="E123" s="227">
        <v>0.05</v>
      </c>
      <c r="F123" s="227"/>
      <c r="G123" s="226">
        <v>0.01</v>
      </c>
      <c r="H123" s="227"/>
      <c r="I123" s="227"/>
      <c r="J123" s="227"/>
      <c r="K123" s="228"/>
      <c r="O123">
        <f>IF(ISNUMBER(FIND($O$3,$C124)),MAXA($O$4:O122)+1,0)</f>
        <v>0</v>
      </c>
      <c r="P123" t="str">
        <f>IFERROR(INDEX($B$5:$O$625,MATCH(ROWS($P$5:$P123),$O$5:$O$625,0),2),"")</f>
        <v/>
      </c>
      <c r="Q123">
        <f>IF(ISNUMBER(FIND($Q$3,$B124)),MAXA($Q$4:Q122)+1,0)</f>
        <v>119</v>
      </c>
      <c r="R123" t="str">
        <f>IFERROR(INDEX($B$5:$Q$625,MATCH(ROWS($R$5:$R123),$Q$5:$Q$625,0),1),"")</f>
        <v>101-68-8</v>
      </c>
    </row>
    <row r="124" spans="2:18" x14ac:dyDescent="0.2">
      <c r="B124" s="225" t="s">
        <v>620</v>
      </c>
      <c r="C124" s="226" t="s">
        <v>621</v>
      </c>
      <c r="D124" s="227">
        <v>500</v>
      </c>
      <c r="E124" s="227">
        <v>2475</v>
      </c>
      <c r="F124" s="227"/>
      <c r="G124" s="226"/>
      <c r="H124" s="227"/>
      <c r="I124" s="227"/>
      <c r="J124" s="227"/>
      <c r="K124" s="228"/>
      <c r="O124">
        <f>IF(ISNUMBER(FIND($O$3,$C125)),MAXA($O$4:O123)+1,0)</f>
        <v>0</v>
      </c>
      <c r="P124" t="str">
        <f>IFERROR(INDEX($B$5:$O$625,MATCH(ROWS($P$5:$P124),$O$5:$O$625,0),2),"")</f>
        <v/>
      </c>
      <c r="Q124">
        <f>IF(ISNUMBER(FIND($Q$3,$B125)),MAXA($Q$4:Q123)+1,0)</f>
        <v>120</v>
      </c>
      <c r="R124" t="str">
        <f>IFERROR(INDEX($B$5:$Q$625,MATCH(ROWS($R$5:$R124),$Q$5:$Q$625,0),1),"")</f>
        <v>75-71-8</v>
      </c>
    </row>
    <row r="125" spans="2:18" x14ac:dyDescent="0.2">
      <c r="B125" s="225" t="s">
        <v>622</v>
      </c>
      <c r="C125" s="226" t="s">
        <v>623</v>
      </c>
      <c r="D125" s="227">
        <v>500</v>
      </c>
      <c r="E125" s="227">
        <v>1750</v>
      </c>
      <c r="F125" s="227"/>
      <c r="G125" s="226"/>
      <c r="H125" s="227"/>
      <c r="I125" s="227"/>
      <c r="J125" s="227"/>
      <c r="K125" s="228"/>
      <c r="O125">
        <f>IF(ISNUMBER(FIND($O$3,$C126)),MAXA($O$4:O124)+1,0)</f>
        <v>0</v>
      </c>
      <c r="P125" t="str">
        <f>IFERROR(INDEX($B$5:$O$625,MATCH(ROWS($P$5:$P125),$O$5:$O$625,0),2),"")</f>
        <v/>
      </c>
      <c r="Q125">
        <f>IF(ISNUMBER(FIND($Q$3,$B126)),MAXA($Q$4:Q124)+1,0)</f>
        <v>121</v>
      </c>
      <c r="R125" t="str">
        <f>IFERROR(INDEX($B$5:$Q$625,MATCH(ROWS($R$5:$R125),$Q$5:$Q$625,0),1),"")</f>
        <v>75-45-6</v>
      </c>
    </row>
    <row r="126" spans="2:18" x14ac:dyDescent="0.2">
      <c r="B126" s="225" t="s">
        <v>624</v>
      </c>
      <c r="C126" s="226" t="s">
        <v>625</v>
      </c>
      <c r="D126" s="227">
        <v>250</v>
      </c>
      <c r="E126" s="227">
        <v>2085</v>
      </c>
      <c r="F126" s="227"/>
      <c r="G126" s="226"/>
      <c r="H126" s="227"/>
      <c r="I126" s="227"/>
      <c r="J126" s="227"/>
      <c r="K126" s="228"/>
      <c r="O126">
        <f>IF(ISNUMBER(FIND($O$3,$C127)),MAXA($O$4:O125)+1,0)</f>
        <v>0</v>
      </c>
      <c r="P126" t="str">
        <f>IFERROR(INDEX($B$5:$O$625,MATCH(ROWS($P$5:$P126),$O$5:$O$625,0),2),"")</f>
        <v/>
      </c>
      <c r="Q126">
        <f>IF(ISNUMBER(FIND($Q$3,$B127)),MAXA($Q$4:Q125)+1,0)</f>
        <v>122</v>
      </c>
      <c r="R126" t="str">
        <f>IFERROR(INDEX($B$5:$Q$625,MATCH(ROWS($R$5:$R126),$Q$5:$Q$625,0),1),"")</f>
        <v>76-12-0</v>
      </c>
    </row>
    <row r="127" spans="2:18" x14ac:dyDescent="0.2">
      <c r="B127" s="225" t="s">
        <v>626</v>
      </c>
      <c r="C127" s="226" t="s">
        <v>627</v>
      </c>
      <c r="D127" s="227"/>
      <c r="E127" s="227">
        <v>1</v>
      </c>
      <c r="F127" s="227"/>
      <c r="G127" s="226"/>
      <c r="H127" s="227"/>
      <c r="I127" s="227"/>
      <c r="J127" s="227"/>
      <c r="K127" s="228"/>
      <c r="O127">
        <f>IF(ISNUMBER(FIND($O$3,$C128)),MAXA($O$4:O126)+1,0)</f>
        <v>0</v>
      </c>
      <c r="P127" t="str">
        <f>IFERROR(INDEX($B$5:$O$625,MATCH(ROWS($P$5:$P127),$O$5:$O$625,0),2),"")</f>
        <v/>
      </c>
      <c r="Q127">
        <f>IF(ISNUMBER(FIND($Q$3,$B128)),MAXA($Q$4:Q126)+1,0)</f>
        <v>123</v>
      </c>
      <c r="R127" t="str">
        <f>IFERROR(INDEX($B$5:$Q$625,MATCH(ROWS($R$5:$R127),$Q$5:$Q$625,0),1),"")</f>
        <v>1314-56-3</v>
      </c>
    </row>
    <row r="128" spans="2:18" x14ac:dyDescent="0.2">
      <c r="B128" s="225" t="s">
        <v>628</v>
      </c>
      <c r="C128" s="226" t="s">
        <v>629</v>
      </c>
      <c r="D128" s="227">
        <v>5</v>
      </c>
      <c r="E128" s="227">
        <v>20</v>
      </c>
      <c r="F128" s="227"/>
      <c r="G128" s="226"/>
      <c r="H128" s="227"/>
      <c r="I128" s="227"/>
      <c r="J128" s="227"/>
      <c r="K128" s="228"/>
      <c r="O128">
        <f>IF(ISNUMBER(FIND($O$3,$C129)),MAXA($O$4:O127)+1,0)</f>
        <v>0</v>
      </c>
      <c r="P128" t="str">
        <f>IFERROR(INDEX($B$5:$O$625,MATCH(ROWS($P$5:$P128),$O$5:$O$625,0),2),"")</f>
        <v/>
      </c>
      <c r="Q128">
        <f>IF(ISNUMBER(FIND($Q$3,$B129)),MAXA($Q$4:Q127)+1,0)</f>
        <v>124</v>
      </c>
      <c r="R128" t="str">
        <f>IFERROR(INDEX($B$5:$Q$625,MATCH(ROWS($R$5:$R128),$Q$5:$Q$625,0),1),"")</f>
        <v>120-80-9</v>
      </c>
    </row>
    <row r="129" spans="2:18" x14ac:dyDescent="0.2">
      <c r="B129" s="225"/>
      <c r="C129" s="226" t="s">
        <v>630</v>
      </c>
      <c r="D129" s="227">
        <v>5.0000000000000001E-3</v>
      </c>
      <c r="E129" s="227"/>
      <c r="F129" s="227"/>
      <c r="G129" s="226">
        <v>0.01</v>
      </c>
      <c r="H129" s="227"/>
      <c r="I129" s="227"/>
      <c r="J129" s="227"/>
      <c r="K129" s="228"/>
      <c r="O129">
        <f>IF(ISNUMBER(FIND($O$3,$C130)),MAXA($O$4:O128)+1,0)</f>
        <v>0</v>
      </c>
      <c r="P129" t="str">
        <f>IFERROR(INDEX($B$5:$O$625,MATCH(ROWS($P$5:$P129),$O$5:$O$625,0),2),"")</f>
        <v/>
      </c>
      <c r="Q129">
        <f>IF(ISNUMBER(FIND($Q$3,$B130)),MAXA($Q$4:Q128)+1,0)</f>
        <v>125</v>
      </c>
      <c r="R129">
        <f>IFERROR(INDEX($B$5:$Q$625,MATCH(ROWS($R$5:$R129),$Q$5:$Q$625,0),1),"")</f>
        <v>0</v>
      </c>
    </row>
    <row r="130" spans="2:18" x14ac:dyDescent="0.2">
      <c r="B130" s="225" t="s">
        <v>631</v>
      </c>
      <c r="C130" s="226" t="s">
        <v>632</v>
      </c>
      <c r="D130" s="227">
        <v>5</v>
      </c>
      <c r="E130" s="227">
        <v>20</v>
      </c>
      <c r="F130" s="227"/>
      <c r="G130" s="226"/>
      <c r="H130" s="227"/>
      <c r="I130" s="227"/>
      <c r="J130" s="227"/>
      <c r="K130" s="228"/>
      <c r="O130">
        <f>IF(ISNUMBER(FIND($O$3,$C131)),MAXA($O$4:O129)+1,0)</f>
        <v>0</v>
      </c>
      <c r="P130" t="str">
        <f>IFERROR(INDEX($B$5:$O$625,MATCH(ROWS($P$5:$P130),$O$5:$O$625,0),2),"")</f>
        <v/>
      </c>
      <c r="Q130">
        <f>IF(ISNUMBER(FIND($Q$3,$B131)),MAXA($Q$4:Q129)+1,0)</f>
        <v>126</v>
      </c>
      <c r="R130" t="str">
        <f>IFERROR(INDEX($B$5:$Q$625,MATCH(ROWS($R$5:$R130),$Q$5:$Q$625,0),1),"")</f>
        <v>108-18-9</v>
      </c>
    </row>
    <row r="131" spans="2:18" x14ac:dyDescent="0.2">
      <c r="B131" s="225" t="s">
        <v>633</v>
      </c>
      <c r="C131" s="226" t="s">
        <v>634</v>
      </c>
      <c r="D131" s="227">
        <v>125</v>
      </c>
      <c r="E131" s="227">
        <v>525</v>
      </c>
      <c r="F131" s="227"/>
      <c r="G131" s="226"/>
      <c r="H131" s="227"/>
      <c r="I131" s="227"/>
      <c r="J131" s="227"/>
      <c r="K131" s="228"/>
      <c r="O131">
        <f>IF(ISNUMBER(FIND($O$3,$C132)),MAXA($O$4:O130)+1,0)</f>
        <v>0</v>
      </c>
      <c r="P131" t="str">
        <f>IFERROR(INDEX($B$5:$O$625,MATCH(ROWS($P$5:$P131),$O$5:$O$625,0),2),"")</f>
        <v/>
      </c>
      <c r="Q131">
        <f>IF(ISNUMBER(FIND($Q$3,$B132)),MAXA($Q$4:Q130)+1,0)</f>
        <v>127</v>
      </c>
      <c r="R131" t="str">
        <f>IFERROR(INDEX($B$5:$Q$625,MATCH(ROWS($R$5:$R131),$Q$5:$Q$625,0),1),"")</f>
        <v>108-20-3</v>
      </c>
    </row>
    <row r="132" spans="2:18" x14ac:dyDescent="0.2">
      <c r="B132" s="225" t="s">
        <v>635</v>
      </c>
      <c r="C132" s="226" t="s">
        <v>636</v>
      </c>
      <c r="D132" s="227"/>
      <c r="E132" s="227"/>
      <c r="F132" s="227"/>
      <c r="G132" s="226"/>
      <c r="H132" s="227"/>
      <c r="I132" s="227">
        <v>0.1</v>
      </c>
      <c r="J132" s="227">
        <v>0.4</v>
      </c>
      <c r="K132" s="228"/>
      <c r="O132">
        <f>IF(ISNUMBER(FIND($O$3,$C133)),MAXA($O$4:O131)+1,0)</f>
        <v>0</v>
      </c>
      <c r="P132" t="str">
        <f>IFERROR(INDEX($B$5:$O$625,MATCH(ROWS($P$5:$P132),$O$5:$O$625,0),2),"")</f>
        <v/>
      </c>
      <c r="Q132">
        <f>IF(ISNUMBER(FIND($Q$3,$B133)),MAXA($Q$4:Q131)+1,0)</f>
        <v>128</v>
      </c>
      <c r="R132" t="str">
        <f>IFERROR(INDEX($B$5:$Q$625,MATCH(ROWS($R$5:$R132),$Q$5:$Q$625,0),1),"")</f>
        <v>7572-29-4</v>
      </c>
    </row>
    <row r="133" spans="2:18" x14ac:dyDescent="0.2">
      <c r="B133" s="225" t="s">
        <v>637</v>
      </c>
      <c r="C133" s="226" t="s">
        <v>638</v>
      </c>
      <c r="D133" s="227">
        <v>20</v>
      </c>
      <c r="E133" s="227">
        <v>122</v>
      </c>
      <c r="F133" s="227"/>
      <c r="G133" s="226">
        <v>50</v>
      </c>
      <c r="H133" s="227">
        <v>306</v>
      </c>
      <c r="I133" s="227"/>
      <c r="J133" s="227"/>
      <c r="K133" s="228"/>
      <c r="O133">
        <f>IF(ISNUMBER(FIND($O$3,$C134)),MAXA($O$4:O132)+1,0)</f>
        <v>0</v>
      </c>
      <c r="P133" t="str">
        <f>IFERROR(INDEX($B$5:$O$625,MATCH(ROWS($P$5:$P133),$O$5:$O$625,0),2),"")</f>
        <v/>
      </c>
      <c r="Q133">
        <f>IF(ISNUMBER(FIND($Q$3,$B134)),MAXA($Q$4:Q132)+1,0)</f>
        <v>129</v>
      </c>
      <c r="R133" t="str">
        <f>IFERROR(INDEX($B$5:$Q$625,MATCH(ROWS($R$5:$R133),$Q$5:$Q$625,0),1),"")</f>
        <v>95-50-1</v>
      </c>
    </row>
    <row r="134" spans="2:18" x14ac:dyDescent="0.2">
      <c r="B134" s="225" t="s">
        <v>639</v>
      </c>
      <c r="C134" s="226" t="s">
        <v>640</v>
      </c>
      <c r="D134" s="227">
        <v>20</v>
      </c>
      <c r="E134" s="227">
        <v>122</v>
      </c>
      <c r="F134" s="227"/>
      <c r="G134" s="226">
        <v>50</v>
      </c>
      <c r="H134" s="227">
        <v>306</v>
      </c>
      <c r="I134" s="227"/>
      <c r="J134" s="227"/>
      <c r="K134" s="228"/>
      <c r="O134">
        <f>IF(ISNUMBER(FIND($O$3,$C135)),MAXA($O$4:O133)+1,0)</f>
        <v>0</v>
      </c>
      <c r="P134" t="str">
        <f>IFERROR(INDEX($B$5:$O$625,MATCH(ROWS($P$5:$P134),$O$5:$O$625,0),2),"")</f>
        <v/>
      </c>
      <c r="Q134">
        <f>IF(ISNUMBER(FIND($Q$3,$B135)),MAXA($Q$4:Q133)+1,0)</f>
        <v>130</v>
      </c>
      <c r="R134" t="str">
        <f>IFERROR(INDEX($B$5:$Q$625,MATCH(ROWS($R$5:$R134),$Q$5:$Q$625,0),1),"")</f>
        <v>106-46-7</v>
      </c>
    </row>
    <row r="135" spans="2:18" x14ac:dyDescent="0.2">
      <c r="B135" s="225" t="s">
        <v>641</v>
      </c>
      <c r="C135" s="226" t="s">
        <v>642</v>
      </c>
      <c r="D135" s="227">
        <v>5</v>
      </c>
      <c r="E135" s="227">
        <v>30</v>
      </c>
      <c r="F135" s="227"/>
      <c r="G135" s="226"/>
      <c r="H135" s="227"/>
      <c r="I135" s="227"/>
      <c r="J135" s="227"/>
      <c r="K135" s="228"/>
      <c r="O135">
        <f>IF(ISNUMBER(FIND($O$3,$C136)),MAXA($O$4:O134)+1,0)</f>
        <v>0</v>
      </c>
      <c r="P135" t="str">
        <f>IFERROR(INDEX($B$5:$O$625,MATCH(ROWS($P$5:$P135),$O$5:$O$625,0),2),"")</f>
        <v/>
      </c>
      <c r="Q135">
        <f>IF(ISNUMBER(FIND($Q$3,$B136)),MAXA($Q$4:Q134)+1,0)</f>
        <v>131</v>
      </c>
      <c r="R135" t="str">
        <f>IFERROR(INDEX($B$5:$Q$625,MATCH(ROWS($R$5:$R135),$Q$5:$Q$625,0),1),"")</f>
        <v>111-44-4</v>
      </c>
    </row>
    <row r="136" spans="2:18" x14ac:dyDescent="0.2">
      <c r="B136" s="225" t="s">
        <v>643</v>
      </c>
      <c r="C136" s="226" t="s">
        <v>644</v>
      </c>
      <c r="D136" s="227">
        <v>1E-3</v>
      </c>
      <c r="E136" s="227">
        <v>5.0000000000000001E-3</v>
      </c>
      <c r="F136" s="227"/>
      <c r="G136" s="226"/>
      <c r="H136" s="227"/>
      <c r="I136" s="227"/>
      <c r="J136" s="227"/>
      <c r="K136" s="228"/>
      <c r="O136">
        <f>IF(ISNUMBER(FIND($O$3,$C137)),MAXA($O$4:O135)+1,0)</f>
        <v>0</v>
      </c>
      <c r="P136" t="str">
        <f>IFERROR(INDEX($B$5:$O$625,MATCH(ROWS($P$5:$P136),$O$5:$O$625,0),2),"")</f>
        <v/>
      </c>
      <c r="Q136">
        <f>IF(ISNUMBER(FIND($Q$3,$B137)),MAXA($Q$4:Q135)+1,0)</f>
        <v>132</v>
      </c>
      <c r="R136" t="str">
        <f>IFERROR(INDEX($B$5:$Q$625,MATCH(ROWS($R$5:$R136),$Q$5:$Q$625,0),1),"")</f>
        <v>542-88-1</v>
      </c>
    </row>
    <row r="137" spans="2:18" x14ac:dyDescent="0.2">
      <c r="B137" s="225" t="s">
        <v>645</v>
      </c>
      <c r="C137" s="226" t="s">
        <v>646</v>
      </c>
      <c r="D137" s="227"/>
      <c r="E137" s="227">
        <v>0.2</v>
      </c>
      <c r="F137" s="227"/>
      <c r="G137" s="226"/>
      <c r="H137" s="227"/>
      <c r="I137" s="227"/>
      <c r="J137" s="227"/>
      <c r="K137" s="228"/>
      <c r="O137">
        <f>IF(ISNUMBER(FIND($O$3,$C138)),MAXA($O$4:O136)+1,0)</f>
        <v>0</v>
      </c>
      <c r="P137" t="str">
        <f>IFERROR(INDEX($B$5:$O$625,MATCH(ROWS($P$5:$P137),$O$5:$O$625,0),2),"")</f>
        <v/>
      </c>
      <c r="Q137">
        <f>IF(ISNUMBER(FIND($Q$3,$B138)),MAXA($Q$4:Q136)+1,0)</f>
        <v>133</v>
      </c>
      <c r="R137" t="str">
        <f>IFERROR(INDEX($B$5:$Q$625,MATCH(ROWS($R$5:$R137),$Q$5:$Q$625,0),1),"")</f>
        <v>118-52-5</v>
      </c>
    </row>
    <row r="138" spans="2:18" x14ac:dyDescent="0.2">
      <c r="B138" s="225" t="s">
        <v>647</v>
      </c>
      <c r="C138" s="226" t="s">
        <v>648</v>
      </c>
      <c r="D138" s="227">
        <v>50</v>
      </c>
      <c r="E138" s="227">
        <v>200</v>
      </c>
      <c r="F138" s="227"/>
      <c r="G138" s="226"/>
      <c r="H138" s="227"/>
      <c r="I138" s="227"/>
      <c r="J138" s="227"/>
      <c r="K138" s="228"/>
      <c r="O138">
        <f>IF(ISNUMBER(FIND($O$3,$C139)),MAXA($O$4:O137)+1,0)</f>
        <v>0</v>
      </c>
      <c r="P138" t="str">
        <f>IFERROR(INDEX($B$5:$O$625,MATCH(ROWS($P$5:$P138),$O$5:$O$625,0),2),"")</f>
        <v/>
      </c>
      <c r="Q138">
        <f>IF(ISNUMBER(FIND($Q$3,$B139)),MAXA($Q$4:Q137)+1,0)</f>
        <v>134</v>
      </c>
      <c r="R138" t="str">
        <f>IFERROR(INDEX($B$5:$Q$625,MATCH(ROWS($R$5:$R138),$Q$5:$Q$625,0),1),"")</f>
        <v>75-34-3</v>
      </c>
    </row>
    <row r="139" spans="2:18" x14ac:dyDescent="0.2">
      <c r="B139" s="225" t="s">
        <v>649</v>
      </c>
      <c r="C139" s="226" t="s">
        <v>650</v>
      </c>
      <c r="D139" s="227">
        <v>0.25</v>
      </c>
      <c r="E139" s="227">
        <v>1</v>
      </c>
      <c r="F139" s="227"/>
      <c r="G139" s="226"/>
      <c r="H139" s="227"/>
      <c r="I139" s="227"/>
      <c r="J139" s="227"/>
      <c r="K139" s="228"/>
      <c r="O139">
        <f>IF(ISNUMBER(FIND($O$3,$C140)),MAXA($O$4:O138)+1,0)</f>
        <v>0</v>
      </c>
      <c r="P139" t="str">
        <f>IFERROR(INDEX($B$5:$O$625,MATCH(ROWS($P$5:$P139),$O$5:$O$625,0),2),"")</f>
        <v/>
      </c>
      <c r="Q139">
        <f>IF(ISNUMBER(FIND($Q$3,$B140)),MAXA($Q$4:Q138)+1,0)</f>
        <v>135</v>
      </c>
      <c r="R139" t="str">
        <f>IFERROR(INDEX($B$5:$Q$625,MATCH(ROWS($R$5:$R139),$Q$5:$Q$625,0),1),"")</f>
        <v>107-06-2</v>
      </c>
    </row>
    <row r="140" spans="2:18" x14ac:dyDescent="0.2">
      <c r="B140" s="225" t="s">
        <v>651</v>
      </c>
      <c r="C140" s="226" t="s">
        <v>652</v>
      </c>
      <c r="D140" s="227">
        <v>1</v>
      </c>
      <c r="E140" s="227">
        <v>4</v>
      </c>
      <c r="F140" s="227"/>
      <c r="G140" s="226"/>
      <c r="H140" s="227"/>
      <c r="I140" s="227"/>
      <c r="J140" s="227"/>
      <c r="K140" s="228"/>
      <c r="O140">
        <f>IF(ISNUMBER(FIND($O$3,$C141)),MAXA($O$4:O139)+1,0)</f>
        <v>0</v>
      </c>
      <c r="P140" t="str">
        <f>IFERROR(INDEX($B$5:$O$625,MATCH(ROWS($P$5:$P140),$O$5:$O$625,0),2),"")</f>
        <v/>
      </c>
      <c r="Q140">
        <f>IF(ISNUMBER(FIND($Q$3,$B141)),MAXA($Q$4:Q139)+1,0)</f>
        <v>136</v>
      </c>
      <c r="R140" t="str">
        <f>IFERROR(INDEX($B$5:$Q$625,MATCH(ROWS($R$5:$R140),$Q$5:$Q$625,0),1),"")</f>
        <v>75-35-4</v>
      </c>
    </row>
    <row r="141" spans="2:18" x14ac:dyDescent="0.2">
      <c r="B141" s="225" t="s">
        <v>653</v>
      </c>
      <c r="C141" s="226" t="s">
        <v>654</v>
      </c>
      <c r="D141" s="227">
        <v>100</v>
      </c>
      <c r="E141" s="227">
        <v>395</v>
      </c>
      <c r="F141" s="227"/>
      <c r="G141" s="226"/>
      <c r="H141" s="227"/>
      <c r="I141" s="227"/>
      <c r="J141" s="227"/>
      <c r="K141" s="228"/>
      <c r="O141">
        <f>IF(ISNUMBER(FIND($O$3,$C142)),MAXA($O$4:O140)+1,0)</f>
        <v>0</v>
      </c>
      <c r="P141" t="str">
        <f>IFERROR(INDEX($B$5:$O$625,MATCH(ROWS($P$5:$P141),$O$5:$O$625,0),2),"")</f>
        <v/>
      </c>
      <c r="Q141">
        <f>IF(ISNUMBER(FIND($Q$3,$B142)),MAXA($Q$4:Q140)+1,0)</f>
        <v>137</v>
      </c>
      <c r="R141" t="str">
        <f>IFERROR(INDEX($B$5:$Q$625,MATCH(ROWS($R$5:$R141),$Q$5:$Q$625,0),1),"")</f>
        <v>540-59-0</v>
      </c>
    </row>
    <row r="142" spans="2:18" x14ac:dyDescent="0.2">
      <c r="B142" s="225" t="s">
        <v>655</v>
      </c>
      <c r="C142" s="226" t="s">
        <v>656</v>
      </c>
      <c r="D142" s="227"/>
      <c r="E142" s="227">
        <v>5</v>
      </c>
      <c r="F142" s="227"/>
      <c r="G142" s="226"/>
      <c r="H142" s="227"/>
      <c r="I142" s="227"/>
      <c r="J142" s="227"/>
      <c r="K142" s="228"/>
      <c r="O142">
        <f>IF(ISNUMBER(FIND($O$3,$C143)),MAXA($O$4:O141)+1,0)</f>
        <v>0</v>
      </c>
      <c r="P142" t="str">
        <f>IFERROR(INDEX($B$5:$O$625,MATCH(ROWS($P$5:$P142),$O$5:$O$625,0),2),"")</f>
        <v/>
      </c>
      <c r="Q142">
        <f>IF(ISNUMBER(FIND($Q$3,$B143)),MAXA($Q$4:Q141)+1,0)</f>
        <v>138</v>
      </c>
      <c r="R142" t="str">
        <f>IFERROR(INDEX($B$5:$Q$625,MATCH(ROWS($R$5:$R142),$Q$5:$Q$625,0),1),"")</f>
        <v>94-75-7</v>
      </c>
    </row>
    <row r="143" spans="2:18" x14ac:dyDescent="0.2">
      <c r="B143" s="225" t="s">
        <v>657</v>
      </c>
      <c r="C143" s="226" t="s">
        <v>658</v>
      </c>
      <c r="D143" s="227"/>
      <c r="E143" s="227">
        <v>5</v>
      </c>
      <c r="F143" s="227"/>
      <c r="G143" s="226"/>
      <c r="H143" s="227"/>
      <c r="I143" s="227"/>
      <c r="J143" s="227"/>
      <c r="K143" s="228"/>
      <c r="O143">
        <f>IF(ISNUMBER(FIND($O$3,$C144)),MAXA($O$4:O142)+1,0)</f>
        <v>0</v>
      </c>
      <c r="P143" t="str">
        <f>IFERROR(INDEX($B$5:$O$625,MATCH(ROWS($P$5:$P143),$O$5:$O$625,0),2),"")</f>
        <v/>
      </c>
      <c r="Q143">
        <f>IF(ISNUMBER(FIND($Q$3,$B144)),MAXA($Q$4:Q142)+1,0)</f>
        <v>139</v>
      </c>
      <c r="R143" t="str">
        <f>IFERROR(INDEX($B$5:$Q$625,MATCH(ROWS($R$5:$R143),$Q$5:$Q$625,0),1),"")</f>
        <v>136-78-7</v>
      </c>
    </row>
    <row r="144" spans="2:18" x14ac:dyDescent="0.2">
      <c r="B144" s="225" t="s">
        <v>659</v>
      </c>
      <c r="C144" s="226" t="s">
        <v>660</v>
      </c>
      <c r="D144" s="227">
        <v>15</v>
      </c>
      <c r="E144" s="227">
        <v>50</v>
      </c>
      <c r="F144" s="227"/>
      <c r="G144" s="226"/>
      <c r="H144" s="227"/>
      <c r="I144" s="227"/>
      <c r="J144" s="227"/>
      <c r="K144" s="228"/>
      <c r="O144">
        <f>IF(ISNUMBER(FIND($O$3,$C145)),MAXA($O$4:O143)+1,0)</f>
        <v>0</v>
      </c>
      <c r="P144" t="str">
        <f>IFERROR(INDEX($B$5:$O$625,MATCH(ROWS($P$5:$P144),$O$5:$O$625,0),2),"")</f>
        <v/>
      </c>
      <c r="Q144">
        <f>IF(ISNUMBER(FIND($Q$3,$B145)),MAXA($Q$4:Q143)+1,0)</f>
        <v>140</v>
      </c>
      <c r="R144" t="str">
        <f>IFERROR(INDEX($B$5:$Q$625,MATCH(ROWS($R$5:$R144),$Q$5:$Q$625,0),1),"")</f>
        <v>75-09-2</v>
      </c>
    </row>
    <row r="145" spans="2:18" x14ac:dyDescent="0.2">
      <c r="B145" s="225" t="s">
        <v>661</v>
      </c>
      <c r="C145" s="226" t="s">
        <v>662</v>
      </c>
      <c r="D145" s="227"/>
      <c r="E145" s="227"/>
      <c r="F145" s="227"/>
      <c r="G145" s="226"/>
      <c r="H145" s="227"/>
      <c r="I145" s="227">
        <v>2</v>
      </c>
      <c r="J145" s="227">
        <v>12</v>
      </c>
      <c r="K145" s="228"/>
      <c r="O145">
        <f>IF(ISNUMBER(FIND($O$3,$C146)),MAXA($O$4:O144)+1,0)</f>
        <v>0</v>
      </c>
      <c r="P145" t="str">
        <f>IFERROR(INDEX($B$5:$O$625,MATCH(ROWS($P$5:$P145),$O$5:$O$625,0),2),"")</f>
        <v/>
      </c>
      <c r="Q145">
        <f>IF(ISNUMBER(FIND($Q$3,$B146)),MAXA($Q$4:Q144)+1,0)</f>
        <v>141</v>
      </c>
      <c r="R145" t="str">
        <f>IFERROR(INDEX($B$5:$Q$625,MATCH(ROWS($R$5:$R145),$Q$5:$Q$625,0),1),"")</f>
        <v>594-72-9</v>
      </c>
    </row>
    <row r="146" spans="2:18" x14ac:dyDescent="0.2">
      <c r="B146" s="225" t="s">
        <v>663</v>
      </c>
      <c r="C146" s="226" t="s">
        <v>664</v>
      </c>
      <c r="D146" s="227">
        <v>40</v>
      </c>
      <c r="E146" s="227">
        <v>185</v>
      </c>
      <c r="F146" s="227"/>
      <c r="G146" s="226"/>
      <c r="H146" s="227"/>
      <c r="I146" s="227"/>
      <c r="J146" s="227"/>
      <c r="K146" s="228"/>
      <c r="O146">
        <f>IF(ISNUMBER(FIND($O$3,$C147)),MAXA($O$4:O145)+1,0)</f>
        <v>0</v>
      </c>
      <c r="P146" t="str">
        <f>IFERROR(INDEX($B$5:$O$625,MATCH(ROWS($P$5:$P146),$O$5:$O$625,0),2),"")</f>
        <v/>
      </c>
      <c r="Q146">
        <f>IF(ISNUMBER(FIND($Q$3,$B147)),MAXA($Q$4:Q145)+1,0)</f>
        <v>142</v>
      </c>
      <c r="R146" t="str">
        <f>IFERROR(INDEX($B$5:$Q$625,MATCH(ROWS($R$5:$R146),$Q$5:$Q$625,0),1),"")</f>
        <v>78-87-5</v>
      </c>
    </row>
    <row r="147" spans="2:18" x14ac:dyDescent="0.2">
      <c r="B147" s="225" t="s">
        <v>665</v>
      </c>
      <c r="C147" s="226" t="s">
        <v>666</v>
      </c>
      <c r="D147" s="227">
        <v>1</v>
      </c>
      <c r="E147" s="227">
        <v>6</v>
      </c>
      <c r="F147" s="227"/>
      <c r="G147" s="226"/>
      <c r="H147" s="227"/>
      <c r="I147" s="227"/>
      <c r="J147" s="227"/>
      <c r="K147" s="228"/>
      <c r="O147">
        <f>IF(ISNUMBER(FIND($O$3,$C148)),MAXA($O$4:O146)+1,0)</f>
        <v>0</v>
      </c>
      <c r="P147" t="str">
        <f>IFERROR(INDEX($B$5:$O$625,MATCH(ROWS($P$5:$P147),$O$5:$O$625,0),2),"")</f>
        <v/>
      </c>
      <c r="Q147">
        <f>IF(ISNUMBER(FIND($Q$3,$B148)),MAXA($Q$4:Q146)+1,0)</f>
        <v>143</v>
      </c>
      <c r="R147" t="str">
        <f>IFERROR(INDEX($B$5:$Q$625,MATCH(ROWS($R$5:$R147),$Q$5:$Q$625,0),1),"")</f>
        <v>75-99-0</v>
      </c>
    </row>
    <row r="148" spans="2:18" x14ac:dyDescent="0.2">
      <c r="B148" s="225" t="s">
        <v>667</v>
      </c>
      <c r="C148" s="226" t="s">
        <v>668</v>
      </c>
      <c r="D148" s="227">
        <v>1</v>
      </c>
      <c r="E148" s="227">
        <v>5</v>
      </c>
      <c r="F148" s="227"/>
      <c r="G148" s="226"/>
      <c r="H148" s="227"/>
      <c r="I148" s="227"/>
      <c r="J148" s="227"/>
      <c r="K148" s="228"/>
      <c r="O148">
        <f>IF(ISNUMBER(FIND($O$3,$C149)),MAXA($O$4:O147)+1,0)</f>
        <v>0</v>
      </c>
      <c r="P148" t="str">
        <f>IFERROR(INDEX($B$5:$O$625,MATCH(ROWS($P$5:$P148),$O$5:$O$625,0),2),"")</f>
        <v/>
      </c>
      <c r="Q148">
        <f>IF(ISNUMBER(FIND($Q$3,$B149)),MAXA($Q$4:Q147)+1,0)</f>
        <v>144</v>
      </c>
      <c r="R148" t="str">
        <f>IFERROR(INDEX($B$5:$Q$625,MATCH(ROWS($R$5:$R148),$Q$5:$Q$625,0),1),"")</f>
        <v>542-75-6</v>
      </c>
    </row>
    <row r="149" spans="2:18" x14ac:dyDescent="0.2">
      <c r="B149" s="225" t="s">
        <v>669</v>
      </c>
      <c r="C149" s="226" t="s">
        <v>670</v>
      </c>
      <c r="D149" s="227">
        <v>0.1</v>
      </c>
      <c r="E149" s="227">
        <v>1</v>
      </c>
      <c r="F149" s="227"/>
      <c r="G149" s="226"/>
      <c r="H149" s="227"/>
      <c r="I149" s="227"/>
      <c r="J149" s="227"/>
      <c r="K149" s="228"/>
      <c r="O149">
        <f>IF(ISNUMBER(FIND($O$3,$C150)),MAXA($O$4:O148)+1,0)</f>
        <v>0</v>
      </c>
      <c r="P149" t="str">
        <f>IFERROR(INDEX($B$5:$O$625,MATCH(ROWS($P$5:$P149),$O$5:$O$625,0),2),"")</f>
        <v/>
      </c>
      <c r="Q149">
        <f>IF(ISNUMBER(FIND($Q$3,$B150)),MAXA($Q$4:Q148)+1,0)</f>
        <v>145</v>
      </c>
      <c r="R149" t="str">
        <f>IFERROR(INDEX($B$5:$Q$625,MATCH(ROWS($R$5:$R149),$Q$5:$Q$625,0),1),"")</f>
        <v>62-73-7</v>
      </c>
    </row>
    <row r="150" spans="2:18" x14ac:dyDescent="0.2">
      <c r="B150" s="225" t="s">
        <v>671</v>
      </c>
      <c r="C150" s="226" t="s">
        <v>672</v>
      </c>
      <c r="D150" s="227"/>
      <c r="E150" s="227">
        <v>0.5</v>
      </c>
      <c r="F150" s="227"/>
      <c r="G150" s="226"/>
      <c r="H150" s="227"/>
      <c r="I150" s="227"/>
      <c r="J150" s="227"/>
      <c r="K150" s="228"/>
      <c r="O150">
        <f>IF(ISNUMBER(FIND($O$3,$C151)),MAXA($O$4:O149)+1,0)</f>
        <v>0</v>
      </c>
      <c r="P150" t="str">
        <f>IFERROR(INDEX($B$5:$O$625,MATCH(ROWS($P$5:$P150),$O$5:$O$625,0),2),"")</f>
        <v/>
      </c>
      <c r="Q150">
        <f>IF(ISNUMBER(FIND($Q$3,$B151)),MAXA($Q$4:Q149)+1,0)</f>
        <v>146</v>
      </c>
      <c r="R150" t="str">
        <f>IFERROR(INDEX($B$5:$Q$625,MATCH(ROWS($R$5:$R150),$Q$5:$Q$625,0),1),"")</f>
        <v>85-00-7</v>
      </c>
    </row>
    <row r="151" spans="2:18" x14ac:dyDescent="0.2">
      <c r="B151" s="225" t="s">
        <v>673</v>
      </c>
      <c r="C151" s="226" t="s">
        <v>674</v>
      </c>
      <c r="D151" s="227">
        <v>500</v>
      </c>
      <c r="E151" s="227">
        <v>1550</v>
      </c>
      <c r="F151" s="227"/>
      <c r="G151" s="226"/>
      <c r="H151" s="227"/>
      <c r="I151" s="227"/>
      <c r="J151" s="227"/>
      <c r="K151" s="228"/>
      <c r="O151">
        <f>IF(ISNUMBER(FIND($O$3,$C152)),MAXA($O$4:O150)+1,0)</f>
        <v>0</v>
      </c>
      <c r="P151" t="str">
        <f>IFERROR(INDEX($B$5:$O$625,MATCH(ROWS($P$5:$P151),$O$5:$O$625,0),2),"")</f>
        <v/>
      </c>
      <c r="Q151">
        <f>IF(ISNUMBER(FIND($Q$3,$B152)),MAXA($Q$4:Q150)+1,0)</f>
        <v>147</v>
      </c>
      <c r="R151" t="str">
        <f>IFERROR(INDEX($B$5:$Q$625,MATCH(ROWS($R$5:$R151),$Q$5:$Q$625,0),1),"")</f>
        <v>109-87-5</v>
      </c>
    </row>
    <row r="152" spans="2:18" x14ac:dyDescent="0.2">
      <c r="B152" s="225" t="s">
        <v>675</v>
      </c>
      <c r="C152" s="226" t="s">
        <v>676</v>
      </c>
      <c r="D152" s="227">
        <v>10</v>
      </c>
      <c r="E152" s="227">
        <v>35</v>
      </c>
      <c r="F152" s="227"/>
      <c r="G152" s="226"/>
      <c r="H152" s="227"/>
      <c r="I152" s="227"/>
      <c r="J152" s="227"/>
      <c r="K152" s="228"/>
      <c r="O152">
        <f>IF(ISNUMBER(FIND($O$3,$C153)),MAXA($O$4:O151)+1,0)</f>
        <v>0</v>
      </c>
      <c r="P152" t="str">
        <f>IFERROR(INDEX($B$5:$O$625,MATCH(ROWS($P$5:$P152),$O$5:$O$625,0),2),"")</f>
        <v/>
      </c>
      <c r="Q152">
        <f>IF(ISNUMBER(FIND($Q$3,$B153)),MAXA($Q$4:Q151)+1,0)</f>
        <v>148</v>
      </c>
      <c r="R152" t="str">
        <f>IFERROR(INDEX($B$5:$Q$625,MATCH(ROWS($R$5:$R152),$Q$5:$Q$625,0),1),"")</f>
        <v>127-19-5</v>
      </c>
    </row>
    <row r="153" spans="2:18" x14ac:dyDescent="0.2">
      <c r="B153" s="225" t="s">
        <v>677</v>
      </c>
      <c r="C153" s="226" t="s">
        <v>678</v>
      </c>
      <c r="D153" s="227">
        <v>2</v>
      </c>
      <c r="E153" s="227">
        <v>4</v>
      </c>
      <c r="F153" s="227"/>
      <c r="G153" s="226"/>
      <c r="H153" s="227"/>
      <c r="I153" s="227"/>
      <c r="J153" s="227"/>
      <c r="K153" s="228"/>
      <c r="O153">
        <f>IF(ISNUMBER(FIND($O$3,$C154)),MAXA($O$4:O152)+1,0)</f>
        <v>0</v>
      </c>
      <c r="P153" t="str">
        <f>IFERROR(INDEX($B$5:$O$625,MATCH(ROWS($P$5:$P153),$O$5:$O$625,0),2),"")</f>
        <v/>
      </c>
      <c r="Q153">
        <f>IF(ISNUMBER(FIND($Q$3,$B154)),MAXA($Q$4:Q152)+1,0)</f>
        <v>149</v>
      </c>
      <c r="R153" t="str">
        <f>IFERROR(INDEX($B$5:$Q$625,MATCH(ROWS($R$5:$R153),$Q$5:$Q$625,0),1),"")</f>
        <v>124-40-3</v>
      </c>
    </row>
    <row r="154" spans="2:18" x14ac:dyDescent="0.2">
      <c r="B154" s="225" t="s">
        <v>679</v>
      </c>
      <c r="C154" s="226" t="s">
        <v>680</v>
      </c>
      <c r="D154" s="227">
        <v>5</v>
      </c>
      <c r="E154" s="227">
        <v>25</v>
      </c>
      <c r="F154" s="227"/>
      <c r="G154" s="226"/>
      <c r="H154" s="227"/>
      <c r="I154" s="227"/>
      <c r="J154" s="227"/>
      <c r="K154" s="228"/>
      <c r="O154">
        <f>IF(ISNUMBER(FIND($O$3,$C155)),MAXA($O$4:O153)+1,0)</f>
        <v>0</v>
      </c>
      <c r="P154" t="str">
        <f>IFERROR(INDEX($B$5:$O$625,MATCH(ROWS($P$5:$P154),$O$5:$O$625,0),2),"")</f>
        <v/>
      </c>
      <c r="Q154">
        <f>IF(ISNUMBER(FIND($Q$3,$B155)),MAXA($Q$4:Q153)+1,0)</f>
        <v>150</v>
      </c>
      <c r="R154" t="str">
        <f>IFERROR(INDEX($B$5:$Q$625,MATCH(ROWS($R$5:$R154),$Q$5:$Q$625,0),1),"")</f>
        <v>121-69-7</v>
      </c>
    </row>
    <row r="155" spans="2:18" x14ac:dyDescent="0.2">
      <c r="B155" s="225" t="s">
        <v>681</v>
      </c>
      <c r="C155" s="226" t="s">
        <v>682</v>
      </c>
      <c r="D155" s="227">
        <v>25</v>
      </c>
      <c r="E155" s="227">
        <v>150</v>
      </c>
      <c r="F155" s="227"/>
      <c r="G155" s="226"/>
      <c r="H155" s="227"/>
      <c r="I155" s="227"/>
      <c r="J155" s="227"/>
      <c r="K155" s="228"/>
      <c r="O155">
        <f>IF(ISNUMBER(FIND($O$3,$C156)),MAXA($O$4:O154)+1,0)</f>
        <v>0</v>
      </c>
      <c r="P155" t="str">
        <f>IFERROR(INDEX($B$5:$O$625,MATCH(ROWS($P$5:$P155),$O$5:$O$625,0),2),"")</f>
        <v/>
      </c>
      <c r="Q155">
        <f>IF(ISNUMBER(FIND($Q$3,$B156)),MAXA($Q$4:Q154)+1,0)</f>
        <v>151</v>
      </c>
      <c r="R155" t="str">
        <f>IFERROR(INDEX($B$5:$Q$625,MATCH(ROWS($R$5:$R155),$Q$5:$Q$625,0),1),"")</f>
        <v>108-84-9</v>
      </c>
    </row>
    <row r="156" spans="2:18" x14ac:dyDescent="0.2">
      <c r="B156" s="225" t="s">
        <v>683</v>
      </c>
      <c r="C156" s="226" t="s">
        <v>684</v>
      </c>
      <c r="D156" s="227"/>
      <c r="E156" s="227">
        <v>3</v>
      </c>
      <c r="F156" s="227"/>
      <c r="G156" s="226"/>
      <c r="H156" s="227"/>
      <c r="I156" s="227"/>
      <c r="J156" s="227"/>
      <c r="K156" s="228"/>
      <c r="O156">
        <f>IF(ISNUMBER(FIND($O$3,$C157)),MAXA($O$4:O155)+1,0)</f>
        <v>0</v>
      </c>
      <c r="P156" t="str">
        <f>IFERROR(INDEX($B$5:$O$625,MATCH(ROWS($P$5:$P156),$O$5:$O$625,0),2),"")</f>
        <v/>
      </c>
      <c r="Q156">
        <f>IF(ISNUMBER(FIND($Q$3,$B157)),MAXA($Q$4:Q155)+1,0)</f>
        <v>152</v>
      </c>
      <c r="R156" t="str">
        <f>IFERROR(INDEX($B$5:$Q$625,MATCH(ROWS($R$5:$R156),$Q$5:$Q$625,0),1),"")</f>
        <v>300-76-5</v>
      </c>
    </row>
    <row r="157" spans="2:18" x14ac:dyDescent="0.2">
      <c r="B157" s="225" t="s">
        <v>685</v>
      </c>
      <c r="C157" s="226" t="s">
        <v>686</v>
      </c>
      <c r="D157" s="227">
        <v>200</v>
      </c>
      <c r="E157" s="227">
        <v>384</v>
      </c>
      <c r="F157" s="227"/>
      <c r="G157" s="226"/>
      <c r="H157" s="227"/>
      <c r="I157" s="227"/>
      <c r="J157" s="227"/>
      <c r="K157" s="228"/>
      <c r="O157">
        <f>IF(ISNUMBER(FIND($O$3,$C158)),MAXA($O$4:O156)+1,0)</f>
        <v>0</v>
      </c>
      <c r="P157" t="str">
        <f>IFERROR(INDEX($B$5:$O$625,MATCH(ROWS($P$5:$P157),$O$5:$O$625,0),2),"")</f>
        <v/>
      </c>
      <c r="Q157">
        <f>IF(ISNUMBER(FIND($Q$3,$B158)),MAXA($Q$4:Q156)+1,0)</f>
        <v>153</v>
      </c>
      <c r="R157" t="str">
        <f>IFERROR(INDEX($B$5:$Q$625,MATCH(ROWS($R$5:$R157),$Q$5:$Q$625,0),1),"")</f>
        <v>115-10-6</v>
      </c>
    </row>
    <row r="158" spans="2:18" x14ac:dyDescent="0.2">
      <c r="B158" s="225" t="s">
        <v>687</v>
      </c>
      <c r="C158" s="226" t="s">
        <v>688</v>
      </c>
      <c r="D158" s="227">
        <v>2</v>
      </c>
      <c r="E158" s="227">
        <v>6</v>
      </c>
      <c r="F158" s="227"/>
      <c r="G158" s="226"/>
      <c r="H158" s="227"/>
      <c r="I158" s="227"/>
      <c r="J158" s="227"/>
      <c r="K158" s="228"/>
      <c r="O158">
        <f>IF(ISNUMBER(FIND($O$3,$C159)),MAXA($O$4:O157)+1,0)</f>
        <v>0</v>
      </c>
      <c r="P158" t="str">
        <f>IFERROR(INDEX($B$5:$O$625,MATCH(ROWS($P$5:$P158),$O$5:$O$625,0),2),"")</f>
        <v/>
      </c>
      <c r="Q158">
        <f>IF(ISNUMBER(FIND($Q$3,$B159)),MAXA($Q$4:Q157)+1,0)</f>
        <v>154</v>
      </c>
      <c r="R158" t="str">
        <f>IFERROR(INDEX($B$5:$Q$625,MATCH(ROWS($R$5:$R158),$Q$5:$Q$625,0),1),"")</f>
        <v>598-56-1</v>
      </c>
    </row>
    <row r="159" spans="2:18" x14ac:dyDescent="0.2">
      <c r="B159" s="225" t="s">
        <v>689</v>
      </c>
      <c r="C159" s="226" t="s">
        <v>690</v>
      </c>
      <c r="D159" s="227">
        <v>5</v>
      </c>
      <c r="E159" s="227">
        <v>15</v>
      </c>
      <c r="F159" s="227"/>
      <c r="G159" s="226">
        <v>10</v>
      </c>
      <c r="H159" s="227">
        <v>30</v>
      </c>
      <c r="I159" s="227"/>
      <c r="J159" s="227"/>
      <c r="K159" s="228"/>
      <c r="O159">
        <f>IF(ISNUMBER(FIND($O$3,$C160)),MAXA($O$4:O158)+1,0)</f>
        <v>0</v>
      </c>
      <c r="P159" t="str">
        <f>IFERROR(INDEX($B$5:$O$625,MATCH(ROWS($P$5:$P159),$O$5:$O$625,0),2),"")</f>
        <v/>
      </c>
      <c r="Q159">
        <f>IF(ISNUMBER(FIND($Q$3,$B160)),MAXA($Q$4:Q158)+1,0)</f>
        <v>155</v>
      </c>
      <c r="R159" t="str">
        <f>IFERROR(INDEX($B$5:$Q$625,MATCH(ROWS($R$5:$R159),$Q$5:$Q$625,0),1),"")</f>
        <v>68-12-2</v>
      </c>
    </row>
    <row r="160" spans="2:18" x14ac:dyDescent="0.2">
      <c r="B160" s="225" t="s">
        <v>691</v>
      </c>
      <c r="C160" s="226" t="s">
        <v>692</v>
      </c>
      <c r="D160" s="227"/>
      <c r="E160" s="227">
        <v>3</v>
      </c>
      <c r="F160" s="227"/>
      <c r="G160" s="226"/>
      <c r="H160" s="227"/>
      <c r="I160" s="227"/>
      <c r="J160" s="227"/>
      <c r="K160" s="228"/>
      <c r="O160">
        <f>IF(ISNUMBER(FIND($O$3,$C161)),MAXA($O$4:O159)+1,0)</f>
        <v>0</v>
      </c>
      <c r="P160" t="str">
        <f>IFERROR(INDEX($B$5:$O$625,MATCH(ROWS($P$5:$P160),$O$5:$O$625,0),2),"")</f>
        <v/>
      </c>
      <c r="Q160">
        <f>IF(ISNUMBER(FIND($Q$3,$B161)),MAXA($Q$4:Q159)+1,0)</f>
        <v>156</v>
      </c>
      <c r="R160" t="str">
        <f>IFERROR(INDEX($B$5:$Q$625,MATCH(ROWS($R$5:$R160),$Q$5:$Q$625,0),1),"")</f>
        <v>131-11-3</v>
      </c>
    </row>
    <row r="161" spans="2:18" x14ac:dyDescent="0.2">
      <c r="B161" s="225" t="s">
        <v>693</v>
      </c>
      <c r="C161" s="226" t="s">
        <v>694</v>
      </c>
      <c r="D161" s="227">
        <v>20</v>
      </c>
      <c r="E161" s="227">
        <v>120</v>
      </c>
      <c r="F161" s="227"/>
      <c r="G161" s="226"/>
      <c r="H161" s="227"/>
      <c r="I161" s="227"/>
      <c r="J161" s="227"/>
      <c r="K161" s="228"/>
      <c r="O161">
        <f>IF(ISNUMBER(FIND($O$3,$C162)),MAXA($O$4:O160)+1,0)</f>
        <v>0</v>
      </c>
      <c r="P161" t="str">
        <f>IFERROR(INDEX($B$5:$O$625,MATCH(ROWS($P$5:$P161),$O$5:$O$625,0),2),"")</f>
        <v/>
      </c>
      <c r="Q161">
        <f>IF(ISNUMBER(FIND($Q$3,$B162)),MAXA($Q$4:Q160)+1,0)</f>
        <v>157</v>
      </c>
      <c r="R161" t="str">
        <f>IFERROR(INDEX($B$5:$Q$625,MATCH(ROWS($R$5:$R161),$Q$5:$Q$625,0),1),"")</f>
        <v>108-83-8</v>
      </c>
    </row>
    <row r="162" spans="2:18" x14ac:dyDescent="0.2">
      <c r="B162" s="225" t="s">
        <v>695</v>
      </c>
      <c r="C162" s="226" t="s">
        <v>696</v>
      </c>
      <c r="D162" s="227">
        <v>0.01</v>
      </c>
      <c r="E162" s="227">
        <v>0.02</v>
      </c>
      <c r="F162" s="227"/>
      <c r="G162" s="226"/>
      <c r="H162" s="227"/>
      <c r="I162" s="227"/>
      <c r="J162" s="227"/>
      <c r="K162" s="228"/>
      <c r="O162">
        <f>IF(ISNUMBER(FIND($O$3,$C163)),MAXA($O$4:O161)+1,0)</f>
        <v>0</v>
      </c>
      <c r="P162" t="str">
        <f>IFERROR(INDEX($B$5:$O$625,MATCH(ROWS($P$5:$P162),$O$5:$O$625,0),2),"")</f>
        <v/>
      </c>
      <c r="Q162">
        <f>IF(ISNUMBER(FIND($Q$3,$B163)),MAXA($Q$4:Q161)+1,0)</f>
        <v>158</v>
      </c>
      <c r="R162" t="str">
        <f>IFERROR(INDEX($B$5:$Q$625,MATCH(ROWS($R$5:$R162),$Q$5:$Q$625,0),1),"")</f>
        <v>57-14-7</v>
      </c>
    </row>
    <row r="163" spans="2:18" x14ac:dyDescent="0.2">
      <c r="B163" s="225"/>
      <c r="C163" s="226" t="s">
        <v>697</v>
      </c>
      <c r="D163" s="227">
        <v>0.01</v>
      </c>
      <c r="E163" s="227">
        <v>0.02</v>
      </c>
      <c r="F163" s="227"/>
      <c r="G163" s="226"/>
      <c r="H163" s="227"/>
      <c r="I163" s="227"/>
      <c r="J163" s="227"/>
      <c r="K163" s="228"/>
      <c r="O163">
        <f>IF(ISNUMBER(FIND($O$3,$C164)),MAXA($O$4:O162)+1,0)</f>
        <v>0</v>
      </c>
      <c r="P163" t="str">
        <f>IFERROR(INDEX($B$5:$O$625,MATCH(ROWS($P$5:$P163),$O$5:$O$625,0),2),"")</f>
        <v/>
      </c>
      <c r="Q163">
        <f>IF(ISNUMBER(FIND($Q$3,$B164)),MAXA($Q$4:Q162)+1,0)</f>
        <v>159</v>
      </c>
      <c r="R163">
        <f>IFERROR(INDEX($B$5:$Q$625,MATCH(ROWS($R$5:$R163),$Q$5:$Q$625,0),1),"")</f>
        <v>0</v>
      </c>
    </row>
    <row r="164" spans="2:18" x14ac:dyDescent="0.2">
      <c r="B164" s="225" t="s">
        <v>698</v>
      </c>
      <c r="C164" s="226" t="s">
        <v>699</v>
      </c>
      <c r="D164" s="227">
        <v>0.01</v>
      </c>
      <c r="E164" s="227">
        <v>0.05</v>
      </c>
      <c r="F164" s="227"/>
      <c r="G164" s="226"/>
      <c r="H164" s="227"/>
      <c r="I164" s="227"/>
      <c r="J164" s="227"/>
      <c r="K164" s="228"/>
      <c r="O164">
        <f>IF(ISNUMBER(FIND($O$3,$C165)),MAXA($O$4:O163)+1,0)</f>
        <v>0</v>
      </c>
      <c r="P164" t="str">
        <f>IFERROR(INDEX($B$5:$O$625,MATCH(ROWS($P$5:$P164),$O$5:$O$625,0),2),"")</f>
        <v/>
      </c>
      <c r="Q164">
        <f>IF(ISNUMBER(FIND($Q$3,$B165)),MAXA($Q$4:Q163)+1,0)</f>
        <v>160</v>
      </c>
      <c r="R164" t="str">
        <f>IFERROR(INDEX($B$5:$Q$625,MATCH(ROWS($R$5:$R164),$Q$5:$Q$625,0),1),"")</f>
        <v>77-78-1</v>
      </c>
    </row>
    <row r="165" spans="2:18" x14ac:dyDescent="0.2">
      <c r="B165" s="225"/>
      <c r="C165" s="226" t="s">
        <v>700</v>
      </c>
      <c r="D165" s="227">
        <v>0.15</v>
      </c>
      <c r="E165" s="227">
        <v>1</v>
      </c>
      <c r="F165" s="227"/>
      <c r="G165" s="226"/>
      <c r="H165" s="227"/>
      <c r="I165" s="227"/>
      <c r="J165" s="227"/>
      <c r="K165" s="228"/>
      <c r="O165">
        <f>IF(ISNUMBER(FIND($O$3,$C166)),MAXA($O$4:O164)+1,0)</f>
        <v>0</v>
      </c>
      <c r="P165" t="str">
        <f>IFERROR(INDEX($B$5:$O$625,MATCH(ROWS($P$5:$P165),$O$5:$O$625,0),2),"")</f>
        <v/>
      </c>
      <c r="Q165">
        <f>IF(ISNUMBER(FIND($Q$3,$B166)),MAXA($Q$4:Q164)+1,0)</f>
        <v>161</v>
      </c>
      <c r="R165">
        <f>IFERROR(INDEX($B$5:$Q$625,MATCH(ROWS($R$5:$R165),$Q$5:$Q$625,0),1),"")</f>
        <v>0</v>
      </c>
    </row>
    <row r="166" spans="2:18" x14ac:dyDescent="0.2">
      <c r="B166" s="225" t="s">
        <v>701</v>
      </c>
      <c r="C166" s="226" t="s">
        <v>702</v>
      </c>
      <c r="D166" s="227">
        <v>50</v>
      </c>
      <c r="E166" s="227">
        <v>90</v>
      </c>
      <c r="F166" s="227"/>
      <c r="G166" s="226"/>
      <c r="H166" s="227"/>
      <c r="I166" s="227"/>
      <c r="J166" s="227"/>
      <c r="K166" s="228"/>
      <c r="O166">
        <f>IF(ISNUMBER(FIND($O$3,$C167)),MAXA($O$4:O165)+1,0)</f>
        <v>0</v>
      </c>
      <c r="P166" t="str">
        <f>IFERROR(INDEX($B$5:$O$625,MATCH(ROWS($P$5:$P166),$O$5:$O$625,0),2),"")</f>
        <v/>
      </c>
      <c r="Q166">
        <f>IF(ISNUMBER(FIND($Q$3,$B167)),MAXA($Q$4:Q165)+1,0)</f>
        <v>162</v>
      </c>
      <c r="R166" t="str">
        <f>IFERROR(INDEX($B$5:$Q$625,MATCH(ROWS($R$5:$R166),$Q$5:$Q$625,0),1),"")</f>
        <v>10024-97-2</v>
      </c>
    </row>
    <row r="167" spans="2:18" x14ac:dyDescent="0.2">
      <c r="B167" s="225" t="s">
        <v>703</v>
      </c>
      <c r="C167" s="226" t="s">
        <v>704</v>
      </c>
      <c r="D167" s="227"/>
      <c r="E167" s="227">
        <v>0.2</v>
      </c>
      <c r="F167" s="227"/>
      <c r="G167" s="226"/>
      <c r="H167" s="227"/>
      <c r="I167" s="227"/>
      <c r="J167" s="227"/>
      <c r="K167" s="228"/>
      <c r="O167">
        <f>IF(ISNUMBER(FIND($O$3,$C168)),MAXA($O$4:O166)+1,0)</f>
        <v>0</v>
      </c>
      <c r="P167" t="str">
        <f>IFERROR(INDEX($B$5:$O$625,MATCH(ROWS($P$5:$P167),$O$5:$O$625,0),2),"")</f>
        <v/>
      </c>
      <c r="Q167">
        <f>IF(ISNUMBER(FIND($Q$3,$B168)),MAXA($Q$4:Q166)+1,0)</f>
        <v>163</v>
      </c>
      <c r="R167" t="str">
        <f>IFERROR(INDEX($B$5:$Q$625,MATCH(ROWS($R$5:$R167),$Q$5:$Q$625,0),1),"")</f>
        <v>534-52-1</v>
      </c>
    </row>
    <row r="168" spans="2:18" x14ac:dyDescent="0.2">
      <c r="B168" s="225"/>
      <c r="C168" s="226" t="s">
        <v>705</v>
      </c>
      <c r="D168" s="227"/>
      <c r="E168" s="227">
        <v>0.15</v>
      </c>
      <c r="F168" s="227"/>
      <c r="G168" s="226"/>
      <c r="H168" s="227"/>
      <c r="I168" s="227"/>
      <c r="J168" s="227"/>
      <c r="K168" s="228"/>
      <c r="O168">
        <f>IF(ISNUMBER(FIND($O$3,$C169)),MAXA($O$4:O167)+1,0)</f>
        <v>0</v>
      </c>
      <c r="P168" t="str">
        <f>IFERROR(INDEX($B$5:$O$625,MATCH(ROWS($P$5:$P168),$O$5:$O$625,0),2),"")</f>
        <v/>
      </c>
      <c r="Q168">
        <f>IF(ISNUMBER(FIND($Q$3,$B169)),MAXA($Q$4:Q167)+1,0)</f>
        <v>164</v>
      </c>
      <c r="R168">
        <f>IFERROR(INDEX($B$5:$Q$625,MATCH(ROWS($R$5:$R168),$Q$5:$Q$625,0),1),"")</f>
        <v>0</v>
      </c>
    </row>
    <row r="169" spans="2:18" x14ac:dyDescent="0.2">
      <c r="B169" s="225" t="s">
        <v>706</v>
      </c>
      <c r="C169" s="226" t="s">
        <v>707</v>
      </c>
      <c r="D169" s="227">
        <v>5</v>
      </c>
      <c r="E169" s="227">
        <v>18</v>
      </c>
      <c r="F169" s="227"/>
      <c r="G169" s="226">
        <v>10</v>
      </c>
      <c r="H169" s="227">
        <v>36</v>
      </c>
      <c r="I169" s="227"/>
      <c r="J169" s="227"/>
      <c r="K169" s="228"/>
      <c r="O169">
        <f>IF(ISNUMBER(FIND($O$3,$C170)),MAXA($O$4:O168)+1,0)</f>
        <v>0</v>
      </c>
      <c r="P169" t="str">
        <f>IFERROR(INDEX($B$5:$O$625,MATCH(ROWS($P$5:$P169),$O$5:$O$625,0),2),"")</f>
        <v/>
      </c>
      <c r="Q169">
        <f>IF(ISNUMBER(FIND($Q$3,$B170)),MAXA($Q$4:Q168)+1,0)</f>
        <v>165</v>
      </c>
      <c r="R169" t="str">
        <f>IFERROR(INDEX($B$5:$Q$625,MATCH(ROWS($R$5:$R169),$Q$5:$Q$625,0),1),"")</f>
        <v>123-91-1</v>
      </c>
    </row>
    <row r="170" spans="2:18" x14ac:dyDescent="0.2">
      <c r="B170" s="225" t="s">
        <v>708</v>
      </c>
      <c r="C170" s="226" t="s">
        <v>709</v>
      </c>
      <c r="D170" s="227"/>
      <c r="E170" s="227">
        <v>3</v>
      </c>
      <c r="F170" s="227"/>
      <c r="G170" s="226"/>
      <c r="H170" s="227"/>
      <c r="I170" s="227"/>
      <c r="J170" s="227"/>
      <c r="K170" s="228"/>
      <c r="O170">
        <f>IF(ISNUMBER(FIND($O$3,$C171)),MAXA($O$4:O169)+1,0)</f>
        <v>0</v>
      </c>
      <c r="P170" t="str">
        <f>IFERROR(INDEX($B$5:$O$625,MATCH(ROWS($P$5:$P170),$O$5:$O$625,0),2),"")</f>
        <v/>
      </c>
      <c r="Q170">
        <f>IF(ISNUMBER(FIND($Q$3,$B171)),MAXA($Q$4:Q169)+1,0)</f>
        <v>166</v>
      </c>
      <c r="R170" t="str">
        <f>IFERROR(INDEX($B$5:$Q$625,MATCH(ROWS($R$5:$R170),$Q$5:$Q$625,0),1),"")</f>
        <v>117-84-0</v>
      </c>
    </row>
    <row r="171" spans="2:18" x14ac:dyDescent="0.2">
      <c r="B171" s="225" t="s">
        <v>710</v>
      </c>
      <c r="C171" s="226" t="s">
        <v>711</v>
      </c>
      <c r="D171" s="227">
        <v>25</v>
      </c>
      <c r="E171" s="227">
        <v>140</v>
      </c>
      <c r="F171" s="227"/>
      <c r="G171" s="226"/>
      <c r="H171" s="227"/>
      <c r="I171" s="227"/>
      <c r="J171" s="227"/>
      <c r="K171" s="228"/>
      <c r="O171">
        <f>IF(ISNUMBER(FIND($O$3,$C172)),MAXA($O$4:O170)+1,0)</f>
        <v>0</v>
      </c>
      <c r="P171" t="str">
        <f>IFERROR(INDEX($B$5:$O$625,MATCH(ROWS($P$5:$P171),$O$5:$O$625,0),2),"")</f>
        <v/>
      </c>
      <c r="Q171">
        <f>IF(ISNUMBER(FIND($Q$3,$B172)),MAXA($Q$4:Q170)+1,0)</f>
        <v>167</v>
      </c>
      <c r="R171" t="str">
        <f>IFERROR(INDEX($B$5:$Q$625,MATCH(ROWS($R$5:$R171),$Q$5:$Q$625,0),1),"")</f>
        <v>138-86-3</v>
      </c>
    </row>
    <row r="172" spans="2:18" x14ac:dyDescent="0.2">
      <c r="B172" s="225" t="s">
        <v>712</v>
      </c>
      <c r="C172" s="226" t="s">
        <v>713</v>
      </c>
      <c r="D172" s="227"/>
      <c r="E172" s="227">
        <v>2</v>
      </c>
      <c r="F172" s="227"/>
      <c r="G172" s="226"/>
      <c r="H172" s="227"/>
      <c r="I172" s="227"/>
      <c r="J172" s="227"/>
      <c r="K172" s="228"/>
      <c r="O172">
        <f>IF(ISNUMBER(FIND($O$3,$C173)),MAXA($O$4:O171)+1,0)</f>
        <v>0</v>
      </c>
      <c r="P172" t="str">
        <f>IFERROR(INDEX($B$5:$O$625,MATCH(ROWS($P$5:$P172),$O$5:$O$625,0),2),"")</f>
        <v/>
      </c>
      <c r="Q172">
        <f>IF(ISNUMBER(FIND($Q$3,$B173)),MAXA($Q$4:Q171)+1,0)</f>
        <v>168</v>
      </c>
      <c r="R172" t="str">
        <f>IFERROR(INDEX($B$5:$Q$625,MATCH(ROWS($R$5:$R172),$Q$5:$Q$625,0),1),"")</f>
        <v>97-77-8</v>
      </c>
    </row>
    <row r="173" spans="2:18" x14ac:dyDescent="0.2">
      <c r="B173" s="225" t="s">
        <v>714</v>
      </c>
      <c r="C173" s="226" t="s">
        <v>715</v>
      </c>
      <c r="D173" s="227">
        <v>1</v>
      </c>
      <c r="E173" s="227">
        <v>6</v>
      </c>
      <c r="F173" s="227"/>
      <c r="G173" s="226"/>
      <c r="H173" s="227"/>
      <c r="I173" s="227"/>
      <c r="J173" s="227"/>
      <c r="K173" s="228"/>
      <c r="O173">
        <f>IF(ISNUMBER(FIND($O$3,$C174)),MAXA($O$4:O172)+1,0)</f>
        <v>0</v>
      </c>
      <c r="P173" t="str">
        <f>IFERROR(INDEX($B$5:$O$625,MATCH(ROWS($P$5:$P173),$O$5:$O$625,0),2),"")</f>
        <v/>
      </c>
      <c r="Q173">
        <f>IF(ISNUMBER(FIND($Q$3,$B174)),MAXA($Q$4:Q172)+1,0)</f>
        <v>169</v>
      </c>
      <c r="R173" t="str">
        <f>IFERROR(INDEX($B$5:$Q$625,MATCH(ROWS($R$5:$R173),$Q$5:$Q$625,0),1),"")</f>
        <v>10025-67-9</v>
      </c>
    </row>
    <row r="174" spans="2:18" x14ac:dyDescent="0.2">
      <c r="B174" s="225" t="s">
        <v>716</v>
      </c>
      <c r="C174" s="226" t="s">
        <v>717</v>
      </c>
      <c r="D174" s="227">
        <v>5.0000000000000001E-3</v>
      </c>
      <c r="E174" s="227">
        <v>0.05</v>
      </c>
      <c r="F174" s="227"/>
      <c r="G174" s="226">
        <v>0.01</v>
      </c>
      <c r="H174" s="227"/>
      <c r="I174" s="227"/>
      <c r="J174" s="227"/>
      <c r="K174" s="228"/>
      <c r="O174">
        <f>IF(ISNUMBER(FIND($O$3,$C175)),MAXA($O$4:O173)+1,0)</f>
        <v>0</v>
      </c>
      <c r="P174" t="str">
        <f>IFERROR(INDEX($B$5:$O$625,MATCH(ROWS($P$5:$P174),$O$5:$O$625,0),2),"")</f>
        <v/>
      </c>
      <c r="Q174">
        <f>IF(ISNUMBER(FIND($Q$3,$B175)),MAXA($Q$4:Q173)+1,0)</f>
        <v>170</v>
      </c>
      <c r="R174" t="str">
        <f>IFERROR(INDEX($B$5:$Q$625,MATCH(ROWS($R$5:$R174),$Q$5:$Q$625,0),1),"")</f>
        <v>5124-30-1</v>
      </c>
    </row>
    <row r="175" spans="2:18" x14ac:dyDescent="0.2">
      <c r="B175" s="225" t="s">
        <v>718</v>
      </c>
      <c r="C175" s="226" t="s">
        <v>719</v>
      </c>
      <c r="D175" s="227">
        <v>5</v>
      </c>
      <c r="E175" s="227">
        <v>30</v>
      </c>
      <c r="F175" s="227"/>
      <c r="G175" s="226"/>
      <c r="H175" s="227"/>
      <c r="I175" s="227"/>
      <c r="J175" s="227"/>
      <c r="K175" s="228"/>
      <c r="O175">
        <f>IF(ISNUMBER(FIND($O$3,$C176)),MAXA($O$4:O174)+1,0)</f>
        <v>0</v>
      </c>
      <c r="P175" t="str">
        <f>IFERROR(INDEX($B$5:$O$625,MATCH(ROWS($P$5:$P175),$O$5:$O$625,0),2),"")</f>
        <v/>
      </c>
      <c r="Q175">
        <f>IF(ISNUMBER(FIND($Q$3,$B176)),MAXA($Q$4:Q174)+1,0)</f>
        <v>171</v>
      </c>
      <c r="R175" t="str">
        <f>IFERROR(INDEX($B$5:$Q$625,MATCH(ROWS($R$5:$R175),$Q$5:$Q$625,0),1),"")</f>
        <v>77-73-6</v>
      </c>
    </row>
    <row r="176" spans="2:18" x14ac:dyDescent="0.2">
      <c r="B176" s="225" t="s">
        <v>720</v>
      </c>
      <c r="C176" s="226" t="s">
        <v>721</v>
      </c>
      <c r="D176" s="227"/>
      <c r="E176" s="227">
        <v>0.1</v>
      </c>
      <c r="F176" s="227"/>
      <c r="G176" s="226"/>
      <c r="H176" s="227"/>
      <c r="I176" s="227"/>
      <c r="J176" s="227"/>
      <c r="K176" s="228"/>
      <c r="O176">
        <f>IF(ISNUMBER(FIND($O$3,$C177)),MAXA($O$4:O175)+1,0)</f>
        <v>0</v>
      </c>
      <c r="P176" t="str">
        <f>IFERROR(INDEX($B$5:$O$625,MATCH(ROWS($P$5:$P176),$O$5:$O$625,0),2),"")</f>
        <v/>
      </c>
      <c r="Q176">
        <f>IF(ISNUMBER(FIND($Q$3,$B177)),MAXA($Q$4:Q175)+1,0)</f>
        <v>172</v>
      </c>
      <c r="R176" t="str">
        <f>IFERROR(INDEX($B$5:$Q$625,MATCH(ROWS($R$5:$R176),$Q$5:$Q$625,0),1),"")</f>
        <v>298-04-4</v>
      </c>
    </row>
    <row r="177" spans="2:18" x14ac:dyDescent="0.2">
      <c r="B177" s="225" t="s">
        <v>722</v>
      </c>
      <c r="C177" s="226" t="s">
        <v>723</v>
      </c>
      <c r="D177" s="227"/>
      <c r="E177" s="227">
        <v>5</v>
      </c>
      <c r="F177" s="227"/>
      <c r="G177" s="226"/>
      <c r="H177" s="227"/>
      <c r="I177" s="227"/>
      <c r="J177" s="227"/>
      <c r="K177" s="228"/>
      <c r="O177">
        <f>IF(ISNUMBER(FIND($O$3,$C178)),MAXA($O$4:O176)+1,0)</f>
        <v>0</v>
      </c>
      <c r="P177" t="str">
        <f>IFERROR(INDEX($B$5:$O$625,MATCH(ROWS($P$5:$P177),$O$5:$O$625,0),2),"")</f>
        <v/>
      </c>
      <c r="Q177">
        <f>IF(ISNUMBER(FIND($Q$3,$B178)),MAXA($Q$4:Q176)+1,0)</f>
        <v>173</v>
      </c>
      <c r="R177" t="str">
        <f>IFERROR(INDEX($B$5:$Q$625,MATCH(ROWS($R$5:$R177),$Q$5:$Q$625,0),1),"")</f>
        <v>330-54-1</v>
      </c>
    </row>
    <row r="178" spans="2:18" x14ac:dyDescent="0.2">
      <c r="B178" s="225"/>
      <c r="C178" s="226" t="s">
        <v>724</v>
      </c>
      <c r="D178" s="227">
        <v>10</v>
      </c>
      <c r="E178" s="227">
        <v>53</v>
      </c>
      <c r="F178" s="227"/>
      <c r="G178" s="226"/>
      <c r="H178" s="227"/>
      <c r="I178" s="227"/>
      <c r="J178" s="227"/>
      <c r="K178" s="228"/>
      <c r="O178">
        <f>IF(ISNUMBER(FIND($O$3,$C179)),MAXA($O$4:O177)+1,0)</f>
        <v>0</v>
      </c>
      <c r="P178" t="str">
        <f>IFERROR(INDEX($B$5:$O$625,MATCH(ROWS($P$5:$P178),$O$5:$O$625,0),2),"")</f>
        <v/>
      </c>
      <c r="Q178">
        <f>IF(ISNUMBER(FIND($Q$3,$B179)),MAXA($Q$4:Q177)+1,0)</f>
        <v>174</v>
      </c>
      <c r="R178">
        <f>IFERROR(INDEX($B$5:$Q$625,MATCH(ROWS($R$5:$R178),$Q$5:$Q$625,0),1),"")</f>
        <v>0</v>
      </c>
    </row>
    <row r="179" spans="2:18" x14ac:dyDescent="0.2">
      <c r="B179" s="225" t="s">
        <v>725</v>
      </c>
      <c r="C179" s="226" t="s">
        <v>726</v>
      </c>
      <c r="D179" s="227">
        <v>10</v>
      </c>
      <c r="E179" s="227">
        <v>25</v>
      </c>
      <c r="F179" s="227"/>
      <c r="G179" s="226"/>
      <c r="H179" s="227"/>
      <c r="I179" s="227"/>
      <c r="J179" s="227"/>
      <c r="K179" s="228"/>
      <c r="O179">
        <f>IF(ISNUMBER(FIND($O$3,$C180)),MAXA($O$4:O178)+1,0)</f>
        <v>0</v>
      </c>
      <c r="P179" t="str">
        <f>IFERROR(INDEX($B$5:$O$625,MATCH(ROWS($P$5:$P179),$O$5:$O$625,0),2),"")</f>
        <v/>
      </c>
      <c r="Q179">
        <f>IF(ISNUMBER(FIND($Q$3,$B180)),MAXA($Q$4:Q178)+1,0)</f>
        <v>175</v>
      </c>
      <c r="R179" t="str">
        <f>IFERROR(INDEX($B$5:$Q$625,MATCH(ROWS($R$5:$R179),$Q$5:$Q$625,0),1),"")</f>
        <v>64-19-7</v>
      </c>
    </row>
    <row r="180" spans="2:18" x14ac:dyDescent="0.2">
      <c r="B180" s="225" t="s">
        <v>727</v>
      </c>
      <c r="C180" s="226" t="s">
        <v>728</v>
      </c>
      <c r="D180" s="227"/>
      <c r="E180" s="227"/>
      <c r="F180" s="227"/>
      <c r="G180" s="226"/>
      <c r="H180" s="227"/>
      <c r="I180" s="227">
        <v>5</v>
      </c>
      <c r="J180" s="227">
        <v>20</v>
      </c>
      <c r="K180" s="228"/>
      <c r="O180">
        <f>IF(ISNUMBER(FIND($O$3,$C181)),MAXA($O$4:O179)+1,0)</f>
        <v>0</v>
      </c>
      <c r="P180" t="str">
        <f>IFERROR(INDEX($B$5:$O$625,MATCH(ROWS($P$5:$P180),$O$5:$O$625,0),2),"")</f>
        <v/>
      </c>
      <c r="Q180">
        <f>IF(ISNUMBER(FIND($Q$3,$B181)),MAXA($Q$4:Q179)+1,0)</f>
        <v>176</v>
      </c>
      <c r="R180" t="str">
        <f>IFERROR(INDEX($B$5:$Q$625,MATCH(ROWS($R$5:$R180),$Q$5:$Q$625,0),1),"")</f>
        <v>108-24-7</v>
      </c>
    </row>
    <row r="181" spans="2:18" x14ac:dyDescent="0.2">
      <c r="B181" s="225"/>
      <c r="C181" s="226" t="s">
        <v>729</v>
      </c>
      <c r="D181" s="227">
        <v>50</v>
      </c>
      <c r="E181" s="227">
        <v>175</v>
      </c>
      <c r="F181" s="227"/>
      <c r="G181" s="226"/>
      <c r="H181" s="227"/>
      <c r="I181" s="227"/>
      <c r="J181" s="227"/>
      <c r="K181" s="228"/>
      <c r="O181">
        <f>IF(ISNUMBER(FIND($O$3,$C182)),MAXA($O$4:O180)+1,0)</f>
        <v>0</v>
      </c>
      <c r="P181" t="str">
        <f>IFERROR(INDEX($B$5:$O$625,MATCH(ROWS($P$5:$P181),$O$5:$O$625,0),2),"")</f>
        <v/>
      </c>
      <c r="Q181">
        <f>IF(ISNUMBER(FIND($Q$3,$B182)),MAXA($Q$4:Q180)+1,0)</f>
        <v>177</v>
      </c>
      <c r="R181">
        <f>IFERROR(INDEX($B$5:$Q$625,MATCH(ROWS($R$5:$R181),$Q$5:$Q$625,0),1),"")</f>
        <v>0</v>
      </c>
    </row>
    <row r="182" spans="2:18" x14ac:dyDescent="0.2">
      <c r="B182" s="225"/>
      <c r="C182" s="226" t="s">
        <v>730</v>
      </c>
      <c r="D182" s="227">
        <v>100</v>
      </c>
      <c r="E182" s="227">
        <v>500</v>
      </c>
      <c r="F182" s="227"/>
      <c r="G182" s="226"/>
      <c r="H182" s="227"/>
      <c r="I182" s="227"/>
      <c r="J182" s="227"/>
      <c r="K182" s="228"/>
      <c r="O182">
        <f>IF(ISNUMBER(FIND($O$3,$C183)),MAXA($O$4:O181)+1,0)</f>
        <v>0</v>
      </c>
      <c r="P182" t="str">
        <f>IFERROR(INDEX($B$5:$O$625,MATCH(ROWS($P$5:$P182),$O$5:$O$625,0),2),"")</f>
        <v/>
      </c>
      <c r="Q182">
        <f>IF(ISNUMBER(FIND($Q$3,$B183)),MAXA($Q$4:Q181)+1,0)</f>
        <v>178</v>
      </c>
      <c r="R182">
        <f>IFERROR(INDEX($B$5:$Q$625,MATCH(ROWS($R$5:$R182),$Q$5:$Q$625,0),1),"")</f>
        <v>0</v>
      </c>
    </row>
    <row r="183" spans="2:18" x14ac:dyDescent="0.2">
      <c r="B183" s="225" t="s">
        <v>731</v>
      </c>
      <c r="C183" s="226" t="s">
        <v>732</v>
      </c>
      <c r="D183" s="227"/>
      <c r="E183" s="227">
        <v>0.1</v>
      </c>
      <c r="F183" s="227"/>
      <c r="G183" s="226"/>
      <c r="H183" s="227"/>
      <c r="I183" s="227"/>
      <c r="J183" s="227"/>
      <c r="K183" s="228"/>
      <c r="O183">
        <f>IF(ISNUMBER(FIND($O$3,$C184)),MAXA($O$4:O182)+1,0)</f>
        <v>0</v>
      </c>
      <c r="P183" t="str">
        <f>IFERROR(INDEX($B$5:$O$625,MATCH(ROWS($P$5:$P183),$O$5:$O$625,0),2),"")</f>
        <v/>
      </c>
      <c r="Q183">
        <f>IF(ISNUMBER(FIND($Q$3,$B184)),MAXA($Q$4:Q182)+1,0)</f>
        <v>179</v>
      </c>
      <c r="R183" t="str">
        <f>IFERROR(INDEX($B$5:$Q$625,MATCH(ROWS($R$5:$R183),$Q$5:$Q$625,0),1),"")</f>
        <v>115-29-7</v>
      </c>
    </row>
    <row r="184" spans="2:18" x14ac:dyDescent="0.2">
      <c r="B184" s="225" t="s">
        <v>733</v>
      </c>
      <c r="C184" s="226" t="s">
        <v>734</v>
      </c>
      <c r="D184" s="227"/>
      <c r="E184" s="227">
        <v>0.1</v>
      </c>
      <c r="F184" s="227"/>
      <c r="G184" s="226"/>
      <c r="H184" s="227"/>
      <c r="I184" s="227"/>
      <c r="J184" s="227"/>
      <c r="K184" s="228"/>
      <c r="O184">
        <f>IF(ISNUMBER(FIND($O$3,$C185)),MAXA($O$4:O183)+1,0)</f>
        <v>0</v>
      </c>
      <c r="P184" t="str">
        <f>IFERROR(INDEX($B$5:$O$625,MATCH(ROWS($P$5:$P184),$O$5:$O$625,0),2),"")</f>
        <v/>
      </c>
      <c r="Q184">
        <f>IF(ISNUMBER(FIND($Q$3,$B185)),MAXA($Q$4:Q183)+1,0)</f>
        <v>180</v>
      </c>
      <c r="R184" t="str">
        <f>IFERROR(INDEX($B$5:$Q$625,MATCH(ROWS($R$5:$R184),$Q$5:$Q$625,0),1),"")</f>
        <v>72-20-8</v>
      </c>
    </row>
    <row r="185" spans="2:18" x14ac:dyDescent="0.2">
      <c r="B185" s="225" t="s">
        <v>735</v>
      </c>
      <c r="C185" s="226" t="s">
        <v>736</v>
      </c>
      <c r="D185" s="227">
        <v>0.3</v>
      </c>
      <c r="E185" s="227">
        <v>2.2999999999999998</v>
      </c>
      <c r="F185" s="227"/>
      <c r="G185" s="226"/>
      <c r="H185" s="227"/>
      <c r="I185" s="227"/>
      <c r="J185" s="227"/>
      <c r="K185" s="228"/>
      <c r="O185">
        <f>IF(ISNUMBER(FIND($O$3,$C186)),MAXA($O$4:O184)+1,0)</f>
        <v>0</v>
      </c>
      <c r="P185" t="str">
        <f>IFERROR(INDEX($B$5:$O$625,MATCH(ROWS($P$5:$P185),$O$5:$O$625,0),2),"")</f>
        <v/>
      </c>
      <c r="Q185">
        <f>IF(ISNUMBER(FIND($Q$3,$B186)),MAXA($Q$4:Q184)+1,0)</f>
        <v>181</v>
      </c>
      <c r="R185" t="str">
        <f>IFERROR(INDEX($B$5:$Q$625,MATCH(ROWS($R$5:$R185),$Q$5:$Q$625,0),1),"")</f>
        <v>13838-16-9</v>
      </c>
    </row>
    <row r="186" spans="2:18" x14ac:dyDescent="0.2">
      <c r="B186" s="225" t="s">
        <v>737</v>
      </c>
      <c r="C186" s="226" t="s">
        <v>738</v>
      </c>
      <c r="D186" s="227">
        <v>25</v>
      </c>
      <c r="E186" s="227">
        <v>75</v>
      </c>
      <c r="F186" s="227"/>
      <c r="G186" s="226"/>
      <c r="H186" s="227"/>
      <c r="I186" s="227"/>
      <c r="J186" s="227"/>
      <c r="K186" s="228"/>
      <c r="O186">
        <f>IF(ISNUMBER(FIND($O$3,$C187)),MAXA($O$4:O185)+1,0)</f>
        <v>0</v>
      </c>
      <c r="P186" t="str">
        <f>IFERROR(INDEX($B$5:$O$625,MATCH(ROWS($P$5:$P186),$O$5:$O$625,0),2),"")</f>
        <v/>
      </c>
      <c r="Q186">
        <f>IF(ISNUMBER(FIND($Q$3,$B187)),MAXA($Q$4:Q185)+1,0)</f>
        <v>182</v>
      </c>
      <c r="R186" t="str">
        <f>IFERROR(INDEX($B$5:$Q$625,MATCH(ROWS($R$5:$R186),$Q$5:$Q$625,0),1),"")</f>
        <v>556-52-5</v>
      </c>
    </row>
    <row r="187" spans="2:18" x14ac:dyDescent="0.2">
      <c r="B187" s="225" t="s">
        <v>739</v>
      </c>
      <c r="C187" s="226" t="s">
        <v>740</v>
      </c>
      <c r="D187" s="227">
        <v>25</v>
      </c>
      <c r="E187" s="227">
        <v>120</v>
      </c>
      <c r="F187" s="227"/>
      <c r="G187" s="226"/>
      <c r="H187" s="227"/>
      <c r="I187" s="227"/>
      <c r="J187" s="227"/>
      <c r="K187" s="228"/>
      <c r="O187">
        <f>IF(ISNUMBER(FIND($O$3,$C188)),MAXA($O$4:O186)+1,0)</f>
        <v>0</v>
      </c>
      <c r="P187" t="str">
        <f>IFERROR(INDEX($B$5:$O$625,MATCH(ROWS($P$5:$P187),$O$5:$O$625,0),2),"")</f>
        <v/>
      </c>
      <c r="Q187">
        <f>IF(ISNUMBER(FIND($Q$3,$B188)),MAXA($Q$4:Q186)+1,0)</f>
        <v>183</v>
      </c>
      <c r="R187" t="str">
        <f>IFERROR(INDEX($B$5:$Q$625,MATCH(ROWS($R$5:$R187),$Q$5:$Q$625,0),1),"")</f>
        <v>4016-14-2</v>
      </c>
    </row>
    <row r="188" spans="2:18" x14ac:dyDescent="0.2">
      <c r="B188" s="225" t="s">
        <v>741</v>
      </c>
      <c r="C188" s="226" t="s">
        <v>742</v>
      </c>
      <c r="D188" s="227">
        <v>500</v>
      </c>
      <c r="E188" s="227">
        <v>950</v>
      </c>
      <c r="F188" s="227"/>
      <c r="G188" s="226"/>
      <c r="H188" s="227"/>
      <c r="I188" s="227"/>
      <c r="J188" s="227"/>
      <c r="K188" s="228"/>
      <c r="O188">
        <f>IF(ISNUMBER(FIND($O$3,$C189)),MAXA($O$4:O187)+1,0)</f>
        <v>0</v>
      </c>
      <c r="P188" t="str">
        <f>IFERROR(INDEX($B$5:$O$625,MATCH(ROWS($P$5:$P188),$O$5:$O$625,0),2),"")</f>
        <v/>
      </c>
      <c r="Q188">
        <f>IF(ISNUMBER(FIND($Q$3,$B189)),MAXA($Q$4:Q187)+1,0)</f>
        <v>184</v>
      </c>
      <c r="R188" t="str">
        <f>IFERROR(INDEX($B$5:$Q$625,MATCH(ROWS($R$5:$R188),$Q$5:$Q$625,0),1),"")</f>
        <v>64-17-5</v>
      </c>
    </row>
    <row r="189" spans="2:18" x14ac:dyDescent="0.2">
      <c r="B189" s="225" t="s">
        <v>743</v>
      </c>
      <c r="C189" s="226" t="s">
        <v>744</v>
      </c>
      <c r="D189" s="227">
        <v>20</v>
      </c>
      <c r="E189" s="227">
        <v>52</v>
      </c>
      <c r="F189" s="227"/>
      <c r="G189" s="226">
        <v>40</v>
      </c>
      <c r="H189" s="227">
        <v>104</v>
      </c>
      <c r="I189" s="227"/>
      <c r="J189" s="227"/>
      <c r="K189" s="228"/>
      <c r="O189">
        <f>IF(ISNUMBER(FIND($O$3,$C190)),MAXA($O$4:O188)+1,0)</f>
        <v>0</v>
      </c>
      <c r="P189" t="str">
        <f>IFERROR(INDEX($B$5:$O$625,MATCH(ROWS($P$5:$P189),$O$5:$O$625,0),2),"")</f>
        <v/>
      </c>
      <c r="Q189">
        <f>IF(ISNUMBER(FIND($Q$3,$B190)),MAXA($Q$4:Q188)+1,0)</f>
        <v>185</v>
      </c>
      <c r="R189" t="str">
        <f>IFERROR(INDEX($B$5:$Q$625,MATCH(ROWS($R$5:$R189),$Q$5:$Q$625,0),1),"")</f>
        <v>107-21-1</v>
      </c>
    </row>
    <row r="190" spans="2:18" x14ac:dyDescent="0.2">
      <c r="B190" s="225" t="s">
        <v>745</v>
      </c>
      <c r="C190" s="226" t="s">
        <v>746</v>
      </c>
      <c r="D190" s="227">
        <v>0.03</v>
      </c>
      <c r="E190" s="227">
        <v>0.18</v>
      </c>
      <c r="F190" s="227"/>
      <c r="G190" s="226"/>
      <c r="H190" s="227"/>
      <c r="I190" s="227"/>
      <c r="J190" s="227"/>
      <c r="K190" s="228"/>
      <c r="O190">
        <f>IF(ISNUMBER(FIND($O$3,$C191)),MAXA($O$4:O189)+1,0)</f>
        <v>0</v>
      </c>
      <c r="P190" t="str">
        <f>IFERROR(INDEX($B$5:$O$625,MATCH(ROWS($P$5:$P190),$O$5:$O$625,0),2),"")</f>
        <v/>
      </c>
      <c r="Q190">
        <f>IF(ISNUMBER(FIND($Q$3,$B191)),MAXA($Q$4:Q189)+1,0)</f>
        <v>186</v>
      </c>
      <c r="R190" t="str">
        <f>IFERROR(INDEX($B$5:$Q$625,MATCH(ROWS($R$5:$R190),$Q$5:$Q$625,0),1),"")</f>
        <v>628-96-6</v>
      </c>
    </row>
    <row r="191" spans="2:18" x14ac:dyDescent="0.2">
      <c r="B191" s="225" t="s">
        <v>747</v>
      </c>
      <c r="C191" s="226" t="s">
        <v>748</v>
      </c>
      <c r="D191" s="227">
        <v>0.5</v>
      </c>
      <c r="E191" s="227">
        <v>1</v>
      </c>
      <c r="F191" s="227"/>
      <c r="G191" s="226"/>
      <c r="H191" s="227"/>
      <c r="I191" s="227"/>
      <c r="J191" s="227"/>
      <c r="K191" s="228"/>
      <c r="O191">
        <f>IF(ISNUMBER(FIND($O$3,$C192)),MAXA($O$4:O190)+1,0)</f>
        <v>0</v>
      </c>
      <c r="P191" t="str">
        <f>IFERROR(INDEX($B$5:$O$625,MATCH(ROWS($P$5:$P191),$O$5:$O$625,0),2),"")</f>
        <v/>
      </c>
      <c r="Q191">
        <f>IF(ISNUMBER(FIND($Q$3,$B192)),MAXA($Q$4:Q190)+1,0)</f>
        <v>187</v>
      </c>
      <c r="R191" t="str">
        <f>IFERROR(INDEX($B$5:$Q$625,MATCH(ROWS($R$5:$R191),$Q$5:$Q$625,0),1),"")</f>
        <v>75-08-1</v>
      </c>
    </row>
    <row r="192" spans="2:18" x14ac:dyDescent="0.2">
      <c r="B192" s="225" t="s">
        <v>749</v>
      </c>
      <c r="C192" s="226" t="s">
        <v>750</v>
      </c>
      <c r="D192" s="227">
        <v>2</v>
      </c>
      <c r="E192" s="227">
        <v>8</v>
      </c>
      <c r="F192" s="227"/>
      <c r="G192" s="226"/>
      <c r="H192" s="227"/>
      <c r="I192" s="227"/>
      <c r="J192" s="227"/>
      <c r="K192" s="228"/>
      <c r="O192">
        <f>IF(ISNUMBER(FIND($O$3,$C193)),MAXA($O$4:O191)+1,0)</f>
        <v>0</v>
      </c>
      <c r="P192" t="str">
        <f>IFERROR(INDEX($B$5:$O$625,MATCH(ROWS($P$5:$P192),$O$5:$O$625,0),2),"")</f>
        <v/>
      </c>
      <c r="Q192">
        <f>IF(ISNUMBER(FIND($Q$3,$B193)),MAXA($Q$4:Q191)+1,0)</f>
        <v>188</v>
      </c>
      <c r="R192" t="str">
        <f>IFERROR(INDEX($B$5:$Q$625,MATCH(ROWS($R$5:$R192),$Q$5:$Q$625,0),1),"")</f>
        <v>110-80-5</v>
      </c>
    </row>
    <row r="193" spans="2:18" x14ac:dyDescent="0.2">
      <c r="B193" s="225" t="s">
        <v>751</v>
      </c>
      <c r="C193" s="226" t="s">
        <v>752</v>
      </c>
      <c r="D193" s="227">
        <v>2</v>
      </c>
      <c r="E193" s="227">
        <v>11</v>
      </c>
      <c r="F193" s="227"/>
      <c r="G193" s="226"/>
      <c r="H193" s="227"/>
      <c r="I193" s="227"/>
      <c r="J193" s="227"/>
      <c r="K193" s="228"/>
      <c r="O193">
        <f>IF(ISNUMBER(FIND($O$3,$C194)),MAXA($O$4:O192)+1,0)</f>
        <v>0</v>
      </c>
      <c r="P193" t="str">
        <f>IFERROR(INDEX($B$5:$O$625,MATCH(ROWS($P$5:$P193),$O$5:$O$625,0),2),"")</f>
        <v/>
      </c>
      <c r="Q193">
        <f>IF(ISNUMBER(FIND($Q$3,$B194)),MAXA($Q$4:Q192)+1,0)</f>
        <v>189</v>
      </c>
      <c r="R193" t="str">
        <f>IFERROR(INDEX($B$5:$Q$625,MATCH(ROWS($R$5:$R193),$Q$5:$Q$625,0),1),"")</f>
        <v>111-15-9</v>
      </c>
    </row>
    <row r="194" spans="2:18" x14ac:dyDescent="0.2">
      <c r="B194" s="225" t="s">
        <v>753</v>
      </c>
      <c r="C194" s="226" t="s">
        <v>754</v>
      </c>
      <c r="D194" s="227">
        <v>150</v>
      </c>
      <c r="E194" s="227">
        <v>550</v>
      </c>
      <c r="F194" s="227"/>
      <c r="G194" s="226"/>
      <c r="H194" s="227"/>
      <c r="I194" s="227"/>
      <c r="J194" s="227"/>
      <c r="K194" s="228"/>
      <c r="O194">
        <f>IF(ISNUMBER(FIND($O$3,$C195)),MAXA($O$4:O193)+1,0)</f>
        <v>0</v>
      </c>
      <c r="P194" t="str">
        <f>IFERROR(INDEX($B$5:$O$625,MATCH(ROWS($P$5:$P194),$O$5:$O$625,0),2),"")</f>
        <v/>
      </c>
      <c r="Q194">
        <f>IF(ISNUMBER(FIND($Q$3,$B195)),MAXA($Q$4:Q193)+1,0)</f>
        <v>190</v>
      </c>
      <c r="R194" t="str">
        <f>IFERROR(INDEX($B$5:$Q$625,MATCH(ROWS($R$5:$R194),$Q$5:$Q$625,0),1),"")</f>
        <v>141-78-6</v>
      </c>
    </row>
    <row r="195" spans="2:18" x14ac:dyDescent="0.2">
      <c r="B195" s="225" t="s">
        <v>755</v>
      </c>
      <c r="C195" s="226" t="s">
        <v>756</v>
      </c>
      <c r="D195" s="227">
        <v>5</v>
      </c>
      <c r="E195" s="227">
        <v>21</v>
      </c>
      <c r="F195" s="227"/>
      <c r="G195" s="226">
        <v>10</v>
      </c>
      <c r="H195" s="227">
        <v>42</v>
      </c>
      <c r="I195" s="227"/>
      <c r="J195" s="227"/>
      <c r="K195" s="228"/>
      <c r="O195">
        <f>IF(ISNUMBER(FIND($O$3,$C196)),MAXA($O$4:O194)+1,0)</f>
        <v>0</v>
      </c>
      <c r="P195" t="str">
        <f>IFERROR(INDEX($B$5:$O$625,MATCH(ROWS($P$5:$P195),$O$5:$O$625,0),2),"")</f>
        <v/>
      </c>
      <c r="Q195">
        <f>IF(ISNUMBER(FIND($Q$3,$B196)),MAXA($Q$4:Q194)+1,0)</f>
        <v>191</v>
      </c>
      <c r="R195" t="str">
        <f>IFERROR(INDEX($B$5:$Q$625,MATCH(ROWS($R$5:$R195),$Q$5:$Q$625,0),1),"")</f>
        <v>140-88-5</v>
      </c>
    </row>
    <row r="196" spans="2:18" x14ac:dyDescent="0.2">
      <c r="B196" s="225" t="s">
        <v>757</v>
      </c>
      <c r="C196" s="226" t="s">
        <v>758</v>
      </c>
      <c r="D196" s="227">
        <v>2</v>
      </c>
      <c r="E196" s="227">
        <v>4</v>
      </c>
      <c r="F196" s="227"/>
      <c r="G196" s="226"/>
      <c r="H196" s="227"/>
      <c r="I196" s="227"/>
      <c r="J196" s="227"/>
      <c r="K196" s="228"/>
      <c r="O196">
        <f>IF(ISNUMBER(FIND($O$3,$C197)),MAXA($O$4:O195)+1,0)</f>
        <v>0</v>
      </c>
      <c r="P196" t="str">
        <f>IFERROR(INDEX($B$5:$O$625,MATCH(ROWS($P$5:$P196),$O$5:$O$625,0),2),"")</f>
        <v/>
      </c>
      <c r="Q196">
        <f>IF(ISNUMBER(FIND($Q$3,$B197)),MAXA($Q$4:Q195)+1,0)</f>
        <v>192</v>
      </c>
      <c r="R196" t="str">
        <f>IFERROR(INDEX($B$5:$Q$625,MATCH(ROWS($R$5:$R196),$Q$5:$Q$625,0),1),"")</f>
        <v>75-04-7</v>
      </c>
    </row>
    <row r="197" spans="2:18" x14ac:dyDescent="0.2">
      <c r="B197" s="225" t="s">
        <v>759</v>
      </c>
      <c r="C197" s="226" t="s">
        <v>760</v>
      </c>
      <c r="D197" s="227">
        <v>5</v>
      </c>
      <c r="E197" s="227">
        <v>20</v>
      </c>
      <c r="F197" s="227"/>
      <c r="G197" s="226"/>
      <c r="H197" s="227"/>
      <c r="I197" s="227"/>
      <c r="J197" s="227"/>
      <c r="K197" s="228"/>
      <c r="O197">
        <f>IF(ISNUMBER(FIND($O$3,$C198)),MAXA($O$4:O196)+1,0)</f>
        <v>0</v>
      </c>
      <c r="P197" t="str">
        <f>IFERROR(INDEX($B$5:$O$625,MATCH(ROWS($P$5:$P197),$O$5:$O$625,0),2),"")</f>
        <v/>
      </c>
      <c r="Q197">
        <f>IF(ISNUMBER(FIND($Q$3,$B198)),MAXA($Q$4:Q196)+1,0)</f>
        <v>193</v>
      </c>
      <c r="R197" t="str">
        <f>IFERROR(INDEX($B$5:$Q$625,MATCH(ROWS($R$5:$R197),$Q$5:$Q$625,0),1),"")</f>
        <v>100-41-4</v>
      </c>
    </row>
    <row r="198" spans="2:18" x14ac:dyDescent="0.2">
      <c r="B198" s="225" t="s">
        <v>761</v>
      </c>
      <c r="C198" s="226" t="s">
        <v>762</v>
      </c>
      <c r="D198" s="227">
        <v>10</v>
      </c>
      <c r="E198" s="227">
        <v>25</v>
      </c>
      <c r="F198" s="227"/>
      <c r="G198" s="226"/>
      <c r="H198" s="227"/>
      <c r="I198" s="227"/>
      <c r="J198" s="227"/>
      <c r="K198" s="228"/>
      <c r="O198">
        <f>IF(ISNUMBER(FIND($O$3,$C199)),MAXA($O$4:O197)+1,0)</f>
        <v>0</v>
      </c>
      <c r="P198" t="str">
        <f>IFERROR(INDEX($B$5:$O$625,MATCH(ROWS($P$5:$P198),$O$5:$O$625,0),2),"")</f>
        <v/>
      </c>
      <c r="Q198">
        <f>IF(ISNUMBER(FIND($Q$3,$B199)),MAXA($Q$4:Q197)+1,0)</f>
        <v>194</v>
      </c>
      <c r="R198" t="str">
        <f>IFERROR(INDEX($B$5:$Q$625,MATCH(ROWS($R$5:$R198),$Q$5:$Q$625,0),1),"")</f>
        <v>107-15-3</v>
      </c>
    </row>
    <row r="199" spans="2:18" x14ac:dyDescent="0.2">
      <c r="B199" s="225" t="s">
        <v>763</v>
      </c>
      <c r="C199" s="226" t="s">
        <v>764</v>
      </c>
      <c r="D199" s="227">
        <v>0.5</v>
      </c>
      <c r="E199" s="227">
        <v>1</v>
      </c>
      <c r="F199" s="227"/>
      <c r="G199" s="226"/>
      <c r="H199" s="227"/>
      <c r="I199" s="227"/>
      <c r="J199" s="227"/>
      <c r="K199" s="228"/>
      <c r="O199">
        <f>IF(ISNUMBER(FIND($O$3,$C200)),MAXA($O$4:O198)+1,0)</f>
        <v>0</v>
      </c>
      <c r="P199" t="str">
        <f>IFERROR(INDEX($B$5:$O$625,MATCH(ROWS($P$5:$P199),$O$5:$O$625,0),2),"")</f>
        <v/>
      </c>
      <c r="Q199">
        <f>IF(ISNUMBER(FIND($Q$3,$B200)),MAXA($Q$4:Q198)+1,0)</f>
        <v>195</v>
      </c>
      <c r="R199" t="str">
        <f>IFERROR(INDEX($B$5:$Q$625,MATCH(ROWS($R$5:$R199),$Q$5:$Q$625,0),1),"")</f>
        <v>151-56-4</v>
      </c>
    </row>
    <row r="200" spans="2:18" x14ac:dyDescent="0.2">
      <c r="B200" s="225" t="s">
        <v>765</v>
      </c>
      <c r="C200" s="226" t="s">
        <v>766</v>
      </c>
      <c r="D200" s="227">
        <v>1</v>
      </c>
      <c r="E200" s="227"/>
      <c r="F200" s="227"/>
      <c r="G200" s="226"/>
      <c r="H200" s="227"/>
      <c r="I200" s="227"/>
      <c r="J200" s="227"/>
      <c r="K200" s="228"/>
      <c r="O200">
        <f>IF(ISNUMBER(FIND($O$3,$C201)),MAXA($O$4:O199)+1,0)</f>
        <v>0</v>
      </c>
      <c r="P200" t="str">
        <f>IFERROR(INDEX($B$5:$O$625,MATCH(ROWS($P$5:$P200),$O$5:$O$625,0),2),"")</f>
        <v/>
      </c>
      <c r="Q200">
        <f>IF(ISNUMBER(FIND($Q$3,$B201)),MAXA($Q$4:Q199)+1,0)</f>
        <v>196</v>
      </c>
      <c r="R200" t="str">
        <f>IFERROR(INDEX($B$5:$Q$625,MATCH(ROWS($R$5:$R200),$Q$5:$Q$625,0),1),"")</f>
        <v>75-21-8</v>
      </c>
    </row>
    <row r="201" spans="2:18" x14ac:dyDescent="0.2">
      <c r="B201" s="225" t="s">
        <v>767</v>
      </c>
      <c r="C201" s="226" t="s">
        <v>768</v>
      </c>
      <c r="D201" s="227">
        <v>50</v>
      </c>
      <c r="E201" s="227">
        <v>150</v>
      </c>
      <c r="F201" s="227"/>
      <c r="G201" s="226"/>
      <c r="H201" s="227"/>
      <c r="I201" s="227"/>
      <c r="J201" s="227"/>
      <c r="K201" s="228"/>
      <c r="O201">
        <f>IF(ISNUMBER(FIND($O$3,$C202)),MAXA($O$4:O200)+1,0)</f>
        <v>0</v>
      </c>
      <c r="P201" t="str">
        <f>IFERROR(INDEX($B$5:$O$625,MATCH(ROWS($P$5:$P201),$O$5:$O$625,0),2),"")</f>
        <v/>
      </c>
      <c r="Q201">
        <f>IF(ISNUMBER(FIND($Q$3,$B202)),MAXA($Q$4:Q200)+1,0)</f>
        <v>197</v>
      </c>
      <c r="R201" t="str">
        <f>IFERROR(INDEX($B$5:$Q$625,MATCH(ROWS($R$5:$R201),$Q$5:$Q$625,0),1),"")</f>
        <v>109-94-4</v>
      </c>
    </row>
    <row r="202" spans="2:18" x14ac:dyDescent="0.2">
      <c r="B202" s="225" t="s">
        <v>769</v>
      </c>
      <c r="C202" s="226" t="s">
        <v>770</v>
      </c>
      <c r="D202" s="227"/>
      <c r="E202" s="227"/>
      <c r="F202" s="227"/>
      <c r="G202" s="226"/>
      <c r="H202" s="227"/>
      <c r="I202" s="227">
        <v>5</v>
      </c>
      <c r="J202" s="227">
        <v>25</v>
      </c>
      <c r="K202" s="228"/>
      <c r="O202">
        <f>IF(ISNUMBER(FIND($O$3,$C203)),MAXA($O$4:O201)+1,0)</f>
        <v>0</v>
      </c>
      <c r="P202" t="str">
        <f>IFERROR(INDEX($B$5:$O$625,MATCH(ROWS($P$5:$P202),$O$5:$O$625,0),2),"")</f>
        <v/>
      </c>
      <c r="Q202">
        <f>IF(ISNUMBER(FIND($Q$3,$B203)),MAXA($Q$4:Q201)+1,0)</f>
        <v>198</v>
      </c>
      <c r="R202" t="str">
        <f>IFERROR(INDEX($B$5:$Q$625,MATCH(ROWS($R$5:$R202),$Q$5:$Q$625,0),1),"")</f>
        <v>16219-75-3</v>
      </c>
    </row>
    <row r="203" spans="2:18" x14ac:dyDescent="0.2">
      <c r="B203" s="225" t="s">
        <v>771</v>
      </c>
      <c r="C203" s="226" t="s">
        <v>772</v>
      </c>
      <c r="D203" s="227">
        <v>50</v>
      </c>
      <c r="E203" s="227">
        <v>250</v>
      </c>
      <c r="F203" s="227"/>
      <c r="G203" s="226"/>
      <c r="H203" s="227"/>
      <c r="I203" s="227"/>
      <c r="J203" s="227"/>
      <c r="K203" s="228"/>
      <c r="O203">
        <f>IF(ISNUMBER(FIND($O$3,$C204)),MAXA($O$4:O202)+1,0)</f>
        <v>0</v>
      </c>
      <c r="P203" t="str">
        <f>IFERROR(INDEX($B$5:$O$625,MATCH(ROWS($P$5:$P203),$O$5:$O$625,0),2),"")</f>
        <v/>
      </c>
      <c r="Q203">
        <f>IF(ISNUMBER(FIND($Q$3,$B204)),MAXA($Q$4:Q202)+1,0)</f>
        <v>199</v>
      </c>
      <c r="R203" t="str">
        <f>IFERROR(INDEX($B$5:$Q$625,MATCH(ROWS($R$5:$R203),$Q$5:$Q$625,0),1),"")</f>
        <v>97-63-2</v>
      </c>
    </row>
    <row r="204" spans="2:18" x14ac:dyDescent="0.2">
      <c r="B204" s="225" t="s">
        <v>773</v>
      </c>
      <c r="C204" s="226" t="s">
        <v>774</v>
      </c>
      <c r="D204" s="227">
        <v>5</v>
      </c>
      <c r="E204" s="227">
        <v>23</v>
      </c>
      <c r="F204" s="227"/>
      <c r="G204" s="226"/>
      <c r="H204" s="227"/>
      <c r="I204" s="227"/>
      <c r="J204" s="227"/>
      <c r="K204" s="228"/>
      <c r="O204">
        <f>IF(ISNUMBER(FIND($O$3,$C205)),MAXA($O$4:O203)+1,0)</f>
        <v>0</v>
      </c>
      <c r="P204" t="str">
        <f>IFERROR(INDEX($B$5:$O$625,MATCH(ROWS($P$5:$P204),$O$5:$O$625,0),2),"")</f>
        <v/>
      </c>
      <c r="Q204">
        <f>IF(ISNUMBER(FIND($Q$3,$B205)),MAXA($Q$4:Q203)+1,0)</f>
        <v>200</v>
      </c>
      <c r="R204" t="str">
        <f>IFERROR(INDEX($B$5:$Q$625,MATCH(ROWS($R$5:$R204),$Q$5:$Q$625,0),1),"")</f>
        <v>100-74-3</v>
      </c>
    </row>
    <row r="205" spans="2:18" x14ac:dyDescent="0.2">
      <c r="B205" s="225" t="s">
        <v>775</v>
      </c>
      <c r="C205" s="226" t="s">
        <v>776</v>
      </c>
      <c r="D205" s="227"/>
      <c r="E205" s="227">
        <v>0.5</v>
      </c>
      <c r="F205" s="227"/>
      <c r="G205" s="226"/>
      <c r="H205" s="227"/>
      <c r="I205" s="227"/>
      <c r="J205" s="227"/>
      <c r="K205" s="228"/>
      <c r="O205">
        <f>IF(ISNUMBER(FIND($O$3,$C206)),MAXA($O$4:O204)+1,0)</f>
        <v>0</v>
      </c>
      <c r="P205" t="str">
        <f>IFERROR(INDEX($B$5:$O$625,MATCH(ROWS($P$5:$P205),$O$5:$O$625,0),2),"")</f>
        <v/>
      </c>
      <c r="Q205">
        <f>IF(ISNUMBER(FIND($Q$3,$B206)),MAXA($Q$4:Q204)+1,0)</f>
        <v>201</v>
      </c>
      <c r="R205" t="str">
        <f>IFERROR(INDEX($B$5:$Q$625,MATCH(ROWS($R$5:$R205),$Q$5:$Q$625,0),1),"")</f>
        <v>2104-64-5</v>
      </c>
    </row>
    <row r="206" spans="2:18" x14ac:dyDescent="0.2">
      <c r="B206" s="225" t="s">
        <v>777</v>
      </c>
      <c r="C206" s="226" t="s">
        <v>778</v>
      </c>
      <c r="D206" s="227">
        <v>10</v>
      </c>
      <c r="E206" s="227">
        <v>85</v>
      </c>
      <c r="F206" s="227"/>
      <c r="G206" s="226"/>
      <c r="H206" s="227"/>
      <c r="I206" s="227"/>
      <c r="J206" s="227"/>
      <c r="K206" s="228"/>
      <c r="O206">
        <f>IF(ISNUMBER(FIND($O$3,$C207)),MAXA($O$4:O205)+1,0)</f>
        <v>0</v>
      </c>
      <c r="P206" t="str">
        <f>IFERROR(INDEX($B$5:$O$625,MATCH(ROWS($P$5:$P206),$O$5:$O$625,0),2),"")</f>
        <v/>
      </c>
      <c r="Q206">
        <f>IF(ISNUMBER(FIND($Q$3,$B207)),MAXA($Q$4:Q205)+1,0)</f>
        <v>202</v>
      </c>
      <c r="R206" t="str">
        <f>IFERROR(INDEX($B$5:$Q$625,MATCH(ROWS($R$5:$R206),$Q$5:$Q$625,0),1),"")</f>
        <v>78-10-4</v>
      </c>
    </row>
    <row r="207" spans="2:18" x14ac:dyDescent="0.2">
      <c r="B207" s="225" t="s">
        <v>779</v>
      </c>
      <c r="C207" s="226" t="s">
        <v>780</v>
      </c>
      <c r="D207" s="227">
        <v>1</v>
      </c>
      <c r="E207" s="227">
        <v>4</v>
      </c>
      <c r="F207" s="227"/>
      <c r="G207" s="226">
        <v>3</v>
      </c>
      <c r="H207" s="227">
        <v>12</v>
      </c>
      <c r="I207" s="227"/>
      <c r="J207" s="227"/>
      <c r="K207" s="228"/>
      <c r="O207">
        <f>IF(ISNUMBER(FIND($O$3,$C208)),MAXA($O$4:O206)+1,0)</f>
        <v>0</v>
      </c>
      <c r="P207" t="str">
        <f>IFERROR(INDEX($B$5:$O$625,MATCH(ROWS($P$5:$P207),$O$5:$O$625,0),2),"")</f>
        <v/>
      </c>
      <c r="Q207">
        <f>IF(ISNUMBER(FIND($Q$3,$B208)),MAXA($Q$4:Q206)+1,0)</f>
        <v>203</v>
      </c>
      <c r="R207" t="str">
        <f>IFERROR(INDEX($B$5:$Q$625,MATCH(ROWS($R$5:$R207),$Q$5:$Q$625,0),1),"")</f>
        <v>108-95-2</v>
      </c>
    </row>
    <row r="208" spans="2:18" x14ac:dyDescent="0.2">
      <c r="B208" s="225" t="s">
        <v>781</v>
      </c>
      <c r="C208" s="226" t="s">
        <v>782</v>
      </c>
      <c r="D208" s="227"/>
      <c r="E208" s="227">
        <v>5</v>
      </c>
      <c r="F208" s="227"/>
      <c r="G208" s="226"/>
      <c r="H208" s="227"/>
      <c r="I208" s="227"/>
      <c r="J208" s="227"/>
      <c r="K208" s="228"/>
      <c r="O208">
        <f>IF(ISNUMBER(FIND($O$3,$C209)),MAXA($O$4:O207)+1,0)</f>
        <v>0</v>
      </c>
      <c r="P208" t="str">
        <f>IFERROR(INDEX($B$5:$O$625,MATCH(ROWS($P$5:$P208),$O$5:$O$625,0),2),"")</f>
        <v/>
      </c>
      <c r="Q208">
        <f>IF(ISNUMBER(FIND($Q$3,$B209)),MAXA($Q$4:Q207)+1,0)</f>
        <v>204</v>
      </c>
      <c r="R208" t="str">
        <f>IFERROR(INDEX($B$5:$Q$625,MATCH(ROWS($R$5:$R208),$Q$5:$Q$625,0),1),"")</f>
        <v>92-84-2</v>
      </c>
    </row>
    <row r="209" spans="2:18" x14ac:dyDescent="0.2">
      <c r="B209" s="225" t="s">
        <v>783</v>
      </c>
      <c r="C209" s="226" t="s">
        <v>784</v>
      </c>
      <c r="D209" s="227"/>
      <c r="E209" s="227">
        <v>0.1</v>
      </c>
      <c r="F209" s="227"/>
      <c r="G209" s="226"/>
      <c r="H209" s="227"/>
      <c r="I209" s="227"/>
      <c r="J209" s="227"/>
      <c r="K209" s="228"/>
      <c r="O209">
        <f>IF(ISNUMBER(FIND($O$3,$C210)),MAXA($O$4:O208)+1,0)</f>
        <v>0</v>
      </c>
      <c r="P209" t="str">
        <f>IFERROR(INDEX($B$5:$O$625,MATCH(ROWS($P$5:$P209),$O$5:$O$625,0),2),"")</f>
        <v/>
      </c>
      <c r="Q209">
        <f>IF(ISNUMBER(FIND($Q$3,$B210)),MAXA($Q$4:Q208)+1,0)</f>
        <v>205</v>
      </c>
      <c r="R209" t="str">
        <f>IFERROR(INDEX($B$5:$Q$625,MATCH(ROWS($R$5:$R209),$Q$5:$Q$625,0),1),"")</f>
        <v>108-45-2</v>
      </c>
    </row>
    <row r="210" spans="2:18" x14ac:dyDescent="0.2">
      <c r="B210" s="225" t="s">
        <v>785</v>
      </c>
      <c r="C210" s="226" t="s">
        <v>786</v>
      </c>
      <c r="D210" s="227"/>
      <c r="E210" s="227">
        <v>0.1</v>
      </c>
      <c r="F210" s="227"/>
      <c r="G210" s="226"/>
      <c r="H210" s="227"/>
      <c r="I210" s="227"/>
      <c r="J210" s="227"/>
      <c r="K210" s="228"/>
      <c r="O210">
        <f>IF(ISNUMBER(FIND($O$3,$C211)),MAXA($O$4:O209)+1,0)</f>
        <v>0</v>
      </c>
      <c r="P210" t="str">
        <f>IFERROR(INDEX($B$5:$O$625,MATCH(ROWS($P$5:$P210),$O$5:$O$625,0),2),"")</f>
        <v/>
      </c>
      <c r="Q210">
        <f>IF(ISNUMBER(FIND($Q$3,$B211)),MAXA($Q$4:Q209)+1,0)</f>
        <v>206</v>
      </c>
      <c r="R210" t="str">
        <f>IFERROR(INDEX($B$5:$Q$625,MATCH(ROWS($R$5:$R210),$Q$5:$Q$625,0),1),"")</f>
        <v>95-54-5</v>
      </c>
    </row>
    <row r="211" spans="2:18" x14ac:dyDescent="0.2">
      <c r="B211" s="225" t="s">
        <v>787</v>
      </c>
      <c r="C211" s="226" t="s">
        <v>788</v>
      </c>
      <c r="D211" s="227"/>
      <c r="E211" s="227"/>
      <c r="F211" s="227"/>
      <c r="G211" s="226"/>
      <c r="H211" s="227"/>
      <c r="I211" s="227">
        <v>0.05</v>
      </c>
      <c r="J211" s="227">
        <v>0.25</v>
      </c>
      <c r="K211" s="228"/>
      <c r="O211">
        <f>IF(ISNUMBER(FIND($O$3,$C212)),MAXA($O$4:O210)+1,0)</f>
        <v>0</v>
      </c>
      <c r="P211" t="str">
        <f>IFERROR(INDEX($B$5:$O$625,MATCH(ROWS($P$5:$P211),$O$5:$O$625,0),2),"")</f>
        <v/>
      </c>
      <c r="Q211">
        <f>IF(ISNUMBER(FIND($Q$3,$B212)),MAXA($Q$4:Q210)+1,0)</f>
        <v>207</v>
      </c>
      <c r="R211" t="str">
        <f>IFERROR(INDEX($B$5:$Q$625,MATCH(ROWS($R$5:$R211),$Q$5:$Q$625,0),1),"")</f>
        <v>638-21-1</v>
      </c>
    </row>
    <row r="212" spans="2:18" x14ac:dyDescent="0.2">
      <c r="B212" s="225" t="s">
        <v>789</v>
      </c>
      <c r="C212" s="226" t="s">
        <v>790</v>
      </c>
      <c r="D212" s="227">
        <v>1</v>
      </c>
      <c r="E212" s="227">
        <v>5</v>
      </c>
      <c r="F212" s="227"/>
      <c r="G212" s="226"/>
      <c r="H212" s="227"/>
      <c r="I212" s="227"/>
      <c r="J212" s="227"/>
      <c r="K212" s="228"/>
      <c r="O212">
        <f>IF(ISNUMBER(FIND($O$3,$C213)),MAXA($O$4:O211)+1,0)</f>
        <v>0</v>
      </c>
      <c r="P212" t="str">
        <f>IFERROR(INDEX($B$5:$O$625,MATCH(ROWS($P$5:$P212),$O$5:$O$625,0),2),"")</f>
        <v/>
      </c>
      <c r="Q212">
        <f>IF(ISNUMBER(FIND($Q$3,$B213)),MAXA($Q$4:Q211)+1,0)</f>
        <v>208</v>
      </c>
      <c r="R212" t="str">
        <f>IFERROR(INDEX($B$5:$Q$625,MATCH(ROWS($R$5:$R212),$Q$5:$Q$625,0),1),"")</f>
        <v>122-60-1</v>
      </c>
    </row>
    <row r="213" spans="2:18" x14ac:dyDescent="0.2">
      <c r="B213" s="225" t="s">
        <v>791</v>
      </c>
      <c r="C213" s="226" t="s">
        <v>792</v>
      </c>
      <c r="D213" s="227"/>
      <c r="E213" s="227">
        <v>0.6</v>
      </c>
      <c r="F213" s="227"/>
      <c r="G213" s="226"/>
      <c r="H213" s="227"/>
      <c r="I213" s="227"/>
      <c r="J213" s="227"/>
      <c r="K213" s="228"/>
      <c r="O213">
        <f>IF(ISNUMBER(FIND($O$3,$C214)),MAXA($O$4:O212)+1,0)</f>
        <v>0</v>
      </c>
      <c r="P213" t="str">
        <f>IFERROR(INDEX($B$5:$O$625,MATCH(ROWS($P$5:$P213),$O$5:$O$625,0),2),"")</f>
        <v/>
      </c>
      <c r="Q213">
        <f>IF(ISNUMBER(FIND($Q$3,$B214)),MAXA($Q$4:Q212)+1,0)</f>
        <v>209</v>
      </c>
      <c r="R213" t="str">
        <f>IFERROR(INDEX($B$5:$Q$625,MATCH(ROWS($R$5:$R213),$Q$5:$Q$625,0),1),"")</f>
        <v>100-63-0</v>
      </c>
    </row>
    <row r="214" spans="2:18" x14ac:dyDescent="0.2">
      <c r="B214" s="225" t="s">
        <v>793</v>
      </c>
      <c r="C214" s="226" t="s">
        <v>794</v>
      </c>
      <c r="D214" s="227">
        <v>50</v>
      </c>
      <c r="E214" s="227">
        <v>240</v>
      </c>
      <c r="F214" s="227"/>
      <c r="G214" s="226"/>
      <c r="H214" s="227"/>
      <c r="I214" s="227"/>
      <c r="J214" s="227"/>
      <c r="K214" s="228"/>
      <c r="O214">
        <f>IF(ISNUMBER(FIND($O$3,$C215)),MAXA($O$4:O213)+1,0)</f>
        <v>0</v>
      </c>
      <c r="P214" t="str">
        <f>IFERROR(INDEX($B$5:$O$625,MATCH(ROWS($P$5:$P214),$O$5:$O$625,0),2),"")</f>
        <v/>
      </c>
      <c r="Q214">
        <f>IF(ISNUMBER(FIND($Q$3,$B215)),MAXA($Q$4:Q213)+1,0)</f>
        <v>210</v>
      </c>
      <c r="R214" t="str">
        <f>IFERROR(INDEX($B$5:$Q$625,MATCH(ROWS($R$5:$R214),$Q$5:$Q$625,0),1),"")</f>
        <v>98-83-9</v>
      </c>
    </row>
    <row r="215" spans="2:18" x14ac:dyDescent="0.2">
      <c r="B215" s="225" t="s">
        <v>795</v>
      </c>
      <c r="C215" s="226" t="s">
        <v>796</v>
      </c>
      <c r="D215" s="227"/>
      <c r="E215" s="227">
        <v>5</v>
      </c>
      <c r="F215" s="227"/>
      <c r="G215" s="226"/>
      <c r="H215" s="227"/>
      <c r="I215" s="227"/>
      <c r="J215" s="227"/>
      <c r="K215" s="228"/>
      <c r="O215">
        <f>IF(ISNUMBER(FIND($O$3,$C216)),MAXA($O$4:O214)+1,0)</f>
        <v>0</v>
      </c>
      <c r="P215" t="str">
        <f>IFERROR(INDEX($B$5:$O$625,MATCH(ROWS($P$5:$P215),$O$5:$O$625,0),2),"")</f>
        <v/>
      </c>
      <c r="Q215">
        <f>IF(ISNUMBER(FIND($Q$3,$B216)),MAXA($Q$4:Q214)+1,0)</f>
        <v>211</v>
      </c>
      <c r="R215" t="str">
        <f>IFERROR(INDEX($B$5:$Q$625,MATCH(ROWS($R$5:$R215),$Q$5:$Q$625,0),1),"")</f>
        <v>14484-64-1</v>
      </c>
    </row>
    <row r="216" spans="2:18" x14ac:dyDescent="0.2">
      <c r="B216" s="225" t="s">
        <v>797</v>
      </c>
      <c r="C216" s="226" t="s">
        <v>798</v>
      </c>
      <c r="D216" s="227"/>
      <c r="E216" s="227">
        <v>1</v>
      </c>
      <c r="F216" s="227"/>
      <c r="G216" s="226"/>
      <c r="H216" s="227"/>
      <c r="I216" s="227"/>
      <c r="J216" s="227"/>
      <c r="K216" s="228"/>
      <c r="O216">
        <f>IF(ISNUMBER(FIND($O$3,$C217)),MAXA($O$4:O215)+1,0)</f>
        <v>0</v>
      </c>
      <c r="P216" t="str">
        <f>IFERROR(INDEX($B$5:$O$625,MATCH(ROWS($P$5:$P216),$O$5:$O$625,0),2),"")</f>
        <v/>
      </c>
      <c r="Q216">
        <f>IF(ISNUMBER(FIND($Q$3,$B217)),MAXA($Q$4:Q215)+1,0)</f>
        <v>212</v>
      </c>
      <c r="R216" t="str">
        <f>IFERROR(INDEX($B$5:$Q$625,MATCH(ROWS($R$5:$R216),$Q$5:$Q$625,0),1),"")</f>
        <v>12604-58-9</v>
      </c>
    </row>
    <row r="217" spans="2:18" x14ac:dyDescent="0.2">
      <c r="B217" s="225" t="s">
        <v>799</v>
      </c>
      <c r="C217" s="226" t="s">
        <v>800</v>
      </c>
      <c r="D217" s="227">
        <v>0.1</v>
      </c>
      <c r="E217" s="227">
        <v>0.2</v>
      </c>
      <c r="F217" s="227"/>
      <c r="G217" s="226"/>
      <c r="H217" s="227"/>
      <c r="I217" s="227"/>
      <c r="J217" s="227"/>
      <c r="K217" s="228"/>
      <c r="O217">
        <f>IF(ISNUMBER(FIND($O$3,$C218)),MAXA($O$4:O216)+1,0)</f>
        <v>0</v>
      </c>
      <c r="P217" t="str">
        <f>IFERROR(INDEX($B$5:$O$625,MATCH(ROWS($P$5:$P217),$O$5:$O$625,0),2),"")</f>
        <v/>
      </c>
      <c r="Q217">
        <f>IF(ISNUMBER(FIND($Q$3,$B218)),MAXA($Q$4:Q216)+1,0)</f>
        <v>213</v>
      </c>
      <c r="R217" t="str">
        <f>IFERROR(INDEX($B$5:$Q$625,MATCH(ROWS($R$5:$R217),$Q$5:$Q$625,0),1),"")</f>
        <v>7782-41-4</v>
      </c>
    </row>
    <row r="218" spans="2:18" x14ac:dyDescent="0.2">
      <c r="B218" s="225" t="s">
        <v>801</v>
      </c>
      <c r="C218" s="226" t="s">
        <v>802</v>
      </c>
      <c r="D218" s="227">
        <v>10</v>
      </c>
      <c r="E218" s="227">
        <v>42</v>
      </c>
      <c r="F218" s="227"/>
      <c r="G218" s="226"/>
      <c r="H218" s="227"/>
      <c r="I218" s="227"/>
      <c r="J218" s="227"/>
      <c r="K218" s="228"/>
      <c r="O218">
        <f>IF(ISNUMBER(FIND($O$3,$C219)),MAXA($O$4:O217)+1,0)</f>
        <v>0</v>
      </c>
      <c r="P218" t="str">
        <f>IFERROR(INDEX($B$5:$O$625,MATCH(ROWS($P$5:$P218),$O$5:$O$625,0),2),"")</f>
        <v/>
      </c>
      <c r="Q218">
        <f>IF(ISNUMBER(FIND($Q$3,$B219)),MAXA($Q$4:Q217)+1,0)</f>
        <v>214</v>
      </c>
      <c r="R218" t="str">
        <f>IFERROR(INDEX($B$5:$Q$625,MATCH(ROWS($R$5:$R218),$Q$5:$Q$625,0),1),"")</f>
        <v>75-43-4</v>
      </c>
    </row>
    <row r="219" spans="2:18" x14ac:dyDescent="0.2">
      <c r="B219" s="225" t="s">
        <v>803</v>
      </c>
      <c r="C219" s="226" t="s">
        <v>804</v>
      </c>
      <c r="D219" s="227">
        <v>500</v>
      </c>
      <c r="E219" s="227">
        <v>2800</v>
      </c>
      <c r="F219" s="227"/>
      <c r="G219" s="226"/>
      <c r="H219" s="227"/>
      <c r="I219" s="227"/>
      <c r="J219" s="227"/>
      <c r="K219" s="228"/>
      <c r="O219">
        <f>IF(ISNUMBER(FIND($O$3,$C220)),MAXA($O$4:O218)+1,0)</f>
        <v>0</v>
      </c>
      <c r="P219" t="str">
        <f>IFERROR(INDEX($B$5:$O$625,MATCH(ROWS($P$5:$P219),$O$5:$O$625,0),2),"")</f>
        <v/>
      </c>
      <c r="Q219">
        <f>IF(ISNUMBER(FIND($Q$3,$B220)),MAXA($Q$4:Q218)+1,0)</f>
        <v>215</v>
      </c>
      <c r="R219" t="str">
        <f>IFERROR(INDEX($B$5:$Q$625,MATCH(ROWS($R$5:$R219),$Q$5:$Q$625,0),1),"")</f>
        <v>75-69-4</v>
      </c>
    </row>
    <row r="220" spans="2:18" x14ac:dyDescent="0.2">
      <c r="B220" s="225" t="s">
        <v>805</v>
      </c>
      <c r="C220" s="226" t="s">
        <v>806</v>
      </c>
      <c r="D220" s="227"/>
      <c r="E220" s="227">
        <v>0.05</v>
      </c>
      <c r="F220" s="227"/>
      <c r="G220" s="226"/>
      <c r="H220" s="227"/>
      <c r="I220" s="227"/>
      <c r="J220" s="227"/>
      <c r="K220" s="228"/>
      <c r="O220">
        <f>IF(ISNUMBER(FIND($O$3,$C221)),MAXA($O$4:O219)+1,0)</f>
        <v>0</v>
      </c>
      <c r="P220" t="str">
        <f>IFERROR(INDEX($B$5:$O$625,MATCH(ROWS($P$5:$P220),$O$5:$O$625,0),2),"")</f>
        <v/>
      </c>
      <c r="Q220">
        <f>IF(ISNUMBER(FIND($Q$3,$B221)),MAXA($Q$4:Q219)+1,0)</f>
        <v>216</v>
      </c>
      <c r="R220" t="str">
        <f>IFERROR(INDEX($B$5:$Q$625,MATCH(ROWS($R$5:$R220),$Q$5:$Q$625,0),1),"")</f>
        <v>298-02-2</v>
      </c>
    </row>
    <row r="221" spans="2:18" x14ac:dyDescent="0.2">
      <c r="B221" s="225" t="s">
        <v>807</v>
      </c>
      <c r="C221" s="226" t="s">
        <v>808</v>
      </c>
      <c r="D221" s="227">
        <v>0.3</v>
      </c>
      <c r="E221" s="227">
        <v>0.37</v>
      </c>
      <c r="F221" s="227"/>
      <c r="G221" s="226"/>
      <c r="H221" s="227"/>
      <c r="I221" s="227">
        <v>1</v>
      </c>
      <c r="J221" s="227">
        <v>1.2</v>
      </c>
      <c r="K221" s="228"/>
      <c r="O221">
        <f>IF(ISNUMBER(FIND($O$3,$C222)),MAXA($O$4:O220)+1,0)</f>
        <v>0</v>
      </c>
      <c r="P221" t="str">
        <f>IFERROR(INDEX($B$5:$O$625,MATCH(ROWS($P$5:$P221),$O$5:$O$625,0),2),"")</f>
        <v/>
      </c>
      <c r="Q221">
        <f>IF(ISNUMBER(FIND($Q$3,$B222)),MAXA($Q$4:Q220)+1,0)</f>
        <v>217</v>
      </c>
      <c r="R221" t="str">
        <f>IFERROR(INDEX($B$5:$Q$625,MATCH(ROWS($R$5:$R221),$Q$5:$Q$625,0),1),"")</f>
        <v>50-00-0</v>
      </c>
    </row>
    <row r="222" spans="2:18" x14ac:dyDescent="0.2">
      <c r="B222" s="225" t="s">
        <v>809</v>
      </c>
      <c r="C222" s="226" t="s">
        <v>810</v>
      </c>
      <c r="D222" s="227">
        <v>10</v>
      </c>
      <c r="E222" s="227">
        <v>18</v>
      </c>
      <c r="F222" s="227"/>
      <c r="G222" s="226"/>
      <c r="H222" s="227"/>
      <c r="I222" s="227"/>
      <c r="J222" s="227"/>
      <c r="K222" s="228"/>
      <c r="O222">
        <f>IF(ISNUMBER(FIND($O$3,$C223)),MAXA($O$4:O221)+1,0)</f>
        <v>0</v>
      </c>
      <c r="P222" t="str">
        <f>IFERROR(INDEX($B$5:$O$625,MATCH(ROWS($P$5:$P222),$O$5:$O$625,0),2),"")</f>
        <v/>
      </c>
      <c r="Q222">
        <f>IF(ISNUMBER(FIND($Q$3,$B223)),MAXA($Q$4:Q221)+1,0)</f>
        <v>218</v>
      </c>
      <c r="R222" t="str">
        <f>IFERROR(INDEX($B$5:$Q$625,MATCH(ROWS($R$5:$R222),$Q$5:$Q$625,0),1),"")</f>
        <v>75-12-7</v>
      </c>
    </row>
    <row r="223" spans="2:18" x14ac:dyDescent="0.2">
      <c r="B223" s="225" t="s">
        <v>811</v>
      </c>
      <c r="C223" s="226" t="s">
        <v>812</v>
      </c>
      <c r="D223" s="227">
        <v>0.1</v>
      </c>
      <c r="E223" s="227">
        <v>0.15</v>
      </c>
      <c r="F223" s="227"/>
      <c r="G223" s="226"/>
      <c r="H223" s="227"/>
      <c r="I223" s="227"/>
      <c r="J223" s="227"/>
      <c r="K223" s="228"/>
      <c r="O223">
        <f>IF(ISNUMBER(FIND($O$3,$C224)),MAXA($O$4:O222)+1,0)</f>
        <v>0</v>
      </c>
      <c r="P223" t="str">
        <f>IFERROR(INDEX($B$5:$O$625,MATCH(ROWS($P$5:$P223),$O$5:$O$625,0),2),"")</f>
        <v/>
      </c>
      <c r="Q223">
        <f>IF(ISNUMBER(FIND($Q$3,$B224)),MAXA($Q$4:Q222)+1,0)</f>
        <v>219</v>
      </c>
      <c r="R223" t="str">
        <f>IFERROR(INDEX($B$5:$Q$625,MATCH(ROWS($R$5:$R223),$Q$5:$Q$625,0),1),"")</f>
        <v>7803-51-2</v>
      </c>
    </row>
    <row r="224" spans="2:18" x14ac:dyDescent="0.2">
      <c r="B224" s="225" t="s">
        <v>813</v>
      </c>
      <c r="C224" s="226" t="s">
        <v>814</v>
      </c>
      <c r="D224" s="227"/>
      <c r="E224" s="227">
        <v>0.1</v>
      </c>
      <c r="F224" s="227"/>
      <c r="G224" s="226"/>
      <c r="H224" s="227"/>
      <c r="I224" s="227"/>
      <c r="J224" s="227"/>
      <c r="K224" s="228"/>
      <c r="O224">
        <f>IF(ISNUMBER(FIND($O$3,$C225)),MAXA($O$4:O223)+1,0)</f>
        <v>0</v>
      </c>
      <c r="P224" t="str">
        <f>IFERROR(INDEX($B$5:$O$625,MATCH(ROWS($P$5:$P224),$O$5:$O$625,0),2),"")</f>
        <v/>
      </c>
      <c r="Q224">
        <f>IF(ISNUMBER(FIND($Q$3,$B225)),MAXA($Q$4:Q223)+1,0)</f>
        <v>220</v>
      </c>
      <c r="R224" t="str">
        <f>IFERROR(INDEX($B$5:$Q$625,MATCH(ROWS($R$5:$R224),$Q$5:$Q$625,0),1),"")</f>
        <v>7723-14-0</v>
      </c>
    </row>
    <row r="225" spans="2:18" x14ac:dyDescent="0.2">
      <c r="B225" s="225" t="s">
        <v>815</v>
      </c>
      <c r="C225" s="226" t="s">
        <v>816</v>
      </c>
      <c r="D225" s="227"/>
      <c r="E225" s="227">
        <v>1</v>
      </c>
      <c r="F225" s="227"/>
      <c r="G225" s="226"/>
      <c r="H225" s="227"/>
      <c r="I225" s="227"/>
      <c r="J225" s="227"/>
      <c r="K225" s="228"/>
      <c r="O225">
        <f>IF(ISNUMBER(FIND($O$3,$C226)),MAXA($O$4:O224)+1,0)</f>
        <v>0</v>
      </c>
      <c r="P225" t="str">
        <f>IFERROR(INDEX($B$5:$O$625,MATCH(ROWS($P$5:$P225),$O$5:$O$625,0),2),"")</f>
        <v/>
      </c>
      <c r="Q225">
        <f>IF(ISNUMBER(FIND($Q$3,$B226)),MAXA($Q$4:Q224)+1,0)</f>
        <v>221</v>
      </c>
      <c r="R225" t="str">
        <f>IFERROR(INDEX($B$5:$Q$625,MATCH(ROWS($R$5:$R225),$Q$5:$Q$625,0),1),"")</f>
        <v>10026-13-8</v>
      </c>
    </row>
    <row r="226" spans="2:18" x14ac:dyDescent="0.2">
      <c r="B226" s="225" t="s">
        <v>817</v>
      </c>
      <c r="C226" s="226" t="s">
        <v>818</v>
      </c>
      <c r="D226" s="227"/>
      <c r="E226" s="227">
        <v>1</v>
      </c>
      <c r="F226" s="227"/>
      <c r="G226" s="226"/>
      <c r="H226" s="227"/>
      <c r="I226" s="227"/>
      <c r="J226" s="227"/>
      <c r="K226" s="228"/>
      <c r="O226">
        <f>IF(ISNUMBER(FIND($O$3,$C227)),MAXA($O$4:O225)+1,0)</f>
        <v>0</v>
      </c>
      <c r="P226" t="str">
        <f>IFERROR(INDEX($B$5:$O$625,MATCH(ROWS($P$5:$P226),$O$5:$O$625,0),2),"")</f>
        <v/>
      </c>
      <c r="Q226">
        <f>IF(ISNUMBER(FIND($Q$3,$B227)),MAXA($Q$4:Q225)+1,0)</f>
        <v>222</v>
      </c>
      <c r="R226" t="str">
        <f>IFERROR(INDEX($B$5:$Q$625,MATCH(ROWS($R$5:$R226),$Q$5:$Q$625,0),1),"")</f>
        <v>1314-80-3</v>
      </c>
    </row>
    <row r="227" spans="2:18" x14ac:dyDescent="0.2">
      <c r="B227" s="225" t="s">
        <v>819</v>
      </c>
      <c r="C227" s="226" t="s">
        <v>820</v>
      </c>
      <c r="D227" s="227"/>
      <c r="E227" s="227">
        <v>1</v>
      </c>
      <c r="F227" s="227"/>
      <c r="G227" s="226"/>
      <c r="H227" s="227"/>
      <c r="I227" s="227"/>
      <c r="J227" s="227"/>
      <c r="K227" s="228"/>
      <c r="O227">
        <f>IF(ISNUMBER(FIND($O$3,$C228)),MAXA($O$4:O226)+1,0)</f>
        <v>0</v>
      </c>
      <c r="P227" t="str">
        <f>IFERROR(INDEX($B$5:$O$625,MATCH(ROWS($P$5:$P227),$O$5:$O$625,0),2),"")</f>
        <v/>
      </c>
      <c r="Q227">
        <f>IF(ISNUMBER(FIND($Q$3,$B228)),MAXA($Q$4:Q226)+1,0)</f>
        <v>223</v>
      </c>
      <c r="R227" t="str">
        <f>IFERROR(INDEX($B$5:$Q$625,MATCH(ROWS($R$5:$R227),$Q$5:$Q$625,0),1),"")</f>
        <v>7664-38-2</v>
      </c>
    </row>
    <row r="228" spans="2:18" x14ac:dyDescent="0.2">
      <c r="B228" s="225">
        <v>2125683</v>
      </c>
      <c r="C228" s="226" t="s">
        <v>821</v>
      </c>
      <c r="D228" s="227">
        <v>0.2</v>
      </c>
      <c r="E228" s="227">
        <v>1.5</v>
      </c>
      <c r="F228" s="227"/>
      <c r="G228" s="226"/>
      <c r="H228" s="227"/>
      <c r="I228" s="227"/>
      <c r="J228" s="227"/>
      <c r="K228" s="228"/>
      <c r="O228">
        <f>IF(ISNUMBER(FIND($O$3,$C229)),MAXA($O$4:O227)+1,0)</f>
        <v>0</v>
      </c>
      <c r="P228" t="str">
        <f>IFERROR(INDEX($B$5:$O$625,MATCH(ROWS($P$5:$P228),$O$5:$O$625,0),2),"")</f>
        <v/>
      </c>
      <c r="Q228">
        <f>IF(ISNUMBER(FIND($Q$3,$B229)),MAXA($Q$4:Q227)+1,0)</f>
        <v>224</v>
      </c>
      <c r="R228">
        <f>IFERROR(INDEX($B$5:$Q$625,MATCH(ROWS($R$5:$R228),$Q$5:$Q$625,0),1),"")</f>
        <v>2125683</v>
      </c>
    </row>
    <row r="229" spans="2:18" x14ac:dyDescent="0.2">
      <c r="B229" s="225" t="s">
        <v>822</v>
      </c>
      <c r="C229" s="226" t="s">
        <v>823</v>
      </c>
      <c r="D229" s="227">
        <v>0.01</v>
      </c>
      <c r="E229" s="227">
        <v>6.4000000000000001E-2</v>
      </c>
      <c r="F229" s="227"/>
      <c r="G229" s="226"/>
      <c r="H229" s="227"/>
      <c r="I229" s="227"/>
      <c r="J229" s="227"/>
      <c r="K229" s="228"/>
      <c r="O229">
        <f>IF(ISNUMBER(FIND($O$3,$C230)),MAXA($O$4:O228)+1,0)</f>
        <v>0</v>
      </c>
      <c r="P229" t="str">
        <f>IFERROR(INDEX($B$5:$O$625,MATCH(ROWS($P$5:$P229),$O$5:$O$625,0),2),"")</f>
        <v/>
      </c>
      <c r="Q229">
        <f>IF(ISNUMBER(FIND($Q$3,$B230)),MAXA($Q$4:Q228)+1,0)</f>
        <v>225</v>
      </c>
      <c r="R229" t="str">
        <f>IFERROR(INDEX($B$5:$Q$625,MATCH(ROWS($R$5:$R229),$Q$5:$Q$625,0),1),"")</f>
        <v>10025-87-3</v>
      </c>
    </row>
    <row r="230" spans="2:18" x14ac:dyDescent="0.2">
      <c r="B230" s="225" t="s">
        <v>824</v>
      </c>
      <c r="C230" s="226" t="s">
        <v>825</v>
      </c>
      <c r="D230" s="227">
        <v>0.05</v>
      </c>
      <c r="E230" s="227">
        <v>0.2</v>
      </c>
      <c r="F230" s="227"/>
      <c r="G230" s="226"/>
      <c r="H230" s="227"/>
      <c r="I230" s="227">
        <v>0.05</v>
      </c>
      <c r="J230" s="227">
        <v>0.2</v>
      </c>
      <c r="K230" s="228"/>
      <c r="O230">
        <f>IF(ISNUMBER(FIND($O$3,$C231)),MAXA($O$4:O229)+1,0)</f>
        <v>0</v>
      </c>
      <c r="P230" t="str">
        <f>IFERROR(INDEX($B$5:$O$625,MATCH(ROWS($P$5:$P230),$O$5:$O$625,0),2),"")</f>
        <v/>
      </c>
      <c r="Q230">
        <f>IF(ISNUMBER(FIND($Q$3,$B231)),MAXA($Q$4:Q229)+1,0)</f>
        <v>226</v>
      </c>
      <c r="R230" t="str">
        <f>IFERROR(INDEX($B$5:$Q$625,MATCH(ROWS($R$5:$R230),$Q$5:$Q$625,0),1),"")</f>
        <v>75-44-5</v>
      </c>
    </row>
    <row r="231" spans="2:18" x14ac:dyDescent="0.2">
      <c r="B231" s="225" t="s">
        <v>826</v>
      </c>
      <c r="C231" s="226" t="s">
        <v>827</v>
      </c>
      <c r="D231" s="227"/>
      <c r="E231" s="227">
        <v>5</v>
      </c>
      <c r="F231" s="227"/>
      <c r="G231" s="226"/>
      <c r="H231" s="227"/>
      <c r="I231" s="227"/>
      <c r="J231" s="227"/>
      <c r="K231" s="228"/>
      <c r="O231">
        <f>IF(ISNUMBER(FIND($O$3,$C232)),MAXA($O$4:O230)+1,0)</f>
        <v>0</v>
      </c>
      <c r="P231" t="str">
        <f>IFERROR(INDEX($B$5:$O$625,MATCH(ROWS($P$5:$P231),$O$5:$O$625,0),2),"")</f>
        <v/>
      </c>
      <c r="Q231">
        <f>IF(ISNUMBER(FIND($Q$3,$B232)),MAXA($Q$4:Q230)+1,0)</f>
        <v>227</v>
      </c>
      <c r="R231" t="str">
        <f>IFERROR(INDEX($B$5:$Q$625,MATCH(ROWS($R$5:$R231),$Q$5:$Q$625,0),1),"")</f>
        <v>626-17-5</v>
      </c>
    </row>
    <row r="232" spans="2:18" x14ac:dyDescent="0.2">
      <c r="B232" s="225" t="s">
        <v>828</v>
      </c>
      <c r="C232" s="226" t="s">
        <v>829</v>
      </c>
      <c r="D232" s="227"/>
      <c r="E232" s="227">
        <v>2</v>
      </c>
      <c r="F232" s="227"/>
      <c r="G232" s="226"/>
      <c r="H232" s="227"/>
      <c r="I232" s="227"/>
      <c r="J232" s="227"/>
      <c r="K232" s="228"/>
      <c r="O232">
        <f>IF(ISNUMBER(FIND($O$3,$C233)),MAXA($O$4:O231)+1,0)</f>
        <v>0</v>
      </c>
      <c r="P232" t="str">
        <f>IFERROR(INDEX($B$5:$O$625,MATCH(ROWS($P$5:$P232),$O$5:$O$625,0),2),"")</f>
        <v/>
      </c>
      <c r="Q232">
        <f>IF(ISNUMBER(FIND($Q$3,$B233)),MAXA($Q$4:Q231)+1,0)</f>
        <v>228</v>
      </c>
      <c r="R232" t="str">
        <f>IFERROR(INDEX($B$5:$Q$625,MATCH(ROWS($R$5:$R232),$Q$5:$Q$625,0),1),"")</f>
        <v>85-44-9</v>
      </c>
    </row>
    <row r="233" spans="2:18" x14ac:dyDescent="0.2">
      <c r="B233" s="225" t="s">
        <v>830</v>
      </c>
      <c r="C233" s="226" t="s">
        <v>831</v>
      </c>
      <c r="D233" s="227">
        <v>2</v>
      </c>
      <c r="E233" s="227">
        <v>8</v>
      </c>
      <c r="F233" s="227"/>
      <c r="G233" s="226"/>
      <c r="H233" s="227"/>
      <c r="I233" s="227"/>
      <c r="J233" s="227"/>
      <c r="K233" s="228"/>
      <c r="O233">
        <f>IF(ISNUMBER(FIND($O$3,$C234)),MAXA($O$4:O232)+1,0)</f>
        <v>0</v>
      </c>
      <c r="P233" t="str">
        <f>IFERROR(INDEX($B$5:$O$625,MATCH(ROWS($P$5:$P233),$O$5:$O$625,0),2),"")</f>
        <v/>
      </c>
      <c r="Q233">
        <f>IF(ISNUMBER(FIND($Q$3,$B234)),MAXA($Q$4:Q232)+1,0)</f>
        <v>229</v>
      </c>
      <c r="R233" t="str">
        <f>IFERROR(INDEX($B$5:$Q$625,MATCH(ROWS($R$5:$R233),$Q$5:$Q$625,0),1),"")</f>
        <v>98-01-1</v>
      </c>
    </row>
    <row r="234" spans="2:18" x14ac:dyDescent="0.2">
      <c r="B234" s="225" t="s">
        <v>832</v>
      </c>
      <c r="C234" s="226" t="s">
        <v>833</v>
      </c>
      <c r="D234" s="227">
        <v>5</v>
      </c>
      <c r="E234" s="227">
        <v>20</v>
      </c>
      <c r="F234" s="227"/>
      <c r="G234" s="226"/>
      <c r="H234" s="227"/>
      <c r="I234" s="227"/>
      <c r="J234" s="227"/>
      <c r="K234" s="228"/>
      <c r="O234">
        <f>IF(ISNUMBER(FIND($O$3,$C235)),MAXA($O$4:O233)+1,0)</f>
        <v>0</v>
      </c>
      <c r="P234" t="str">
        <f>IFERROR(INDEX($B$5:$O$625,MATCH(ROWS($P$5:$P234),$O$5:$O$625,0),2),"")</f>
        <v/>
      </c>
      <c r="Q234">
        <f>IF(ISNUMBER(FIND($Q$3,$B235)),MAXA($Q$4:Q233)+1,0)</f>
        <v>230</v>
      </c>
      <c r="R234" t="str">
        <f>IFERROR(INDEX($B$5:$Q$625,MATCH(ROWS($R$5:$R234),$Q$5:$Q$625,0),1),"")</f>
        <v>98-00-0</v>
      </c>
    </row>
    <row r="235" spans="2:18" x14ac:dyDescent="0.2">
      <c r="B235" s="225" t="s">
        <v>834</v>
      </c>
      <c r="C235" s="226" t="s">
        <v>835</v>
      </c>
      <c r="D235" s="227">
        <v>0.2</v>
      </c>
      <c r="E235" s="227">
        <v>0.6</v>
      </c>
      <c r="F235" s="227"/>
      <c r="G235" s="226"/>
      <c r="H235" s="227"/>
      <c r="I235" s="227"/>
      <c r="J235" s="227"/>
      <c r="K235" s="228"/>
      <c r="O235">
        <f>IF(ISNUMBER(FIND($O$3,$C236)),MAXA($O$4:O234)+1,0)</f>
        <v>0</v>
      </c>
      <c r="P235" t="str">
        <f>IFERROR(INDEX($B$5:$O$625,MATCH(ROWS($P$5:$P235),$O$5:$O$625,0),2),"")</f>
        <v/>
      </c>
      <c r="Q235">
        <f>IF(ISNUMBER(FIND($Q$3,$B236)),MAXA($Q$4:Q234)+1,0)</f>
        <v>231</v>
      </c>
      <c r="R235" t="str">
        <f>IFERROR(INDEX($B$5:$Q$625,MATCH(ROWS($R$5:$R235),$Q$5:$Q$625,0),1),"")</f>
        <v>7782-65-2</v>
      </c>
    </row>
    <row r="236" spans="2:18" x14ac:dyDescent="0.2">
      <c r="B236" s="225"/>
      <c r="C236" s="226" t="s">
        <v>836</v>
      </c>
      <c r="D236" s="227"/>
      <c r="E236" s="227">
        <v>5</v>
      </c>
      <c r="F236" s="227"/>
      <c r="G236" s="226"/>
      <c r="H236" s="227"/>
      <c r="I236" s="227"/>
      <c r="J236" s="227"/>
      <c r="K236" s="228"/>
      <c r="O236">
        <f>IF(ISNUMBER(FIND($O$3,$C237)),MAXA($O$4:O235)+1,0)</f>
        <v>0</v>
      </c>
      <c r="P236" t="str">
        <f>IFERROR(INDEX($B$5:$O$625,MATCH(ROWS($P$5:$P236),$O$5:$O$625,0),2),"")</f>
        <v/>
      </c>
      <c r="Q236">
        <f>IF(ISNUMBER(FIND($Q$3,$B237)),MAXA($Q$4:Q235)+1,0)</f>
        <v>232</v>
      </c>
      <c r="R236">
        <f>IFERROR(INDEX($B$5:$Q$625,MATCH(ROWS($R$5:$R236),$Q$5:$Q$625,0),1),"")</f>
        <v>0</v>
      </c>
    </row>
    <row r="237" spans="2:18" x14ac:dyDescent="0.2">
      <c r="B237" s="225"/>
      <c r="C237" s="226" t="s">
        <v>837</v>
      </c>
      <c r="D237" s="227"/>
      <c r="E237" s="227">
        <v>6</v>
      </c>
      <c r="F237" s="227"/>
      <c r="G237" s="226"/>
      <c r="H237" s="227"/>
      <c r="I237" s="227"/>
      <c r="J237" s="227"/>
      <c r="K237" s="228"/>
      <c r="O237">
        <f>IF(ISNUMBER(FIND($O$3,$C238)),MAXA($O$4:O236)+1,0)</f>
        <v>0</v>
      </c>
      <c r="P237" t="str">
        <f>IFERROR(INDEX($B$5:$O$625,MATCH(ROWS($P$5:$P237),$O$5:$O$625,0),2),"")</f>
        <v/>
      </c>
      <c r="Q237">
        <f>IF(ISNUMBER(FIND($Q$3,$B238)),MAXA($Q$4:Q236)+1,0)</f>
        <v>233</v>
      </c>
      <c r="R237">
        <f>IFERROR(INDEX($B$5:$Q$625,MATCH(ROWS($R$5:$R237),$Q$5:$Q$625,0),1),"")</f>
        <v>0</v>
      </c>
    </row>
    <row r="238" spans="2:18" x14ac:dyDescent="0.2">
      <c r="B238" s="225"/>
      <c r="C238" s="226" t="s">
        <v>838</v>
      </c>
      <c r="D238" s="227"/>
      <c r="E238" s="227">
        <v>3</v>
      </c>
      <c r="F238" s="227"/>
      <c r="G238" s="226"/>
      <c r="H238" s="227"/>
      <c r="I238" s="227"/>
      <c r="J238" s="227"/>
      <c r="K238" s="228"/>
      <c r="O238">
        <f>IF(ISNUMBER(FIND($O$3,$C239)),MAXA($O$4:O237)+1,0)</f>
        <v>0</v>
      </c>
      <c r="P238" t="str">
        <f>IFERROR(INDEX($B$5:$O$625,MATCH(ROWS($P$5:$P238),$O$5:$O$625,0),2),"")</f>
        <v/>
      </c>
      <c r="Q238">
        <f>IF(ISNUMBER(FIND($Q$3,$B239)),MAXA($Q$4:Q237)+1,0)</f>
        <v>234</v>
      </c>
      <c r="R238">
        <f>IFERROR(INDEX($B$5:$Q$625,MATCH(ROWS($R$5:$R238),$Q$5:$Q$625,0),1),"")</f>
        <v>0</v>
      </c>
    </row>
    <row r="239" spans="2:18" x14ac:dyDescent="0.2">
      <c r="B239" s="225" t="s">
        <v>839</v>
      </c>
      <c r="C239" s="226" t="s">
        <v>840</v>
      </c>
      <c r="D239" s="227"/>
      <c r="E239" s="227"/>
      <c r="F239" s="227"/>
      <c r="G239" s="226"/>
      <c r="H239" s="227"/>
      <c r="I239" s="227">
        <v>0.2</v>
      </c>
      <c r="J239" s="227">
        <v>0.8</v>
      </c>
      <c r="K239" s="228"/>
      <c r="O239">
        <f>IF(ISNUMBER(FIND($O$3,$C240)),MAXA($O$4:O238)+1,0)</f>
        <v>0</v>
      </c>
      <c r="P239" t="str">
        <f>IFERROR(INDEX($B$5:$O$625,MATCH(ROWS($P$5:$P239),$O$5:$O$625,0),2),"")</f>
        <v/>
      </c>
      <c r="Q239">
        <f>IF(ISNUMBER(FIND($Q$3,$B240)),MAXA($Q$4:Q238)+1,0)</f>
        <v>235</v>
      </c>
      <c r="R239" t="str">
        <f>IFERROR(INDEX($B$5:$Q$625,MATCH(ROWS($R$5:$R239),$Q$5:$Q$625,0),1),"")</f>
        <v>111-30-8</v>
      </c>
    </row>
    <row r="240" spans="2:18" x14ac:dyDescent="0.2">
      <c r="B240" s="225"/>
      <c r="C240" s="226" t="s">
        <v>841</v>
      </c>
      <c r="D240" s="227"/>
      <c r="E240" s="227"/>
      <c r="F240" s="227"/>
      <c r="G240" s="226"/>
      <c r="H240" s="227"/>
      <c r="I240" s="227"/>
      <c r="J240" s="227">
        <v>0.25</v>
      </c>
      <c r="K240" s="228"/>
      <c r="O240">
        <f>IF(ISNUMBER(FIND($O$3,$C241)),MAXA($O$4:O239)+1,0)</f>
        <v>0</v>
      </c>
      <c r="P240" t="str">
        <f>IFERROR(INDEX($B$5:$O$625,MATCH(ROWS($P$5:$P240),$O$5:$O$625,0),2),"")</f>
        <v/>
      </c>
      <c r="Q240">
        <f>IF(ISNUMBER(FIND($Q$3,$B241)),MAXA($Q$4:Q239)+1,0)</f>
        <v>236</v>
      </c>
      <c r="R240">
        <f>IFERROR(INDEX($B$5:$Q$625,MATCH(ROWS($R$5:$R240),$Q$5:$Q$625,0),1),"")</f>
        <v>0</v>
      </c>
    </row>
    <row r="241" spans="2:18" x14ac:dyDescent="0.2">
      <c r="B241" s="225" t="s">
        <v>842</v>
      </c>
      <c r="C241" s="226" t="s">
        <v>843</v>
      </c>
      <c r="D241" s="227">
        <v>0.03</v>
      </c>
      <c r="E241" s="227">
        <v>0.27</v>
      </c>
      <c r="F241" s="227"/>
      <c r="G241" s="226"/>
      <c r="H241" s="227"/>
      <c r="I241" s="227"/>
      <c r="J241" s="227"/>
      <c r="K241" s="228"/>
      <c r="O241">
        <f>IF(ISNUMBER(FIND($O$3,$C242)),MAXA($O$4:O240)+1,0)</f>
        <v>0</v>
      </c>
      <c r="P241" t="str">
        <f>IFERROR(INDEX($B$5:$O$625,MATCH(ROWS($P$5:$P241),$O$5:$O$625,0),2),"")</f>
        <v/>
      </c>
      <c r="Q241">
        <f>IF(ISNUMBER(FIND($Q$3,$B242)),MAXA($Q$4:Q240)+1,0)</f>
        <v>237</v>
      </c>
      <c r="R241" t="str">
        <f>IFERROR(INDEX($B$5:$Q$625,MATCH(ROWS($R$5:$R241),$Q$5:$Q$625,0),1),"")</f>
        <v>55-63-0</v>
      </c>
    </row>
    <row r="242" spans="2:18" x14ac:dyDescent="0.2">
      <c r="B242" s="225"/>
      <c r="C242" s="226" t="s">
        <v>844</v>
      </c>
      <c r="D242" s="227"/>
      <c r="E242" s="227">
        <v>5</v>
      </c>
      <c r="F242" s="227"/>
      <c r="G242" s="226"/>
      <c r="H242" s="227"/>
      <c r="I242" s="227"/>
      <c r="J242" s="227"/>
      <c r="K242" s="228"/>
      <c r="O242">
        <f>IF(ISNUMBER(FIND($O$3,$C243)),MAXA($O$4:O241)+1,0)</f>
        <v>0</v>
      </c>
      <c r="P242" t="str">
        <f>IFERROR(INDEX($B$5:$O$625,MATCH(ROWS($P$5:$P242),$O$5:$O$625,0),2),"")</f>
        <v/>
      </c>
      <c r="Q242">
        <f>IF(ISNUMBER(FIND($Q$3,$B243)),MAXA($Q$4:Q241)+1,0)</f>
        <v>238</v>
      </c>
      <c r="R242">
        <f>IFERROR(INDEX($B$5:$Q$625,MATCH(ROWS($R$5:$R242),$Q$5:$Q$625,0),1),"")</f>
        <v>0</v>
      </c>
    </row>
    <row r="243" spans="2:18" x14ac:dyDescent="0.2">
      <c r="B243" s="225"/>
      <c r="C243" s="226" t="s">
        <v>845</v>
      </c>
      <c r="D243" s="227"/>
      <c r="E243" s="227">
        <v>2</v>
      </c>
      <c r="F243" s="227"/>
      <c r="G243" s="226"/>
      <c r="H243" s="227"/>
      <c r="I243" s="227"/>
      <c r="J243" s="227"/>
      <c r="K243" s="228"/>
      <c r="O243">
        <f>IF(ISNUMBER(FIND($O$3,$C244)),MAXA($O$4:O242)+1,0)</f>
        <v>0</v>
      </c>
      <c r="P243" t="str">
        <f>IFERROR(INDEX($B$5:$O$625,MATCH(ROWS($P$5:$P243),$O$5:$O$625,0),2),"")</f>
        <v/>
      </c>
      <c r="Q243">
        <f>IF(ISNUMBER(FIND($Q$3,$B244)),MAXA($Q$4:Q242)+1,0)</f>
        <v>239</v>
      </c>
      <c r="R243">
        <f>IFERROR(INDEX($B$5:$Q$625,MATCH(ROWS($R$5:$R243),$Q$5:$Q$625,0),1),"")</f>
        <v>0</v>
      </c>
    </row>
    <row r="244" spans="2:18" x14ac:dyDescent="0.2">
      <c r="B244" s="225"/>
      <c r="C244" s="226" t="s">
        <v>846</v>
      </c>
      <c r="D244" s="227"/>
      <c r="E244" s="227">
        <v>10</v>
      </c>
      <c r="F244" s="227"/>
      <c r="G244" s="226"/>
      <c r="H244" s="227"/>
      <c r="I244" s="227"/>
      <c r="J244" s="227"/>
      <c r="K244" s="228"/>
      <c r="O244">
        <f>IF(ISNUMBER(FIND($O$3,$C245)),MAXA($O$4:O243)+1,0)</f>
        <v>0</v>
      </c>
      <c r="P244" t="str">
        <f>IFERROR(INDEX($B$5:$O$625,MATCH(ROWS($P$5:$P244),$O$5:$O$625,0),2),"")</f>
        <v/>
      </c>
      <c r="Q244">
        <f>IF(ISNUMBER(FIND($Q$3,$B245)),MAXA($Q$4:Q243)+1,0)</f>
        <v>240</v>
      </c>
      <c r="R244">
        <f>IFERROR(INDEX($B$5:$Q$625,MATCH(ROWS($R$5:$R244),$Q$5:$Q$625,0),1),"")</f>
        <v>0</v>
      </c>
    </row>
    <row r="245" spans="2:18" x14ac:dyDescent="0.2">
      <c r="B245" s="225"/>
      <c r="C245" s="226" t="s">
        <v>847</v>
      </c>
      <c r="D245" s="227"/>
      <c r="E245" s="227">
        <v>4</v>
      </c>
      <c r="F245" s="227"/>
      <c r="G245" s="226"/>
      <c r="H245" s="227"/>
      <c r="I245" s="227"/>
      <c r="J245" s="227"/>
      <c r="K245" s="228"/>
      <c r="O245">
        <f>IF(ISNUMBER(FIND($O$3,$C246)),MAXA($O$4:O244)+1,0)</f>
        <v>0</v>
      </c>
      <c r="P245" t="str">
        <f>IFERROR(INDEX($B$5:$O$625,MATCH(ROWS($P$5:$P245),$O$5:$O$625,0),2),"")</f>
        <v/>
      </c>
      <c r="Q245">
        <f>IF(ISNUMBER(FIND($Q$3,$B246)),MAXA($Q$4:Q244)+1,0)</f>
        <v>241</v>
      </c>
      <c r="R245">
        <f>IFERROR(INDEX($B$5:$Q$625,MATCH(ROWS($R$5:$R245),$Q$5:$Q$625,0),1),"")</f>
        <v>0</v>
      </c>
    </row>
    <row r="246" spans="2:18" x14ac:dyDescent="0.2">
      <c r="B246" s="225" t="s">
        <v>848</v>
      </c>
      <c r="C246" s="226" t="s">
        <v>849</v>
      </c>
      <c r="D246" s="227"/>
      <c r="E246" s="227">
        <v>0.5</v>
      </c>
      <c r="F246" s="227"/>
      <c r="G246" s="226"/>
      <c r="H246" s="227"/>
      <c r="I246" s="227"/>
      <c r="J246" s="227"/>
      <c r="K246" s="228"/>
      <c r="O246">
        <f>IF(ISNUMBER(FIND($O$3,$C247)),MAXA($O$4:O245)+1,0)</f>
        <v>0</v>
      </c>
      <c r="P246" t="str">
        <f>IFERROR(INDEX($B$5:$O$625,MATCH(ROWS($P$5:$P246),$O$5:$O$625,0),2),"")</f>
        <v/>
      </c>
      <c r="Q246">
        <f>IF(ISNUMBER(FIND($Q$3,$B247)),MAXA($Q$4:Q245)+1,0)</f>
        <v>242</v>
      </c>
      <c r="R246" t="str">
        <f>IFERROR(INDEX($B$5:$Q$625,MATCH(ROWS($R$5:$R246),$Q$5:$Q$625,0),1),"")</f>
        <v>7440-58-6</v>
      </c>
    </row>
    <row r="247" spans="2:18" x14ac:dyDescent="0.2">
      <c r="B247" s="225" t="s">
        <v>850</v>
      </c>
      <c r="C247" s="226" t="s">
        <v>851</v>
      </c>
      <c r="D247" s="227">
        <v>0.02</v>
      </c>
      <c r="E247" s="227">
        <v>0.2</v>
      </c>
      <c r="F247" s="227"/>
      <c r="G247" s="226"/>
      <c r="H247" s="227"/>
      <c r="I247" s="227"/>
      <c r="J247" s="227"/>
      <c r="K247" s="228"/>
      <c r="O247">
        <f>IF(ISNUMBER(FIND($O$3,$C248)),MAXA($O$4:O246)+1,0)</f>
        <v>0</v>
      </c>
      <c r="P247" t="str">
        <f>IFERROR(INDEX($B$5:$O$625,MATCH(ROWS($P$5:$P247),$O$5:$O$625,0),2),"")</f>
        <v/>
      </c>
      <c r="Q247">
        <f>IF(ISNUMBER(FIND($Q$3,$B248)),MAXA($Q$4:Q246)+1,0)</f>
        <v>243</v>
      </c>
      <c r="R247" t="str">
        <f>IFERROR(INDEX($B$5:$Q$625,MATCH(ROWS($R$5:$R247),$Q$5:$Q$625,0),1),"")</f>
        <v>151-67-7</v>
      </c>
    </row>
    <row r="248" spans="2:18" x14ac:dyDescent="0.2">
      <c r="B248" s="225" t="s">
        <v>852</v>
      </c>
      <c r="C248" s="226" t="s">
        <v>853</v>
      </c>
      <c r="D248" s="227">
        <v>0.1</v>
      </c>
      <c r="E248" s="227">
        <v>0.7</v>
      </c>
      <c r="F248" s="227"/>
      <c r="G248" s="226"/>
      <c r="H248" s="227"/>
      <c r="I248" s="227"/>
      <c r="J248" s="227"/>
      <c r="K248" s="228"/>
      <c r="O248">
        <f>IF(ISNUMBER(FIND($O$3,$C249)),MAXA($O$4:O247)+1,0)</f>
        <v>0</v>
      </c>
      <c r="P248" t="str">
        <f>IFERROR(INDEX($B$5:$O$625,MATCH(ROWS($P$5:$P248),$O$5:$O$625,0),2),"")</f>
        <v/>
      </c>
      <c r="Q248">
        <f>IF(ISNUMBER(FIND($Q$3,$B249)),MAXA($Q$4:Q247)+1,0)</f>
        <v>244</v>
      </c>
      <c r="R248" t="str">
        <f>IFERROR(INDEX($B$5:$Q$625,MATCH(ROWS($R$5:$R248),$Q$5:$Q$625,0),1),"")</f>
        <v>684-16-2</v>
      </c>
    </row>
    <row r="249" spans="2:18" x14ac:dyDescent="0.2">
      <c r="B249" s="225" t="s">
        <v>854</v>
      </c>
      <c r="C249" s="226" t="s">
        <v>855</v>
      </c>
      <c r="D249" s="227">
        <v>0.02</v>
      </c>
      <c r="E249" s="227">
        <v>0.24</v>
      </c>
      <c r="F249" s="227"/>
      <c r="G249" s="226"/>
      <c r="H249" s="227"/>
      <c r="I249" s="227"/>
      <c r="J249" s="227"/>
      <c r="K249" s="228"/>
      <c r="O249">
        <f>IF(ISNUMBER(FIND($O$3,$C250)),MAXA($O$4:O248)+1,0)</f>
        <v>0</v>
      </c>
      <c r="P249" t="str">
        <f>IFERROR(INDEX($B$5:$O$625,MATCH(ROWS($P$5:$P249),$O$5:$O$625,0),2),"")</f>
        <v/>
      </c>
      <c r="Q249">
        <f>IF(ISNUMBER(FIND($Q$3,$B250)),MAXA($Q$4:Q248)+1,0)</f>
        <v>245</v>
      </c>
      <c r="R249" t="str">
        <f>IFERROR(INDEX($B$5:$Q$625,MATCH(ROWS($R$5:$R249),$Q$5:$Q$625,0),1),"")</f>
        <v>87-68-3</v>
      </c>
    </row>
    <row r="250" spans="2:18" x14ac:dyDescent="0.2">
      <c r="B250" s="225" t="s">
        <v>856</v>
      </c>
      <c r="C250" s="226" t="s">
        <v>857</v>
      </c>
      <c r="D250" s="227">
        <v>1</v>
      </c>
      <c r="E250" s="227">
        <v>10</v>
      </c>
      <c r="F250" s="227"/>
      <c r="G250" s="226"/>
      <c r="H250" s="227"/>
      <c r="I250" s="227"/>
      <c r="J250" s="227"/>
      <c r="K250" s="228"/>
      <c r="O250">
        <f>IF(ISNUMBER(FIND($O$3,$C251)),MAXA($O$4:O249)+1,0)</f>
        <v>0</v>
      </c>
      <c r="P250" t="str">
        <f>IFERROR(INDEX($B$5:$O$625,MATCH(ROWS($P$5:$P250),$O$5:$O$625,0),2),"")</f>
        <v/>
      </c>
      <c r="Q250">
        <f>IF(ISNUMBER(FIND($Q$3,$B251)),MAXA($Q$4:Q249)+1,0)</f>
        <v>246</v>
      </c>
      <c r="R250" t="str">
        <f>IFERROR(INDEX($B$5:$Q$625,MATCH(ROWS($R$5:$R250),$Q$5:$Q$625,0),1),"")</f>
        <v>67-72-1</v>
      </c>
    </row>
    <row r="251" spans="2:18" x14ac:dyDescent="0.2">
      <c r="B251" s="225" t="s">
        <v>858</v>
      </c>
      <c r="C251" s="226" t="s">
        <v>859</v>
      </c>
      <c r="D251" s="227"/>
      <c r="E251" s="227">
        <v>0.2</v>
      </c>
      <c r="F251" s="227"/>
      <c r="G251" s="226"/>
      <c r="H251" s="227"/>
      <c r="I251" s="227"/>
      <c r="J251" s="227"/>
      <c r="K251" s="228"/>
      <c r="O251">
        <f>IF(ISNUMBER(FIND($O$3,$C252)),MAXA($O$4:O250)+1,0)</f>
        <v>0</v>
      </c>
      <c r="P251" t="str">
        <f>IFERROR(INDEX($B$5:$O$625,MATCH(ROWS($P$5:$P251),$O$5:$O$625,0),2),"")</f>
        <v/>
      </c>
      <c r="Q251">
        <f>IF(ISNUMBER(FIND($Q$3,$B252)),MAXA($Q$4:Q250)+1,0)</f>
        <v>247</v>
      </c>
      <c r="R251" t="str">
        <f>IFERROR(INDEX($B$5:$Q$625,MATCH(ROWS($R$5:$R251),$Q$5:$Q$625,0),1),"")</f>
        <v>1335-87-1</v>
      </c>
    </row>
    <row r="252" spans="2:18" x14ac:dyDescent="0.2">
      <c r="B252" s="225" t="s">
        <v>860</v>
      </c>
      <c r="C252" s="226" t="s">
        <v>861</v>
      </c>
      <c r="D252" s="227">
        <v>0.01</v>
      </c>
      <c r="E252" s="227">
        <v>0.1</v>
      </c>
      <c r="F252" s="227"/>
      <c r="G252" s="226"/>
      <c r="H252" s="227"/>
      <c r="I252" s="227"/>
      <c r="J252" s="227"/>
      <c r="K252" s="228"/>
      <c r="O252">
        <f>IF(ISNUMBER(FIND($O$3,$C253)),MAXA($O$4:O251)+1,0)</f>
        <v>0</v>
      </c>
      <c r="P252" t="str">
        <f>IFERROR(INDEX($B$5:$O$625,MATCH(ROWS($P$5:$P252),$O$5:$O$625,0),2),"")</f>
        <v/>
      </c>
      <c r="Q252">
        <f>IF(ISNUMBER(FIND($Q$3,$B253)),MAXA($Q$4:Q251)+1,0)</f>
        <v>248</v>
      </c>
      <c r="R252" t="str">
        <f>IFERROR(INDEX($B$5:$Q$625,MATCH(ROWS($R$5:$R252),$Q$5:$Q$625,0),1),"")</f>
        <v>77-47-4</v>
      </c>
    </row>
    <row r="253" spans="2:18" x14ac:dyDescent="0.2">
      <c r="B253" s="225" t="s">
        <v>862</v>
      </c>
      <c r="C253" s="226" t="s">
        <v>863</v>
      </c>
      <c r="D253" s="227"/>
      <c r="E253" s="227">
        <v>3</v>
      </c>
      <c r="F253" s="227"/>
      <c r="G253" s="226"/>
      <c r="H253" s="227"/>
      <c r="I253" s="227"/>
      <c r="J253" s="227"/>
      <c r="K253" s="228"/>
      <c r="O253">
        <f>IF(ISNUMBER(FIND($O$3,$C254)),MAXA($O$4:O252)+1,0)</f>
        <v>0</v>
      </c>
      <c r="P253" t="str">
        <f>IFERROR(INDEX($B$5:$O$625,MATCH(ROWS($P$5:$P253),$O$5:$O$625,0),2),"")</f>
        <v/>
      </c>
      <c r="Q253">
        <f>IF(ISNUMBER(FIND($Q$3,$B254)),MAXA($Q$4:Q252)+1,0)</f>
        <v>249</v>
      </c>
      <c r="R253" t="str">
        <f>IFERROR(INDEX($B$5:$Q$625,MATCH(ROWS($R$5:$R253),$Q$5:$Q$625,0),1),"")</f>
        <v>100-97-0</v>
      </c>
    </row>
    <row r="254" spans="2:18" x14ac:dyDescent="0.2">
      <c r="B254" s="225" t="s">
        <v>864</v>
      </c>
      <c r="C254" s="226" t="s">
        <v>865</v>
      </c>
      <c r="D254" s="227">
        <v>20</v>
      </c>
      <c r="E254" s="227">
        <v>72</v>
      </c>
      <c r="F254" s="227"/>
      <c r="G254" s="226"/>
      <c r="H254" s="227"/>
      <c r="I254" s="227"/>
      <c r="J254" s="227"/>
      <c r="K254" s="228"/>
      <c r="O254">
        <f>IF(ISNUMBER(FIND($O$3,$C255)),MAXA($O$4:O253)+1,0)</f>
        <v>0</v>
      </c>
      <c r="P254" t="str">
        <f>IFERROR(INDEX($B$5:$O$625,MATCH(ROWS($P$5:$P254),$O$5:$O$625,0),2),"")</f>
        <v/>
      </c>
      <c r="Q254">
        <f>IF(ISNUMBER(FIND($Q$3,$B255)),MAXA($Q$4:Q253)+1,0)</f>
        <v>250</v>
      </c>
      <c r="R254" t="str">
        <f>IFERROR(INDEX($B$5:$Q$625,MATCH(ROWS($R$5:$R254),$Q$5:$Q$625,0),1),"")</f>
        <v>110-54-3</v>
      </c>
    </row>
    <row r="255" spans="2:18" x14ac:dyDescent="0.2">
      <c r="B255" s="225"/>
      <c r="C255" s="226" t="s">
        <v>866</v>
      </c>
      <c r="D255" s="227">
        <v>250</v>
      </c>
      <c r="E255" s="227">
        <v>1050</v>
      </c>
      <c r="F255" s="227"/>
      <c r="G255" s="226"/>
      <c r="H255" s="227"/>
      <c r="I255" s="227"/>
      <c r="J255" s="227"/>
      <c r="K255" s="228"/>
      <c r="O255">
        <f>IF(ISNUMBER(FIND($O$3,$C256)),MAXA($O$4:O254)+1,0)</f>
        <v>0</v>
      </c>
      <c r="P255" t="str">
        <f>IFERROR(INDEX($B$5:$O$625,MATCH(ROWS($P$5:$P255),$O$5:$O$625,0),2),"")</f>
        <v/>
      </c>
      <c r="Q255">
        <f>IF(ISNUMBER(FIND($Q$3,$B256)),MAXA($Q$4:Q254)+1,0)</f>
        <v>251</v>
      </c>
      <c r="R255">
        <f>IFERROR(INDEX($B$5:$Q$625,MATCH(ROWS($R$5:$R255),$Q$5:$Q$625,0),1),"")</f>
        <v>0</v>
      </c>
    </row>
    <row r="256" spans="2:18" x14ac:dyDescent="0.2">
      <c r="B256" s="225" t="s">
        <v>867</v>
      </c>
      <c r="C256" s="226" t="s">
        <v>868</v>
      </c>
      <c r="D256" s="227"/>
      <c r="E256" s="227"/>
      <c r="F256" s="227"/>
      <c r="G256" s="226"/>
      <c r="H256" s="227"/>
      <c r="I256" s="227">
        <v>0.5</v>
      </c>
      <c r="J256" s="227">
        <v>1</v>
      </c>
      <c r="K256" s="228"/>
      <c r="O256">
        <f>IF(ISNUMBER(FIND($O$3,$C257)),MAXA($O$4:O255)+1,0)</f>
        <v>0</v>
      </c>
      <c r="P256" t="str">
        <f>IFERROR(INDEX($B$5:$O$625,MATCH(ROWS($P$5:$P256),$O$5:$O$625,0),2),"")</f>
        <v/>
      </c>
      <c r="Q256">
        <f>IF(ISNUMBER(FIND($Q$3,$B257)),MAXA($Q$4:Q255)+1,0)</f>
        <v>252</v>
      </c>
      <c r="R256" t="str">
        <f>IFERROR(INDEX($B$5:$Q$625,MATCH(ROWS($R$5:$R256),$Q$5:$Q$625,0),1),"")</f>
        <v>124-09-4</v>
      </c>
    </row>
    <row r="257" spans="2:18" x14ac:dyDescent="0.2">
      <c r="B257" s="225" t="s">
        <v>869</v>
      </c>
      <c r="C257" s="226" t="s">
        <v>870</v>
      </c>
      <c r="D257" s="227">
        <v>5.0000000000000001E-3</v>
      </c>
      <c r="E257" s="227">
        <v>3.5000000000000003E-2</v>
      </c>
      <c r="F257" s="227"/>
      <c r="G257" s="226"/>
      <c r="H257" s="227"/>
      <c r="I257" s="227">
        <v>0.01</v>
      </c>
      <c r="J257" s="227"/>
      <c r="K257" s="228"/>
      <c r="O257">
        <f>IF(ISNUMBER(FIND($O$3,$C258)),MAXA($O$4:O256)+1,0)</f>
        <v>0</v>
      </c>
      <c r="P257" t="str">
        <f>IFERROR(INDEX($B$5:$O$625,MATCH(ROWS($P$5:$P257),$O$5:$O$625,0),2),"")</f>
        <v/>
      </c>
      <c r="Q257">
        <f>IF(ISNUMBER(FIND($Q$3,$B258)),MAXA($Q$4:Q256)+1,0)</f>
        <v>253</v>
      </c>
      <c r="R257" t="str">
        <f>IFERROR(INDEX($B$5:$Q$625,MATCH(ROWS($R$5:$R257),$Q$5:$Q$625,0),1),"")</f>
        <v>822-06-0</v>
      </c>
    </row>
    <row r="258" spans="2:18" x14ac:dyDescent="0.2">
      <c r="B258" s="225" t="s">
        <v>871</v>
      </c>
      <c r="C258" s="226" t="s">
        <v>872</v>
      </c>
      <c r="D258" s="227">
        <v>1</v>
      </c>
      <c r="E258" s="227">
        <v>4</v>
      </c>
      <c r="F258" s="227"/>
      <c r="G258" s="226"/>
      <c r="H258" s="227"/>
      <c r="I258" s="227"/>
      <c r="J258" s="227"/>
      <c r="K258" s="228"/>
      <c r="O258">
        <f>IF(ISNUMBER(FIND($O$3,$C259)),MAXA($O$4:O257)+1,0)</f>
        <v>0</v>
      </c>
      <c r="P258" t="str">
        <f>IFERROR(INDEX($B$5:$O$625,MATCH(ROWS($P$5:$P258),$O$5:$O$625,0),2),"")</f>
        <v/>
      </c>
      <c r="Q258">
        <f>IF(ISNUMBER(FIND($Q$3,$B259)),MAXA($Q$4:Q257)+1,0)</f>
        <v>254</v>
      </c>
      <c r="R258" t="str">
        <f>IFERROR(INDEX($B$5:$Q$625,MATCH(ROWS($R$5:$R258),$Q$5:$Q$625,0),1),"")</f>
        <v>591-78-6</v>
      </c>
    </row>
    <row r="259" spans="2:18" x14ac:dyDescent="0.2">
      <c r="B259" s="225" t="s">
        <v>873</v>
      </c>
      <c r="C259" s="226" t="s">
        <v>874</v>
      </c>
      <c r="D259" s="227"/>
      <c r="E259" s="227">
        <v>0.5</v>
      </c>
      <c r="F259" s="227"/>
      <c r="G259" s="226"/>
      <c r="H259" s="227"/>
      <c r="I259" s="227"/>
      <c r="J259" s="227"/>
      <c r="K259" s="228"/>
      <c r="O259">
        <f>IF(ISNUMBER(FIND($O$3,$C260)),MAXA($O$4:O258)+1,0)</f>
        <v>0</v>
      </c>
      <c r="P259" t="str">
        <f>IFERROR(INDEX($B$5:$O$625,MATCH(ROWS($P$5:$P259),$O$5:$O$625,0),2),"")</f>
        <v/>
      </c>
      <c r="Q259">
        <f>IF(ISNUMBER(FIND($Q$3,$B260)),MAXA($Q$4:Q258)+1,0)</f>
        <v>255</v>
      </c>
      <c r="R259" t="str">
        <f>IFERROR(INDEX($B$5:$Q$625,MATCH(ROWS($R$5:$R259),$Q$5:$Q$625,0),1),"")</f>
        <v>76-44-8</v>
      </c>
    </row>
    <row r="260" spans="2:18" x14ac:dyDescent="0.2">
      <c r="B260" s="225" t="s">
        <v>875</v>
      </c>
      <c r="C260" s="226" t="s">
        <v>876</v>
      </c>
      <c r="D260" s="227">
        <v>200</v>
      </c>
      <c r="E260" s="227">
        <v>800</v>
      </c>
      <c r="F260" s="227"/>
      <c r="G260" s="226"/>
      <c r="H260" s="227"/>
      <c r="I260" s="227"/>
      <c r="J260" s="227"/>
      <c r="K260" s="228"/>
      <c r="O260">
        <f>IF(ISNUMBER(FIND($O$3,$C261)),MAXA($O$4:O259)+1,0)</f>
        <v>0</v>
      </c>
      <c r="P260" t="str">
        <f>IFERROR(INDEX($B$5:$O$625,MATCH(ROWS($P$5:$P260),$O$5:$O$625,0),2),"")</f>
        <v/>
      </c>
      <c r="Q260">
        <f>IF(ISNUMBER(FIND($Q$3,$B261)),MAXA($Q$4:Q259)+1,0)</f>
        <v>256</v>
      </c>
      <c r="R260" t="str">
        <f>IFERROR(INDEX($B$5:$Q$625,MATCH(ROWS($R$5:$R260),$Q$5:$Q$625,0),1),"")</f>
        <v>142-82-5</v>
      </c>
    </row>
    <row r="261" spans="2:18" x14ac:dyDescent="0.2">
      <c r="B261" s="225" t="s">
        <v>877</v>
      </c>
      <c r="C261" s="226" t="s">
        <v>878</v>
      </c>
      <c r="D261" s="227">
        <v>25</v>
      </c>
      <c r="E261" s="227">
        <v>115</v>
      </c>
      <c r="F261" s="227"/>
      <c r="G261" s="226"/>
      <c r="H261" s="227"/>
      <c r="I261" s="227"/>
      <c r="J261" s="227"/>
      <c r="K261" s="228"/>
      <c r="O261">
        <f>IF(ISNUMBER(FIND($O$3,$C262)),MAXA($O$4:O260)+1,0)</f>
        <v>0</v>
      </c>
      <c r="P261" t="str">
        <f>IFERROR(INDEX($B$5:$O$625,MATCH(ROWS($P$5:$P261),$O$5:$O$625,0),2),"")</f>
        <v/>
      </c>
      <c r="Q261">
        <f>IF(ISNUMBER(FIND($Q$3,$B262)),MAXA($Q$4:Q260)+1,0)</f>
        <v>257</v>
      </c>
      <c r="R261" t="str">
        <f>IFERROR(INDEX($B$5:$Q$625,MATCH(ROWS($R$5:$R261),$Q$5:$Q$625,0),1),"")</f>
        <v>123-19-3</v>
      </c>
    </row>
    <row r="262" spans="2:18" x14ac:dyDescent="0.2">
      <c r="B262" s="225" t="s">
        <v>879</v>
      </c>
      <c r="C262" s="226" t="s">
        <v>880</v>
      </c>
      <c r="D262" s="227">
        <v>25</v>
      </c>
      <c r="E262" s="227">
        <v>115</v>
      </c>
      <c r="F262" s="227"/>
      <c r="G262" s="226"/>
      <c r="H262" s="227"/>
      <c r="I262" s="227"/>
      <c r="J262" s="227"/>
      <c r="K262" s="228"/>
      <c r="O262">
        <f>IF(ISNUMBER(FIND($O$3,$C263)),MAXA($O$4:O261)+1,0)</f>
        <v>0</v>
      </c>
      <c r="P262" t="str">
        <f>IFERROR(INDEX($B$5:$O$625,MATCH(ROWS($P$5:$P262),$O$5:$O$625,0),2),"")</f>
        <v/>
      </c>
      <c r="Q262">
        <f>IF(ISNUMBER(FIND($Q$3,$B263)),MAXA($Q$4:Q261)+1,0)</f>
        <v>258</v>
      </c>
      <c r="R262" t="str">
        <f>IFERROR(INDEX($B$5:$Q$625,MATCH(ROWS($R$5:$R262),$Q$5:$Q$625,0),1),"")</f>
        <v>110-43-0</v>
      </c>
    </row>
    <row r="263" spans="2:18" x14ac:dyDescent="0.2">
      <c r="B263" s="225" t="s">
        <v>881</v>
      </c>
      <c r="C263" s="226" t="s">
        <v>882</v>
      </c>
      <c r="D263" s="227">
        <v>20</v>
      </c>
      <c r="E263" s="227">
        <v>95</v>
      </c>
      <c r="F263" s="227"/>
      <c r="G263" s="226">
        <v>50</v>
      </c>
      <c r="H263" s="227">
        <v>250</v>
      </c>
      <c r="I263" s="227"/>
      <c r="J263" s="227"/>
      <c r="K263" s="228"/>
      <c r="O263">
        <f>IF(ISNUMBER(FIND($O$3,$C264)),MAXA($O$4:O262)+1,0)</f>
        <v>0</v>
      </c>
      <c r="P263" t="str">
        <f>IFERROR(INDEX($B$5:$O$625,MATCH(ROWS($P$5:$P263),$O$5:$O$625,0),2),"")</f>
        <v/>
      </c>
      <c r="Q263">
        <f>IF(ISNUMBER(FIND($Q$3,$B264)),MAXA($Q$4:Q262)+1,0)</f>
        <v>259</v>
      </c>
      <c r="R263" t="str">
        <f>IFERROR(INDEX($B$5:$Q$625,MATCH(ROWS($R$5:$R263),$Q$5:$Q$625,0),1),"")</f>
        <v>106-35-4</v>
      </c>
    </row>
    <row r="264" spans="2:18" x14ac:dyDescent="0.2">
      <c r="B264" s="225" t="s">
        <v>883</v>
      </c>
      <c r="C264" s="226" t="s">
        <v>884</v>
      </c>
      <c r="D264" s="227">
        <v>0.01</v>
      </c>
      <c r="E264" s="227">
        <v>0.01</v>
      </c>
      <c r="F264" s="227"/>
      <c r="G264" s="226"/>
      <c r="H264" s="227"/>
      <c r="I264" s="227"/>
      <c r="J264" s="227"/>
      <c r="K264" s="228"/>
      <c r="O264">
        <f>IF(ISNUMBER(FIND($O$3,$C265)),MAXA($O$4:O263)+1,0)</f>
        <v>0</v>
      </c>
      <c r="P264" t="str">
        <f>IFERROR(INDEX($B$5:$O$625,MATCH(ROWS($P$5:$P264),$O$5:$O$625,0),2),"")</f>
        <v/>
      </c>
      <c r="Q264">
        <f>IF(ISNUMBER(FIND($Q$3,$B265)),MAXA($Q$4:Q263)+1,0)</f>
        <v>260</v>
      </c>
      <c r="R264" t="str">
        <f>IFERROR(INDEX($B$5:$Q$625,MATCH(ROWS($R$5:$R264),$Q$5:$Q$625,0),1),"")</f>
        <v>302-01-2</v>
      </c>
    </row>
    <row r="265" spans="2:18" x14ac:dyDescent="0.2">
      <c r="B265" s="225" t="s">
        <v>885</v>
      </c>
      <c r="C265" s="226" t="s">
        <v>886</v>
      </c>
      <c r="D265" s="227"/>
      <c r="E265" s="227"/>
      <c r="F265" s="227"/>
      <c r="G265" s="226">
        <v>2</v>
      </c>
      <c r="H265" s="227">
        <v>7</v>
      </c>
      <c r="I265" s="227">
        <v>2</v>
      </c>
      <c r="J265" s="227">
        <v>7</v>
      </c>
      <c r="K265" s="228"/>
      <c r="O265">
        <f>IF(ISNUMBER(FIND($O$3,$C266)),MAXA($O$4:O264)+1,0)</f>
        <v>0</v>
      </c>
      <c r="P265" t="str">
        <f>IFERROR(INDEX($B$5:$O$625,MATCH(ROWS($P$5:$P265),$O$5:$O$625,0),2),"")</f>
        <v/>
      </c>
      <c r="Q265">
        <f>IF(ISNUMBER(FIND($Q$3,$B266)),MAXA($Q$4:Q264)+1,0)</f>
        <v>261</v>
      </c>
      <c r="R265" t="str">
        <f>IFERROR(INDEX($B$5:$Q$625,MATCH(ROWS($R$5:$R265),$Q$5:$Q$625,0),1),"")</f>
        <v>10035-10-6</v>
      </c>
    </row>
    <row r="266" spans="2:18" x14ac:dyDescent="0.2">
      <c r="B266" s="225" t="s">
        <v>887</v>
      </c>
      <c r="C266" s="226" t="s">
        <v>888</v>
      </c>
      <c r="D266" s="227"/>
      <c r="E266" s="227"/>
      <c r="F266" s="227"/>
      <c r="G266" s="226"/>
      <c r="H266" s="227"/>
      <c r="I266" s="227">
        <v>5</v>
      </c>
      <c r="J266" s="227">
        <v>5</v>
      </c>
      <c r="K266" s="228"/>
      <c r="O266">
        <f>IF(ISNUMBER(FIND($O$3,$C267)),MAXA($O$4:O265)+1,0)</f>
        <v>0</v>
      </c>
      <c r="P266" t="str">
        <f>IFERROR(INDEX($B$5:$O$625,MATCH(ROWS($P$5:$P266),$O$5:$O$625,0),2),"")</f>
        <v/>
      </c>
      <c r="Q266">
        <f>IF(ISNUMBER(FIND($Q$3,$B267)),MAXA($Q$4:Q265)+1,0)</f>
        <v>262</v>
      </c>
      <c r="R266" t="str">
        <f>IFERROR(INDEX($B$5:$Q$625,MATCH(ROWS($R$5:$R266),$Q$5:$Q$625,0),1),"")</f>
        <v>74-90-8</v>
      </c>
    </row>
    <row r="267" spans="2:18" x14ac:dyDescent="0.2">
      <c r="B267" s="225"/>
      <c r="C267" s="226" t="s">
        <v>889</v>
      </c>
      <c r="D267" s="227">
        <v>0.4</v>
      </c>
      <c r="E267" s="227">
        <v>4.4000000000000004</v>
      </c>
      <c r="F267" s="227"/>
      <c r="G267" s="226"/>
      <c r="H267" s="227"/>
      <c r="I267" s="227"/>
      <c r="J267" s="227"/>
      <c r="K267" s="228"/>
      <c r="O267">
        <f>IF(ISNUMBER(FIND($O$3,$C268)),MAXA($O$4:O266)+1,0)</f>
        <v>0</v>
      </c>
      <c r="P267" t="str">
        <f>IFERROR(INDEX($B$5:$O$625,MATCH(ROWS($P$5:$P267),$O$5:$O$625,0),2),"")</f>
        <v/>
      </c>
      <c r="Q267">
        <f>IF(ISNUMBER(FIND($Q$3,$B268)),MAXA($Q$4:Q266)+1,0)</f>
        <v>263</v>
      </c>
      <c r="R267">
        <f>IFERROR(INDEX($B$5:$Q$625,MATCH(ROWS($R$5:$R267),$Q$5:$Q$625,0),1),"")</f>
        <v>0</v>
      </c>
    </row>
    <row r="268" spans="2:18" x14ac:dyDescent="0.2">
      <c r="B268" s="225" t="s">
        <v>890</v>
      </c>
      <c r="C268" s="226" t="s">
        <v>891</v>
      </c>
      <c r="D268" s="227"/>
      <c r="E268" s="227">
        <v>0.5</v>
      </c>
      <c r="F268" s="227"/>
      <c r="G268" s="226">
        <v>1.8</v>
      </c>
      <c r="H268" s="227">
        <v>1.5</v>
      </c>
      <c r="I268" s="227"/>
      <c r="J268" s="227"/>
      <c r="K268" s="228"/>
      <c r="O268">
        <f>IF(ISNUMBER(FIND($O$3,$C269)),MAXA($O$4:O267)+1,0)</f>
        <v>0</v>
      </c>
      <c r="P268" t="str">
        <f>IFERROR(INDEX($B$5:$O$625,MATCH(ROWS($P$5:$P268),$O$5:$O$625,0),2),"")</f>
        <v/>
      </c>
      <c r="Q268">
        <f>IF(ISNUMBER(FIND($Q$3,$B269)),MAXA($Q$4:Q267)+1,0)</f>
        <v>264</v>
      </c>
      <c r="R268" t="str">
        <f>IFERROR(INDEX($B$5:$Q$625,MATCH(ROWS($R$5:$R268),$Q$5:$Q$625,0),1),"")</f>
        <v>7664-39-3</v>
      </c>
    </row>
    <row r="269" spans="2:18" x14ac:dyDescent="0.2">
      <c r="B269" s="225" t="s">
        <v>892</v>
      </c>
      <c r="C269" s="226" t="s">
        <v>893</v>
      </c>
      <c r="D269" s="227"/>
      <c r="E269" s="227"/>
      <c r="F269" s="227"/>
      <c r="G269" s="226"/>
      <c r="H269" s="227"/>
      <c r="I269" s="227">
        <v>5</v>
      </c>
      <c r="J269" s="227">
        <v>7</v>
      </c>
      <c r="K269" s="228"/>
      <c r="O269">
        <f>IF(ISNUMBER(FIND($O$3,$C270)),MAXA($O$4:O268)+1,0)</f>
        <v>0</v>
      </c>
      <c r="P269" t="str">
        <f>IFERROR(INDEX($B$5:$O$625,MATCH(ROWS($P$5:$P269),$O$5:$O$625,0),2),"")</f>
        <v/>
      </c>
      <c r="Q269">
        <f>IF(ISNUMBER(FIND($Q$3,$B270)),MAXA($Q$4:Q268)+1,0)</f>
        <v>265</v>
      </c>
      <c r="R269" t="str">
        <f>IFERROR(INDEX($B$5:$Q$625,MATCH(ROWS($R$5:$R269),$Q$5:$Q$625,0),1),"")</f>
        <v>7647-01-0</v>
      </c>
    </row>
    <row r="270" spans="2:18" x14ac:dyDescent="0.2">
      <c r="B270" s="225" t="s">
        <v>894</v>
      </c>
      <c r="C270" s="226" t="s">
        <v>895</v>
      </c>
      <c r="D270" s="227">
        <v>1</v>
      </c>
      <c r="E270" s="227">
        <v>1.4</v>
      </c>
      <c r="F270" s="227"/>
      <c r="G270" s="226"/>
      <c r="H270" s="227"/>
      <c r="I270" s="227"/>
      <c r="J270" s="227"/>
      <c r="K270" s="228"/>
      <c r="O270">
        <f>IF(ISNUMBER(FIND($O$3,$C271)),MAXA($O$4:O269)+1,0)</f>
        <v>0</v>
      </c>
      <c r="P270" t="str">
        <f>IFERROR(INDEX($B$5:$O$625,MATCH(ROWS($P$5:$P270),$O$5:$O$625,0),2),"")</f>
        <v/>
      </c>
      <c r="Q270">
        <f>IF(ISNUMBER(FIND($Q$3,$B271)),MAXA($Q$4:Q269)+1,0)</f>
        <v>266</v>
      </c>
      <c r="R270" t="str">
        <f>IFERROR(INDEX($B$5:$Q$625,MATCH(ROWS($R$5:$R270),$Q$5:$Q$625,0),1),"")</f>
        <v>7722-84-1</v>
      </c>
    </row>
    <row r="271" spans="2:18" x14ac:dyDescent="0.2">
      <c r="B271" s="225">
        <v>2148909</v>
      </c>
      <c r="C271" s="226" t="s">
        <v>896</v>
      </c>
      <c r="D271" s="227">
        <v>0.01</v>
      </c>
      <c r="E271" s="227">
        <v>0.05</v>
      </c>
      <c r="F271" s="227"/>
      <c r="G271" s="226"/>
      <c r="H271" s="227"/>
      <c r="I271" s="227"/>
      <c r="J271" s="227"/>
      <c r="K271" s="228"/>
      <c r="O271">
        <f>IF(ISNUMBER(FIND($O$3,$C272)),MAXA($O$4:O270)+1,0)</f>
        <v>0</v>
      </c>
      <c r="P271" t="str">
        <f>IFERROR(INDEX($B$5:$O$625,MATCH(ROWS($P$5:$P271),$O$5:$O$625,0),2),"")</f>
        <v/>
      </c>
      <c r="Q271">
        <f>IF(ISNUMBER(FIND($Q$3,$B272)),MAXA($Q$4:Q270)+1,0)</f>
        <v>267</v>
      </c>
      <c r="R271">
        <f>IFERROR(INDEX($B$5:$Q$625,MATCH(ROWS($R$5:$R271),$Q$5:$Q$625,0),1),"")</f>
        <v>2148909</v>
      </c>
    </row>
    <row r="272" spans="2:18" x14ac:dyDescent="0.2">
      <c r="B272" s="225">
        <v>2148878</v>
      </c>
      <c r="C272" s="226" t="s">
        <v>897</v>
      </c>
      <c r="D272" s="227">
        <v>5</v>
      </c>
      <c r="E272" s="227">
        <v>7</v>
      </c>
      <c r="F272" s="227"/>
      <c r="G272" s="226"/>
      <c r="H272" s="227"/>
      <c r="I272" s="227">
        <v>10</v>
      </c>
      <c r="J272" s="227">
        <v>14</v>
      </c>
      <c r="K272" s="228"/>
      <c r="O272">
        <f>IF(ISNUMBER(FIND($O$3,$C273)),MAXA($O$4:O271)+1,0)</f>
        <v>0</v>
      </c>
      <c r="P272" t="str">
        <f>IFERROR(INDEX($B$5:$O$625,MATCH(ROWS($P$5:$P272),$O$5:$O$625,0),2),"")</f>
        <v/>
      </c>
      <c r="Q272">
        <f>IF(ISNUMBER(FIND($Q$3,$B273)),MAXA($Q$4:Q271)+1,0)</f>
        <v>268</v>
      </c>
      <c r="R272">
        <f>IFERROR(INDEX($B$5:$Q$625,MATCH(ROWS($R$5:$R272),$Q$5:$Q$625,0),1),"")</f>
        <v>2148878</v>
      </c>
    </row>
    <row r="273" spans="2:18" x14ac:dyDescent="0.2">
      <c r="B273" s="225" t="s">
        <v>898</v>
      </c>
      <c r="C273" s="226" t="s">
        <v>899</v>
      </c>
      <c r="D273" s="227"/>
      <c r="E273" s="227">
        <v>0.5</v>
      </c>
      <c r="F273" s="227"/>
      <c r="G273" s="226"/>
      <c r="H273" s="227"/>
      <c r="I273" s="227"/>
      <c r="J273" s="227"/>
      <c r="K273" s="228"/>
      <c r="O273">
        <f>IF(ISNUMBER(FIND($O$3,$C274)),MAXA($O$4:O272)+1,0)</f>
        <v>0</v>
      </c>
      <c r="P273" t="str">
        <f>IFERROR(INDEX($B$5:$O$625,MATCH(ROWS($P$5:$P273),$O$5:$O$625,0),2),"")</f>
        <v/>
      </c>
      <c r="Q273">
        <f>IF(ISNUMBER(FIND($Q$3,$B274)),MAXA($Q$4:Q272)+1,0)</f>
        <v>269</v>
      </c>
      <c r="R273" t="str">
        <f>IFERROR(INDEX($B$5:$Q$625,MATCH(ROWS($R$5:$R273),$Q$5:$Q$625,0),1),"")</f>
        <v>123-31-9</v>
      </c>
    </row>
    <row r="274" spans="2:18" x14ac:dyDescent="0.2">
      <c r="B274" s="225" t="s">
        <v>900</v>
      </c>
      <c r="C274" s="226" t="s">
        <v>901</v>
      </c>
      <c r="D274" s="227">
        <v>2</v>
      </c>
      <c r="E274" s="227">
        <v>11</v>
      </c>
      <c r="F274" s="227"/>
      <c r="G274" s="226"/>
      <c r="H274" s="227"/>
      <c r="I274" s="227"/>
      <c r="J274" s="227"/>
      <c r="K274" s="228"/>
      <c r="O274">
        <f>IF(ISNUMBER(FIND($O$3,$C275)),MAXA($O$4:O273)+1,0)</f>
        <v>0</v>
      </c>
      <c r="P274" t="str">
        <f>IFERROR(INDEX($B$5:$O$625,MATCH(ROWS($P$5:$P274),$O$5:$O$625,0),2),"")</f>
        <v/>
      </c>
      <c r="Q274">
        <f>IF(ISNUMBER(FIND($Q$3,$B275)),MAXA($Q$4:Q273)+1,0)</f>
        <v>270</v>
      </c>
      <c r="R274" t="str">
        <f>IFERROR(INDEX($B$5:$Q$625,MATCH(ROWS($R$5:$R274),$Q$5:$Q$625,0),1),"")</f>
        <v>868-77-9</v>
      </c>
    </row>
    <row r="275" spans="2:18" x14ac:dyDescent="0.2">
      <c r="B275" s="225" t="s">
        <v>902</v>
      </c>
      <c r="C275" s="226" t="s">
        <v>903</v>
      </c>
      <c r="D275" s="227">
        <v>25</v>
      </c>
      <c r="E275" s="227">
        <v>120</v>
      </c>
      <c r="F275" s="227"/>
      <c r="G275" s="226"/>
      <c r="H275" s="227"/>
      <c r="I275" s="227"/>
      <c r="J275" s="227"/>
      <c r="K275" s="228"/>
      <c r="O275">
        <f>IF(ISNUMBER(FIND($O$3,$C276)),MAXA($O$4:O274)+1,0)</f>
        <v>0</v>
      </c>
      <c r="P275" t="str">
        <f>IFERROR(INDEX($B$5:$O$625,MATCH(ROWS($P$5:$P275),$O$5:$O$625,0),2),"")</f>
        <v/>
      </c>
      <c r="Q275">
        <f>IF(ISNUMBER(FIND($Q$3,$B276)),MAXA($Q$4:Q274)+1,0)</f>
        <v>271</v>
      </c>
      <c r="R275" t="str">
        <f>IFERROR(INDEX($B$5:$Q$625,MATCH(ROWS($R$5:$R275),$Q$5:$Q$625,0),1),"")</f>
        <v>123-42-2</v>
      </c>
    </row>
    <row r="276" spans="2:18" x14ac:dyDescent="0.2">
      <c r="B276" s="225" t="s">
        <v>904</v>
      </c>
      <c r="C276" s="226" t="s">
        <v>905</v>
      </c>
      <c r="D276" s="227">
        <v>0.5</v>
      </c>
      <c r="E276" s="227">
        <v>2.9</v>
      </c>
      <c r="F276" s="227"/>
      <c r="G276" s="226"/>
      <c r="H276" s="227"/>
      <c r="I276" s="227"/>
      <c r="J276" s="227"/>
      <c r="K276" s="228"/>
      <c r="O276">
        <f>IF(ISNUMBER(FIND($O$3,$C277)),MAXA($O$4:O275)+1,0)</f>
        <v>0</v>
      </c>
      <c r="P276" t="str">
        <f>IFERROR(INDEX($B$5:$O$625,MATCH(ROWS($P$5:$P276),$O$5:$O$625,0),2),"")</f>
        <v/>
      </c>
      <c r="Q276">
        <f>IF(ISNUMBER(FIND($Q$3,$B277)),MAXA($Q$4:Q275)+1,0)</f>
        <v>272</v>
      </c>
      <c r="R276" t="str">
        <f>IFERROR(INDEX($B$5:$Q$625,MATCH(ROWS($R$5:$R276),$Q$5:$Q$625,0),1),"")</f>
        <v>999-61-1</v>
      </c>
    </row>
    <row r="277" spans="2:18" x14ac:dyDescent="0.2">
      <c r="B277" s="225"/>
      <c r="C277" s="226" t="s">
        <v>906</v>
      </c>
      <c r="D277" s="227"/>
      <c r="E277" s="227"/>
      <c r="F277" s="227">
        <v>0.1</v>
      </c>
      <c r="G277" s="226"/>
      <c r="H277" s="227"/>
      <c r="I277" s="227"/>
      <c r="J277" s="227"/>
      <c r="K277" s="228"/>
      <c r="O277">
        <f>IF(ISNUMBER(FIND($O$3,$C278)),MAXA($O$4:O276)+1,0)</f>
        <v>0</v>
      </c>
      <c r="P277" t="str">
        <f>IFERROR(INDEX($B$5:$O$625,MATCH(ROWS($P$5:$P277),$O$5:$O$625,0),2),"")</f>
        <v/>
      </c>
      <c r="Q277">
        <f>IF(ISNUMBER(FIND($Q$3,$B278)),MAXA($Q$4:Q276)+1,0)</f>
        <v>273</v>
      </c>
      <c r="R277">
        <f>IFERROR(INDEX($B$5:$Q$625,MATCH(ROWS($R$5:$R277),$Q$5:$Q$625,0),1),"")</f>
        <v>0</v>
      </c>
    </row>
    <row r="278" spans="2:18" x14ac:dyDescent="0.2">
      <c r="B278" s="225" t="s">
        <v>907</v>
      </c>
      <c r="C278" s="226" t="s">
        <v>908</v>
      </c>
      <c r="D278" s="227">
        <v>3</v>
      </c>
      <c r="E278" s="227">
        <v>15</v>
      </c>
      <c r="F278" s="227"/>
      <c r="G278" s="226"/>
      <c r="H278" s="227"/>
      <c r="I278" s="227"/>
      <c r="J278" s="227"/>
      <c r="K278" s="228"/>
      <c r="O278">
        <f>IF(ISNUMBER(FIND($O$3,$C279)),MAXA($O$4:O277)+1,0)</f>
        <v>0</v>
      </c>
      <c r="P278" t="str">
        <f>IFERROR(INDEX($B$5:$O$625,MATCH(ROWS($P$5:$P278),$O$5:$O$625,0),2),"")</f>
        <v/>
      </c>
      <c r="Q278">
        <f>IF(ISNUMBER(FIND($Q$3,$B279)),MAXA($Q$4:Q277)+1,0)</f>
        <v>274</v>
      </c>
      <c r="R278" t="str">
        <f>IFERROR(INDEX($B$5:$Q$625,MATCH(ROWS($R$5:$R278),$Q$5:$Q$625,0),1),"")</f>
        <v>111-42-2</v>
      </c>
    </row>
    <row r="279" spans="2:18" x14ac:dyDescent="0.2">
      <c r="B279" s="225" t="s">
        <v>909</v>
      </c>
      <c r="C279" s="226" t="s">
        <v>910</v>
      </c>
      <c r="D279" s="227">
        <v>10</v>
      </c>
      <c r="E279" s="227">
        <v>45</v>
      </c>
      <c r="F279" s="227"/>
      <c r="G279" s="226"/>
      <c r="H279" s="227"/>
      <c r="I279" s="227"/>
      <c r="J279" s="227"/>
      <c r="K279" s="228"/>
      <c r="O279">
        <f>IF(ISNUMBER(FIND($O$3,$C280)),MAXA($O$4:O278)+1,0)</f>
        <v>0</v>
      </c>
      <c r="P279" t="str">
        <f>IFERROR(INDEX($B$5:$O$625,MATCH(ROWS($P$5:$P279),$O$5:$O$625,0),2),"")</f>
        <v/>
      </c>
      <c r="Q279">
        <f>IF(ISNUMBER(FIND($Q$3,$B280)),MAXA($Q$4:Q278)+1,0)</f>
        <v>275</v>
      </c>
      <c r="R279" t="str">
        <f>IFERROR(INDEX($B$5:$Q$625,MATCH(ROWS($R$5:$R279),$Q$5:$Q$625,0),1),"")</f>
        <v>95-13-6</v>
      </c>
    </row>
    <row r="280" spans="2:18" x14ac:dyDescent="0.2">
      <c r="B280" s="225"/>
      <c r="C280" s="226" t="s">
        <v>911</v>
      </c>
      <c r="D280" s="227"/>
      <c r="E280" s="227">
        <v>0.1</v>
      </c>
      <c r="F280" s="227"/>
      <c r="G280" s="226"/>
      <c r="H280" s="227"/>
      <c r="I280" s="227"/>
      <c r="J280" s="227"/>
      <c r="K280" s="228"/>
      <c r="O280">
        <f>IF(ISNUMBER(FIND($O$3,$C281)),MAXA($O$4:O279)+1,0)</f>
        <v>0</v>
      </c>
      <c r="P280" t="str">
        <f>IFERROR(INDEX($B$5:$O$625,MATCH(ROWS($P$5:$P280),$O$5:$O$625,0),2),"")</f>
        <v/>
      </c>
      <c r="Q280">
        <f>IF(ISNUMBER(FIND($Q$3,$B281)),MAXA($Q$4:Q279)+1,0)</f>
        <v>276</v>
      </c>
      <c r="R280">
        <f>IFERROR(INDEX($B$5:$Q$625,MATCH(ROWS($R$5:$R280),$Q$5:$Q$625,0),1),"")</f>
        <v>0</v>
      </c>
    </row>
    <row r="281" spans="2:18" x14ac:dyDescent="0.2">
      <c r="B281" s="225" t="s">
        <v>912</v>
      </c>
      <c r="C281" s="226" t="s">
        <v>913</v>
      </c>
      <c r="D281" s="227">
        <v>50</v>
      </c>
      <c r="E281" s="227">
        <v>300</v>
      </c>
      <c r="F281" s="227"/>
      <c r="G281" s="226"/>
      <c r="H281" s="227"/>
      <c r="I281" s="227"/>
      <c r="J281" s="227"/>
      <c r="K281" s="228"/>
      <c r="O281">
        <f>IF(ISNUMBER(FIND($O$3,$C282)),MAXA($O$4:O280)+1,0)</f>
        <v>0</v>
      </c>
      <c r="P281" t="str">
        <f>IFERROR(INDEX($B$5:$O$625,MATCH(ROWS($P$5:$P281),$O$5:$O$625,0),2),"")</f>
        <v/>
      </c>
      <c r="Q281">
        <f>IF(ISNUMBER(FIND($Q$3,$B282)),MAXA($Q$4:Q280)+1,0)</f>
        <v>277</v>
      </c>
      <c r="R281" t="str">
        <f>IFERROR(INDEX($B$5:$Q$625,MATCH(ROWS($R$5:$R281),$Q$5:$Q$625,0),1),"")</f>
        <v>97-86-9</v>
      </c>
    </row>
    <row r="282" spans="2:18" x14ac:dyDescent="0.2">
      <c r="B282" s="225" t="s">
        <v>914</v>
      </c>
      <c r="C282" s="226" t="s">
        <v>915</v>
      </c>
      <c r="D282" s="227">
        <v>2</v>
      </c>
      <c r="E282" s="227">
        <v>15</v>
      </c>
      <c r="F282" s="227"/>
      <c r="G282" s="226"/>
      <c r="H282" s="227"/>
      <c r="I282" s="227"/>
      <c r="J282" s="227"/>
      <c r="K282" s="228"/>
      <c r="O282">
        <f>IF(ISNUMBER(FIND($O$3,$C283)),MAXA($O$4:O281)+1,0)</f>
        <v>0</v>
      </c>
      <c r="P282" t="str">
        <f>IFERROR(INDEX($B$5:$O$625,MATCH(ROWS($P$5:$P282),$O$5:$O$625,0),2),"")</f>
        <v/>
      </c>
      <c r="Q282">
        <f>IF(ISNUMBER(FIND($Q$3,$B283)),MAXA($Q$4:Q281)+1,0)</f>
        <v>278</v>
      </c>
      <c r="R282" t="str">
        <f>IFERROR(INDEX($B$5:$Q$625,MATCH(ROWS($R$5:$R282),$Q$5:$Q$625,0),1),"")</f>
        <v>26675-46-7</v>
      </c>
    </row>
    <row r="283" spans="2:18" x14ac:dyDescent="0.2">
      <c r="B283" s="225" t="s">
        <v>916</v>
      </c>
      <c r="C283" s="226" t="s">
        <v>917</v>
      </c>
      <c r="D283" s="227"/>
      <c r="E283" s="227"/>
      <c r="F283" s="227"/>
      <c r="G283" s="226"/>
      <c r="H283" s="227"/>
      <c r="I283" s="227">
        <v>5</v>
      </c>
      <c r="J283" s="227">
        <v>25</v>
      </c>
      <c r="K283" s="228"/>
      <c r="O283">
        <f>IF(ISNUMBER(FIND($O$3,$C284)),MAXA($O$4:O282)+1,0)</f>
        <v>0</v>
      </c>
      <c r="P283" t="str">
        <f>IFERROR(INDEX($B$5:$O$625,MATCH(ROWS($P$5:$P283),$O$5:$O$625,0),2),"")</f>
        <v/>
      </c>
      <c r="Q283">
        <f>IF(ISNUMBER(FIND($Q$3,$B284)),MAXA($Q$4:Q282)+1,0)</f>
        <v>279</v>
      </c>
      <c r="R283" t="str">
        <f>IFERROR(INDEX($B$5:$Q$625,MATCH(ROWS($R$5:$R283),$Q$5:$Q$625,0),1),"")</f>
        <v>78-59-1</v>
      </c>
    </row>
    <row r="284" spans="2:18" x14ac:dyDescent="0.2">
      <c r="B284" s="225" t="s">
        <v>918</v>
      </c>
      <c r="C284" s="226" t="s">
        <v>919</v>
      </c>
      <c r="D284" s="227">
        <v>5.0000000000000001E-3</v>
      </c>
      <c r="E284" s="227">
        <v>4.4999999999999998E-2</v>
      </c>
      <c r="F284" s="227"/>
      <c r="G284" s="226"/>
      <c r="H284" s="227"/>
      <c r="I284" s="227">
        <v>0.01</v>
      </c>
      <c r="J284" s="227"/>
      <c r="K284" s="228"/>
      <c r="O284">
        <f>IF(ISNUMBER(FIND($O$3,$C285)),MAXA($O$4:O283)+1,0)</f>
        <v>0</v>
      </c>
      <c r="P284" t="str">
        <f>IFERROR(INDEX($B$5:$O$625,MATCH(ROWS($P$5:$P284),$O$5:$O$625,0),2),"")</f>
        <v/>
      </c>
      <c r="Q284">
        <f>IF(ISNUMBER(FIND($Q$3,$B285)),MAXA($Q$4:Q283)+1,0)</f>
        <v>280</v>
      </c>
      <c r="R284" t="str">
        <f>IFERROR(INDEX($B$5:$Q$625,MATCH(ROWS($R$5:$R284),$Q$5:$Q$625,0),1),"")</f>
        <v>4098-71-9</v>
      </c>
    </row>
    <row r="285" spans="2:18" x14ac:dyDescent="0.2">
      <c r="B285" s="225" t="s">
        <v>920</v>
      </c>
      <c r="C285" s="226" t="s">
        <v>921</v>
      </c>
      <c r="D285" s="227">
        <v>25</v>
      </c>
      <c r="E285" s="227">
        <v>135</v>
      </c>
      <c r="F285" s="227"/>
      <c r="G285" s="226"/>
      <c r="H285" s="227"/>
      <c r="I285" s="227"/>
      <c r="J285" s="227"/>
      <c r="K285" s="228"/>
      <c r="O285">
        <f>IF(ISNUMBER(FIND($O$3,$C286)),MAXA($O$4:O284)+1,0)</f>
        <v>0</v>
      </c>
      <c r="P285" t="str">
        <f>IFERROR(INDEX($B$5:$O$625,MATCH(ROWS($P$5:$P285),$O$5:$O$625,0),2),"")</f>
        <v/>
      </c>
      <c r="Q285">
        <f>IF(ISNUMBER(FIND($Q$3,$B286)),MAXA($Q$4:Q284)+1,0)</f>
        <v>281</v>
      </c>
      <c r="R285" t="str">
        <f>IFERROR(INDEX($B$5:$Q$625,MATCH(ROWS($R$5:$R285),$Q$5:$Q$625,0),1),"")</f>
        <v>26952-21-6</v>
      </c>
    </row>
    <row r="286" spans="2:18" x14ac:dyDescent="0.2">
      <c r="B286" s="225" t="s">
        <v>922</v>
      </c>
      <c r="C286" s="226" t="s">
        <v>923</v>
      </c>
      <c r="D286" s="227">
        <v>250</v>
      </c>
      <c r="E286" s="227">
        <v>750</v>
      </c>
      <c r="F286" s="227"/>
      <c r="G286" s="226"/>
      <c r="H286" s="227"/>
      <c r="I286" s="227"/>
      <c r="J286" s="227"/>
      <c r="K286" s="228"/>
      <c r="O286">
        <f>IF(ISNUMBER(FIND($O$3,$C287)),MAXA($O$4:O285)+1,0)</f>
        <v>0</v>
      </c>
      <c r="P286" t="str">
        <f>IFERROR(INDEX($B$5:$O$625,MATCH(ROWS($P$5:$P286),$O$5:$O$625,0),2),"")</f>
        <v/>
      </c>
      <c r="Q286">
        <f>IF(ISNUMBER(FIND($Q$3,$B287)),MAXA($Q$4:Q285)+1,0)</f>
        <v>282</v>
      </c>
      <c r="R286" t="str">
        <f>IFERROR(INDEX($B$5:$Q$625,MATCH(ROWS($R$5:$R286),$Q$5:$Q$625,0),1),"")</f>
        <v>78-78-4</v>
      </c>
    </row>
    <row r="287" spans="2:18" x14ac:dyDescent="0.2">
      <c r="B287" s="225" t="s">
        <v>924</v>
      </c>
      <c r="C287" s="226" t="s">
        <v>925</v>
      </c>
      <c r="D287" s="227">
        <v>50</v>
      </c>
      <c r="E287" s="227">
        <v>260</v>
      </c>
      <c r="F287" s="227"/>
      <c r="G287" s="226"/>
      <c r="H287" s="227"/>
      <c r="I287" s="227"/>
      <c r="J287" s="227"/>
      <c r="K287" s="228"/>
      <c r="O287">
        <f>IF(ISNUMBER(FIND($O$3,$C288)),MAXA($O$4:O286)+1,0)</f>
        <v>0</v>
      </c>
      <c r="P287" t="str">
        <f>IFERROR(INDEX($B$5:$O$625,MATCH(ROWS($P$5:$P287),$O$5:$O$625,0),2),"")</f>
        <v/>
      </c>
      <c r="Q287">
        <f>IF(ISNUMBER(FIND($Q$3,$B288)),MAXA($Q$4:Q286)+1,0)</f>
        <v>283</v>
      </c>
      <c r="R287" t="str">
        <f>IFERROR(INDEX($B$5:$Q$625,MATCH(ROWS($R$5:$R287),$Q$5:$Q$625,0),1),"")</f>
        <v>123-92-2</v>
      </c>
    </row>
    <row r="288" spans="2:18" x14ac:dyDescent="0.2">
      <c r="B288" s="225" t="s">
        <v>926</v>
      </c>
      <c r="C288" s="226" t="s">
        <v>927</v>
      </c>
      <c r="D288" s="227">
        <v>20</v>
      </c>
      <c r="E288" s="227">
        <v>80</v>
      </c>
      <c r="F288" s="227"/>
      <c r="G288" s="226"/>
      <c r="H288" s="227"/>
      <c r="I288" s="227"/>
      <c r="J288" s="227"/>
      <c r="K288" s="228"/>
      <c r="O288">
        <f>IF(ISNUMBER(FIND($O$3,$C289)),MAXA($O$4:O287)+1,0)</f>
        <v>0</v>
      </c>
      <c r="P288" t="str">
        <f>IFERROR(INDEX($B$5:$O$625,MATCH(ROWS($P$5:$P288),$O$5:$O$625,0),2),"")</f>
        <v/>
      </c>
      <c r="Q288">
        <f>IF(ISNUMBER(FIND($Q$3,$B289)),MAXA($Q$4:Q287)+1,0)</f>
        <v>284</v>
      </c>
      <c r="R288" t="str">
        <f>IFERROR(INDEX($B$5:$Q$625,MATCH(ROWS($R$5:$R288),$Q$5:$Q$625,0),1),"")</f>
        <v>109-59-1</v>
      </c>
    </row>
    <row r="289" spans="2:18" x14ac:dyDescent="0.2">
      <c r="B289" s="225" t="s">
        <v>928</v>
      </c>
      <c r="C289" s="226" t="s">
        <v>929</v>
      </c>
      <c r="D289" s="227">
        <v>100</v>
      </c>
      <c r="E289" s="227">
        <v>420</v>
      </c>
      <c r="F289" s="227"/>
      <c r="G289" s="226"/>
      <c r="H289" s="227"/>
      <c r="I289" s="227"/>
      <c r="J289" s="227"/>
      <c r="K289" s="228"/>
      <c r="O289">
        <f>IF(ISNUMBER(FIND($O$3,$C290)),MAXA($O$4:O288)+1,0)</f>
        <v>0</v>
      </c>
      <c r="P289" t="str">
        <f>IFERROR(INDEX($B$5:$O$625,MATCH(ROWS($P$5:$P289),$O$5:$O$625,0),2),"")</f>
        <v/>
      </c>
      <c r="Q289">
        <f>IF(ISNUMBER(FIND($Q$3,$B290)),MAXA($Q$4:Q288)+1,0)</f>
        <v>285</v>
      </c>
      <c r="R289" t="str">
        <f>IFERROR(INDEX($B$5:$Q$625,MATCH(ROWS($R$5:$R289),$Q$5:$Q$625,0),1),"")</f>
        <v>108-21-4</v>
      </c>
    </row>
    <row r="290" spans="2:18" x14ac:dyDescent="0.2">
      <c r="B290" s="225" t="s">
        <v>930</v>
      </c>
      <c r="C290" s="226" t="s">
        <v>931</v>
      </c>
      <c r="D290" s="227">
        <v>2</v>
      </c>
      <c r="E290" s="227">
        <v>11</v>
      </c>
      <c r="F290" s="227"/>
      <c r="G290" s="226"/>
      <c r="H290" s="227"/>
      <c r="I290" s="227"/>
      <c r="J290" s="227"/>
      <c r="K290" s="228"/>
      <c r="O290">
        <f>IF(ISNUMBER(FIND($O$3,$C291)),MAXA($O$4:O289)+1,0)</f>
        <v>0</v>
      </c>
      <c r="P290" t="str">
        <f>IFERROR(INDEX($B$5:$O$625,MATCH(ROWS($P$5:$P290),$O$5:$O$625,0),2),"")</f>
        <v/>
      </c>
      <c r="Q290">
        <f>IF(ISNUMBER(FIND($Q$3,$B291)),MAXA($Q$4:Q289)+1,0)</f>
        <v>286</v>
      </c>
      <c r="R290" t="str">
        <f>IFERROR(INDEX($B$5:$Q$625,MATCH(ROWS($R$5:$R290),$Q$5:$Q$625,0),1),"")</f>
        <v>768-52-5</v>
      </c>
    </row>
    <row r="291" spans="2:18" x14ac:dyDescent="0.2">
      <c r="B291" s="225" t="s">
        <v>932</v>
      </c>
      <c r="C291" s="226" t="s">
        <v>933</v>
      </c>
      <c r="D291" s="227"/>
      <c r="E291" s="227">
        <v>3</v>
      </c>
      <c r="F291" s="227"/>
      <c r="G291" s="226"/>
      <c r="H291" s="227"/>
      <c r="I291" s="227"/>
      <c r="J291" s="227"/>
      <c r="K291" s="228"/>
      <c r="O291">
        <f>IF(ISNUMBER(FIND($O$3,$C292)),MAXA($O$4:O290)+1,0)</f>
        <v>0</v>
      </c>
      <c r="P291" t="str">
        <f>IFERROR(INDEX($B$5:$O$625,MATCH(ROWS($P$5:$P291),$O$5:$O$625,0),2),"")</f>
        <v/>
      </c>
      <c r="Q291">
        <f>IF(ISNUMBER(FIND($Q$3,$B292)),MAXA($Q$4:Q290)+1,0)</f>
        <v>287</v>
      </c>
      <c r="R291" t="str">
        <f>IFERROR(INDEX($B$5:$Q$625,MATCH(ROWS($R$5:$R291),$Q$5:$Q$625,0),1),"")</f>
        <v>1309-37-1</v>
      </c>
    </row>
    <row r="292" spans="2:18" x14ac:dyDescent="0.2">
      <c r="B292" s="225" t="s">
        <v>934</v>
      </c>
      <c r="C292" s="226" t="s">
        <v>935</v>
      </c>
      <c r="D292" s="227">
        <v>0.01</v>
      </c>
      <c r="E292" s="227">
        <v>0.08</v>
      </c>
      <c r="F292" s="227"/>
      <c r="G292" s="226"/>
      <c r="H292" s="227"/>
      <c r="I292" s="227"/>
      <c r="J292" s="227"/>
      <c r="K292" s="228"/>
      <c r="O292">
        <f>IF(ISNUMBER(FIND($O$3,$C293)),MAXA($O$4:O291)+1,0)</f>
        <v>0</v>
      </c>
      <c r="P292" t="str">
        <f>IFERROR(INDEX($B$5:$O$625,MATCH(ROWS($P$5:$P292),$O$5:$O$625,0),2),"")</f>
        <v/>
      </c>
      <c r="Q292">
        <f>IF(ISNUMBER(FIND($Q$3,$B293)),MAXA($Q$4:Q291)+1,0)</f>
        <v>288</v>
      </c>
      <c r="R292" t="str">
        <f>IFERROR(INDEX($B$5:$Q$625,MATCH(ROWS($R$5:$R292),$Q$5:$Q$625,0),1),"")</f>
        <v>13463-40-6</v>
      </c>
    </row>
    <row r="293" spans="2:18" x14ac:dyDescent="0.2">
      <c r="B293" s="225"/>
      <c r="C293" s="226" t="s">
        <v>936</v>
      </c>
      <c r="D293" s="227"/>
      <c r="E293" s="227">
        <v>1</v>
      </c>
      <c r="F293" s="227"/>
      <c r="G293" s="226"/>
      <c r="H293" s="227"/>
      <c r="I293" s="227"/>
      <c r="J293" s="227"/>
      <c r="K293" s="228"/>
      <c r="O293">
        <f>IF(ISNUMBER(FIND($O$3,$C294)),MAXA($O$4:O292)+1,0)</f>
        <v>0</v>
      </c>
      <c r="P293" t="str">
        <f>IFERROR(INDEX($B$5:$O$625,MATCH(ROWS($P$5:$P293),$O$5:$O$625,0),2),"")</f>
        <v/>
      </c>
      <c r="Q293">
        <f>IF(ISNUMBER(FIND($Q$3,$B294)),MAXA($Q$4:Q292)+1,0)</f>
        <v>289</v>
      </c>
      <c r="R293">
        <f>IFERROR(INDEX($B$5:$Q$625,MATCH(ROWS($R$5:$R293),$Q$5:$Q$625,0),1),"")</f>
        <v>0</v>
      </c>
    </row>
    <row r="294" spans="2:18" x14ac:dyDescent="0.2">
      <c r="B294" s="225" t="s">
        <v>937</v>
      </c>
      <c r="C294" s="226" t="s">
        <v>938</v>
      </c>
      <c r="D294" s="227"/>
      <c r="E294" s="227"/>
      <c r="F294" s="227"/>
      <c r="G294" s="226"/>
      <c r="H294" s="227"/>
      <c r="I294" s="227">
        <v>0.1</v>
      </c>
      <c r="J294" s="227">
        <v>1</v>
      </c>
      <c r="K294" s="228"/>
      <c r="O294">
        <f>IF(ISNUMBER(FIND($O$3,$C295)),MAXA($O$4:O293)+1,0)</f>
        <v>0</v>
      </c>
      <c r="P294" t="str">
        <f>IFERROR(INDEX($B$5:$O$625,MATCH(ROWS($P$5:$P294),$O$5:$O$625,0),2),"")</f>
        <v/>
      </c>
      <c r="Q294">
        <f>IF(ISNUMBER(FIND($Q$3,$B295)),MAXA($Q$4:Q293)+1,0)</f>
        <v>290</v>
      </c>
      <c r="R294" t="str">
        <f>IFERROR(INDEX($B$5:$Q$625,MATCH(ROWS($R$5:$R294),$Q$5:$Q$625,0),1),"")</f>
        <v>7553-56-2</v>
      </c>
    </row>
    <row r="295" spans="2:18" x14ac:dyDescent="0.2">
      <c r="B295" s="225" t="s">
        <v>939</v>
      </c>
      <c r="C295" s="226" t="s">
        <v>940</v>
      </c>
      <c r="D295" s="227">
        <v>1</v>
      </c>
      <c r="E295" s="227">
        <v>5</v>
      </c>
      <c r="F295" s="227"/>
      <c r="G295" s="226"/>
      <c r="H295" s="227"/>
      <c r="I295" s="227"/>
      <c r="J295" s="227"/>
      <c r="K295" s="228"/>
      <c r="O295">
        <f>IF(ISNUMBER(FIND($O$3,$C296)),MAXA($O$4:O294)+1,0)</f>
        <v>0</v>
      </c>
      <c r="P295" t="str">
        <f>IFERROR(INDEX($B$5:$O$625,MATCH(ROWS($P$5:$P295),$O$5:$O$625,0),2),"")</f>
        <v/>
      </c>
      <c r="Q295">
        <f>IF(ISNUMBER(FIND($Q$3,$B296)),MAXA($Q$4:Q294)+1,0)</f>
        <v>291</v>
      </c>
      <c r="R295" t="str">
        <f>IFERROR(INDEX($B$5:$Q$625,MATCH(ROWS($R$5:$R295),$Q$5:$Q$625,0),1),"")</f>
        <v>74-88-4</v>
      </c>
    </row>
    <row r="296" spans="2:18" x14ac:dyDescent="0.2">
      <c r="B296" s="225"/>
      <c r="C296" s="226" t="s">
        <v>1995</v>
      </c>
      <c r="D296" s="227"/>
      <c r="E296" s="227">
        <v>1E-3</v>
      </c>
      <c r="F296" s="227"/>
      <c r="G296" s="226"/>
      <c r="H296" s="227"/>
      <c r="I296" s="227"/>
      <c r="J296" s="227"/>
      <c r="K296" s="228"/>
      <c r="O296">
        <f>IF(ISNUMBER(FIND($O$3,$C297)),MAXA($O$4:O295)+1,0)</f>
        <v>0</v>
      </c>
      <c r="P296" t="str">
        <f>IFERROR(INDEX($B$5:$O$625,MATCH(ROWS($P$5:$P296),$O$5:$O$625,0),2),"")</f>
        <v/>
      </c>
      <c r="Q296">
        <f>IF(ISNUMBER(FIND($Q$3,$B297)),MAXA($Q$4:Q295)+1,0)</f>
        <v>292</v>
      </c>
      <c r="R296">
        <f>IFERROR(INDEX($B$5:$Q$625,MATCH(ROWS($R$5:$R296),$Q$5:$Q$625,0),1),"")</f>
        <v>0</v>
      </c>
    </row>
    <row r="297" spans="2:18" x14ac:dyDescent="0.2">
      <c r="B297" s="225" t="s">
        <v>941</v>
      </c>
      <c r="C297" s="226" t="s">
        <v>1996</v>
      </c>
      <c r="D297" s="227"/>
      <c r="E297" s="227">
        <v>1E-3</v>
      </c>
      <c r="F297" s="227"/>
      <c r="G297" s="226"/>
      <c r="H297" s="227"/>
      <c r="I297" s="227"/>
      <c r="J297" s="227">
        <v>0.02</v>
      </c>
      <c r="K297" s="228"/>
      <c r="O297">
        <f>IF(ISNUMBER(FIND($O$3,$C298)),MAXA($O$4:O296)+1,0)</f>
        <v>0</v>
      </c>
      <c r="P297" t="str">
        <f>IFERROR(INDEX($B$5:$O$625,MATCH(ROWS($P$5:$P297),$O$5:$O$625,0),2),"")</f>
        <v/>
      </c>
      <c r="Q297">
        <f>IF(ISNUMBER(FIND($Q$3,$B298)),MAXA($Q$4:Q296)+1,0)</f>
        <v>293</v>
      </c>
      <c r="R297" t="str">
        <f>IFERROR(INDEX($B$5:$Q$625,MATCH(ROWS($R$5:$R297),$Q$5:$Q$625,0),1),"")</f>
        <v>1306-19-0</v>
      </c>
    </row>
    <row r="298" spans="2:18" x14ac:dyDescent="0.2">
      <c r="B298" s="225" t="s">
        <v>942</v>
      </c>
      <c r="C298" s="226" t="s">
        <v>943</v>
      </c>
      <c r="D298" s="227"/>
      <c r="E298" s="227"/>
      <c r="F298" s="227"/>
      <c r="G298" s="226"/>
      <c r="H298" s="227"/>
      <c r="I298" s="227"/>
      <c r="J298" s="227">
        <v>2</v>
      </c>
      <c r="K298" s="228"/>
      <c r="O298">
        <f>IF(ISNUMBER(FIND($O$3,$C299)),MAXA($O$4:O297)+1,0)</f>
        <v>0</v>
      </c>
      <c r="P298" t="str">
        <f>IFERROR(INDEX($B$5:$O$625,MATCH(ROWS($P$5:$P298),$O$5:$O$625,0),2),"")</f>
        <v/>
      </c>
      <c r="Q298">
        <f>IF(ISNUMBER(FIND($Q$3,$B299)),MAXA($Q$4:Q297)+1,0)</f>
        <v>294</v>
      </c>
      <c r="R298" t="str">
        <f>IFERROR(INDEX($B$5:$Q$625,MATCH(ROWS($R$5:$R298),$Q$5:$Q$625,0),1),"")</f>
        <v>1310-58-3</v>
      </c>
    </row>
    <row r="299" spans="2:18" x14ac:dyDescent="0.2">
      <c r="B299" s="225" t="s">
        <v>944</v>
      </c>
      <c r="C299" s="226" t="s">
        <v>945</v>
      </c>
      <c r="D299" s="227"/>
      <c r="E299" s="227">
        <v>0.5</v>
      </c>
      <c r="F299" s="227"/>
      <c r="G299" s="226"/>
      <c r="H299" s="227"/>
      <c r="I299" s="227"/>
      <c r="J299" s="227"/>
      <c r="K299" s="228"/>
      <c r="O299">
        <f>IF(ISNUMBER(FIND($O$3,$C300)),MAXA($O$4:O298)+1,0)</f>
        <v>0</v>
      </c>
      <c r="P299" t="str">
        <f>IFERROR(INDEX($B$5:$O$625,MATCH(ROWS($P$5:$P299),$O$5:$O$625,0),2),"")</f>
        <v/>
      </c>
      <c r="Q299">
        <f>IF(ISNUMBER(FIND($Q$3,$B300)),MAXA($Q$4:Q298)+1,0)</f>
        <v>295</v>
      </c>
      <c r="R299" t="str">
        <f>IFERROR(INDEX($B$5:$Q$625,MATCH(ROWS($R$5:$R299),$Q$5:$Q$625,0),1),"")</f>
        <v>156-62-7</v>
      </c>
    </row>
    <row r="300" spans="2:18" x14ac:dyDescent="0.2">
      <c r="B300" s="225" t="s">
        <v>946</v>
      </c>
      <c r="C300" s="226" t="s">
        <v>947</v>
      </c>
      <c r="D300" s="227"/>
      <c r="E300" s="227">
        <v>1</v>
      </c>
      <c r="F300" s="227"/>
      <c r="G300" s="226"/>
      <c r="H300" s="227"/>
      <c r="I300" s="227"/>
      <c r="J300" s="227"/>
      <c r="K300" s="228"/>
      <c r="O300">
        <f>IF(ISNUMBER(FIND($O$3,$C301)),MAXA($O$4:O299)+1,0)</f>
        <v>0</v>
      </c>
      <c r="P300" t="str">
        <f>IFERROR(INDEX($B$5:$O$625,MATCH(ROWS($P$5:$P300),$O$5:$O$625,0),2),"")</f>
        <v/>
      </c>
      <c r="Q300">
        <f>IF(ISNUMBER(FIND($Q$3,$B301)),MAXA($Q$4:Q299)+1,0)</f>
        <v>296</v>
      </c>
      <c r="R300" t="str">
        <f>IFERROR(INDEX($B$5:$Q$625,MATCH(ROWS($R$5:$R300),$Q$5:$Q$625,0),1),"")</f>
        <v>1305-62-0</v>
      </c>
    </row>
    <row r="301" spans="2:18" x14ac:dyDescent="0.2">
      <c r="B301" s="225" t="s">
        <v>948</v>
      </c>
      <c r="C301" s="226" t="s">
        <v>949</v>
      </c>
      <c r="D301" s="227"/>
      <c r="E301" s="227"/>
      <c r="F301" s="227"/>
      <c r="G301" s="226"/>
      <c r="H301" s="227"/>
      <c r="I301" s="227"/>
      <c r="J301" s="227">
        <v>2</v>
      </c>
      <c r="K301" s="228"/>
      <c r="O301">
        <f>IF(ISNUMBER(FIND($O$3,$C302)),MAXA($O$4:O300)+1,0)</f>
        <v>0</v>
      </c>
      <c r="P301" t="str">
        <f>IFERROR(INDEX($B$5:$O$625,MATCH(ROWS($P$5:$P301),$O$5:$O$625,0),2),"")</f>
        <v/>
      </c>
      <c r="Q301">
        <f>IF(ISNUMBER(FIND($Q$3,$B302)),MAXA($Q$4:Q300)+1,0)</f>
        <v>297</v>
      </c>
      <c r="R301" t="str">
        <f>IFERROR(INDEX($B$5:$Q$625,MATCH(ROWS($R$5:$R301),$Q$5:$Q$625,0),1),"")</f>
        <v>1305-78-8</v>
      </c>
    </row>
    <row r="302" spans="2:18" x14ac:dyDescent="0.2">
      <c r="B302" s="225" t="s">
        <v>950</v>
      </c>
      <c r="C302" s="226" t="s">
        <v>951</v>
      </c>
      <c r="D302" s="227"/>
      <c r="E302" s="227">
        <v>0.5</v>
      </c>
      <c r="F302" s="227"/>
      <c r="G302" s="226"/>
      <c r="H302" s="227"/>
      <c r="I302" s="227"/>
      <c r="J302" s="227"/>
      <c r="K302" s="228"/>
      <c r="O302">
        <f>IF(ISNUMBER(FIND($O$3,$C303)),MAXA($O$4:O301)+1,0)</f>
        <v>0</v>
      </c>
      <c r="P302" t="str">
        <f>IFERROR(INDEX($B$5:$O$625,MATCH(ROWS($P$5:$P302),$O$5:$O$625,0),2),"")</f>
        <v/>
      </c>
      <c r="Q302">
        <f>IF(ISNUMBER(FIND($Q$3,$B303)),MAXA($Q$4:Q301)+1,0)</f>
        <v>298</v>
      </c>
      <c r="R302" t="str">
        <f>IFERROR(INDEX($B$5:$Q$625,MATCH(ROWS($R$5:$R302),$Q$5:$Q$625,0),1),"")</f>
        <v>8001-35-2</v>
      </c>
    </row>
    <row r="303" spans="2:18" x14ac:dyDescent="0.2">
      <c r="B303" s="225" t="s">
        <v>952</v>
      </c>
      <c r="C303" s="226" t="s">
        <v>953</v>
      </c>
      <c r="D303" s="227">
        <v>2</v>
      </c>
      <c r="E303" s="227">
        <v>12</v>
      </c>
      <c r="F303" s="227"/>
      <c r="G303" s="226"/>
      <c r="H303" s="227"/>
      <c r="I303" s="227"/>
      <c r="J303" s="227"/>
      <c r="K303" s="228"/>
      <c r="O303">
        <f>IF(ISNUMBER(FIND($O$3,$C304)),MAXA($O$4:O302)+1,0)</f>
        <v>0</v>
      </c>
      <c r="P303" t="str">
        <f>IFERROR(INDEX($B$5:$O$625,MATCH(ROWS($P$5:$P303),$O$5:$O$625,0),2),"")</f>
        <v/>
      </c>
      <c r="Q303">
        <f>IF(ISNUMBER(FIND($Q$3,$B304)),MAXA($Q$4:Q302)+1,0)</f>
        <v>299</v>
      </c>
      <c r="R303" t="str">
        <f>IFERROR(INDEX($B$5:$Q$625,MATCH(ROWS($R$5:$R303),$Q$5:$Q$625,0),1),"")</f>
        <v>76-22-2</v>
      </c>
    </row>
    <row r="304" spans="2:18" x14ac:dyDescent="0.2">
      <c r="B304" s="225" t="s">
        <v>954</v>
      </c>
      <c r="C304" s="226" t="s">
        <v>955</v>
      </c>
      <c r="D304" s="227">
        <v>10</v>
      </c>
      <c r="E304" s="227">
        <v>40</v>
      </c>
      <c r="F304" s="227"/>
      <c r="G304" s="226"/>
      <c r="H304" s="227"/>
      <c r="I304" s="227"/>
      <c r="J304" s="227"/>
      <c r="K304" s="228"/>
      <c r="O304">
        <f>IF(ISNUMBER(FIND($O$3,$C305)),MAXA($O$4:O303)+1,0)</f>
        <v>0</v>
      </c>
      <c r="P304" t="str">
        <f>IFERROR(INDEX($B$5:$O$625,MATCH(ROWS($P$5:$P304),$O$5:$O$625,0),2),"")</f>
        <v/>
      </c>
      <c r="Q304">
        <f>IF(ISNUMBER(FIND($Q$3,$B305)),MAXA($Q$4:Q303)+1,0)</f>
        <v>300</v>
      </c>
      <c r="R304" t="str">
        <f>IFERROR(INDEX($B$5:$Q$625,MATCH(ROWS($R$5:$R304),$Q$5:$Q$625,0),1),"")</f>
        <v>105-60-2</v>
      </c>
    </row>
    <row r="305" spans="2:18" x14ac:dyDescent="0.2">
      <c r="B305" s="225" t="s">
        <v>956</v>
      </c>
      <c r="C305" s="226" t="s">
        <v>957</v>
      </c>
      <c r="D305" s="227"/>
      <c r="E305" s="227">
        <v>5</v>
      </c>
      <c r="F305" s="227"/>
      <c r="G305" s="226"/>
      <c r="H305" s="227"/>
      <c r="I305" s="227"/>
      <c r="J305" s="227"/>
      <c r="K305" s="228"/>
      <c r="O305">
        <f>IF(ISNUMBER(FIND($O$3,$C306)),MAXA($O$4:O304)+1,0)</f>
        <v>0</v>
      </c>
      <c r="P305" t="str">
        <f>IFERROR(INDEX($B$5:$O$625,MATCH(ROWS($P$5:$P305),$O$5:$O$625,0),2),"")</f>
        <v/>
      </c>
      <c r="Q305">
        <f>IF(ISNUMBER(FIND($Q$3,$B306)),MAXA($Q$4:Q304)+1,0)</f>
        <v>301</v>
      </c>
      <c r="R305" t="str">
        <f>IFERROR(INDEX($B$5:$Q$625,MATCH(ROWS($R$5:$R305),$Q$5:$Q$625,0),1),"")</f>
        <v>63-25-2</v>
      </c>
    </row>
    <row r="306" spans="2:18" x14ac:dyDescent="0.2">
      <c r="B306" s="225" t="s">
        <v>958</v>
      </c>
      <c r="C306" s="226" t="s">
        <v>959</v>
      </c>
      <c r="D306" s="227"/>
      <c r="E306" s="227">
        <v>0.1</v>
      </c>
      <c r="F306" s="227"/>
      <c r="G306" s="226"/>
      <c r="H306" s="227"/>
      <c r="I306" s="227"/>
      <c r="J306" s="227"/>
      <c r="K306" s="228"/>
      <c r="O306">
        <f>IF(ISNUMBER(FIND($O$3,$C307)),MAXA($O$4:O305)+1,0)</f>
        <v>0</v>
      </c>
      <c r="P306" t="str">
        <f>IFERROR(INDEX($B$5:$O$625,MATCH(ROWS($P$5:$P306),$O$5:$O$625,0),2),"")</f>
        <v/>
      </c>
      <c r="Q306">
        <f>IF(ISNUMBER(FIND($Q$3,$B307)),MAXA($Q$4:Q305)+1,0)</f>
        <v>302</v>
      </c>
      <c r="R306" t="str">
        <f>IFERROR(INDEX($B$5:$Q$625,MATCH(ROWS($R$5:$R306),$Q$5:$Q$625,0),1),"")</f>
        <v>1563-66-2</v>
      </c>
    </row>
    <row r="307" spans="2:18" x14ac:dyDescent="0.2">
      <c r="B307" s="225" t="s">
        <v>960</v>
      </c>
      <c r="C307" s="226" t="s">
        <v>961</v>
      </c>
      <c r="D307" s="227">
        <v>5000</v>
      </c>
      <c r="E307" s="227">
        <v>9000</v>
      </c>
      <c r="F307" s="227"/>
      <c r="G307" s="226"/>
      <c r="H307" s="227"/>
      <c r="I307" s="227"/>
      <c r="J307" s="227"/>
      <c r="K307" s="228"/>
      <c r="O307">
        <f>IF(ISNUMBER(FIND($O$3,$C308)),MAXA($O$4:O306)+1,0)</f>
        <v>0</v>
      </c>
      <c r="P307" t="str">
        <f>IFERROR(INDEX($B$5:$O$625,MATCH(ROWS($P$5:$P307),$O$5:$O$625,0),2),"")</f>
        <v/>
      </c>
      <c r="Q307">
        <f>IF(ISNUMBER(FIND($Q$3,$B308)),MAXA($Q$4:Q306)+1,0)</f>
        <v>303</v>
      </c>
      <c r="R307" t="str">
        <f>IFERROR(INDEX($B$5:$Q$625,MATCH(ROWS($R$5:$R307),$Q$5:$Q$625,0),1),"")</f>
        <v>124-38-9</v>
      </c>
    </row>
    <row r="308" spans="2:18" x14ac:dyDescent="0.2">
      <c r="B308" s="225" t="s">
        <v>962</v>
      </c>
      <c r="C308" s="226" t="s">
        <v>963</v>
      </c>
      <c r="D308" s="227">
        <v>5</v>
      </c>
      <c r="E308" s="227">
        <v>15</v>
      </c>
      <c r="F308" s="227"/>
      <c r="G308" s="226"/>
      <c r="H308" s="227"/>
      <c r="I308" s="227"/>
      <c r="J308" s="227"/>
      <c r="K308" s="228"/>
      <c r="O308">
        <f>IF(ISNUMBER(FIND($O$3,$C309)),MAXA($O$4:O307)+1,0)</f>
        <v>0</v>
      </c>
      <c r="P308" t="str">
        <f>IFERROR(INDEX($B$5:$O$625,MATCH(ROWS($P$5:$P308),$O$5:$O$625,0),2),"")</f>
        <v/>
      </c>
      <c r="Q308">
        <f>IF(ISNUMBER(FIND($Q$3,$B309)),MAXA($Q$4:Q307)+1,0)</f>
        <v>304</v>
      </c>
      <c r="R308" t="str">
        <f>IFERROR(INDEX($B$5:$Q$625,MATCH(ROWS($R$5:$R308),$Q$5:$Q$625,0),1),"")</f>
        <v>75-15-0</v>
      </c>
    </row>
    <row r="309" spans="2:18" x14ac:dyDescent="0.2">
      <c r="B309" s="225" t="s">
        <v>964</v>
      </c>
      <c r="C309" s="226" t="s">
        <v>965</v>
      </c>
      <c r="D309" s="227">
        <v>25</v>
      </c>
      <c r="E309" s="227">
        <v>29</v>
      </c>
      <c r="F309" s="227"/>
      <c r="G309" s="226">
        <v>100</v>
      </c>
      <c r="H309" s="227"/>
      <c r="I309" s="227"/>
      <c r="J309" s="227"/>
      <c r="K309" s="228"/>
      <c r="O309">
        <f>IF(ISNUMBER(FIND($O$3,$C310)),MAXA($O$4:O308)+1,0)</f>
        <v>0</v>
      </c>
      <c r="P309" t="str">
        <f>IFERROR(INDEX($B$5:$O$625,MATCH(ROWS($P$5:$P309),$O$5:$O$625,0),2),"")</f>
        <v/>
      </c>
      <c r="Q309">
        <f>IF(ISNUMBER(FIND($Q$3,$B310)),MAXA($Q$4:Q308)+1,0)</f>
        <v>305</v>
      </c>
      <c r="R309" t="str">
        <f>IFERROR(INDEX($B$5:$Q$625,MATCH(ROWS($R$5:$R309),$Q$5:$Q$625,0),1),"")</f>
        <v>630-08-0</v>
      </c>
    </row>
    <row r="310" spans="2:18" x14ac:dyDescent="0.2">
      <c r="B310" s="225" t="s">
        <v>966</v>
      </c>
      <c r="C310" s="226" t="s">
        <v>967</v>
      </c>
      <c r="D310" s="227">
        <v>0.1</v>
      </c>
      <c r="E310" s="227">
        <v>1.4</v>
      </c>
      <c r="F310" s="227"/>
      <c r="G310" s="226"/>
      <c r="H310" s="227"/>
      <c r="I310" s="227"/>
      <c r="J310" s="227"/>
      <c r="K310" s="228"/>
      <c r="O310">
        <f>IF(ISNUMBER(FIND($O$3,$C311)),MAXA($O$4:O309)+1,0)</f>
        <v>0</v>
      </c>
      <c r="P310" t="str">
        <f>IFERROR(INDEX($B$5:$O$625,MATCH(ROWS($P$5:$P310),$O$5:$O$625,0),2),"")</f>
        <v/>
      </c>
      <c r="Q310">
        <f>IF(ISNUMBER(FIND($Q$3,$B311)),MAXA($Q$4:Q309)+1,0)</f>
        <v>306</v>
      </c>
      <c r="R310" t="str">
        <f>IFERROR(INDEX($B$5:$Q$625,MATCH(ROWS($R$5:$R310),$Q$5:$Q$625,0),1),"")</f>
        <v>558-13-4</v>
      </c>
    </row>
    <row r="311" spans="2:18" x14ac:dyDescent="0.2">
      <c r="B311" s="225" t="s">
        <v>968</v>
      </c>
      <c r="C311" s="226" t="s">
        <v>969</v>
      </c>
      <c r="D311" s="227">
        <v>2</v>
      </c>
      <c r="E311" s="227">
        <v>5</v>
      </c>
      <c r="F311" s="227"/>
      <c r="G311" s="226"/>
      <c r="H311" s="227"/>
      <c r="I311" s="227"/>
      <c r="J311" s="227"/>
      <c r="K311" s="228"/>
      <c r="O311">
        <f>IF(ISNUMBER(FIND($O$3,$C312)),MAXA($O$4:O310)+1,0)</f>
        <v>0</v>
      </c>
      <c r="P311" t="str">
        <f>IFERROR(INDEX($B$5:$O$625,MATCH(ROWS($P$5:$P311),$O$5:$O$625,0),2),"")</f>
        <v/>
      </c>
      <c r="Q311">
        <f>IF(ISNUMBER(FIND($Q$3,$B312)),MAXA($Q$4:Q310)+1,0)</f>
        <v>307</v>
      </c>
      <c r="R311" t="str">
        <f>IFERROR(INDEX($B$5:$Q$625,MATCH(ROWS($R$5:$R311),$Q$5:$Q$625,0),1),"")</f>
        <v>353-50-4</v>
      </c>
    </row>
    <row r="312" spans="2:18" x14ac:dyDescent="0.2">
      <c r="B312" s="225" t="s">
        <v>970</v>
      </c>
      <c r="C312" s="226" t="s">
        <v>971</v>
      </c>
      <c r="D312" s="227">
        <v>25</v>
      </c>
      <c r="E312" s="227">
        <v>140</v>
      </c>
      <c r="F312" s="227"/>
      <c r="G312" s="226"/>
      <c r="H312" s="227"/>
      <c r="I312" s="227"/>
      <c r="J312" s="227"/>
      <c r="K312" s="228"/>
      <c r="O312">
        <f>IF(ISNUMBER(FIND($O$3,$C313)),MAXA($O$4:O311)+1,0)</f>
        <v>0</v>
      </c>
      <c r="P312" t="str">
        <f>IFERROR(INDEX($B$5:$O$625,MATCH(ROWS($P$5:$P312),$O$5:$O$625,0),2),"")</f>
        <v/>
      </c>
      <c r="Q312">
        <f>IF(ISNUMBER(FIND($Q$3,$B313)),MAXA($Q$4:Q311)+1,0)</f>
        <v>308</v>
      </c>
      <c r="R312" t="str">
        <f>IFERROR(INDEX($B$5:$Q$625,MATCH(ROWS($R$5:$R312),$Q$5:$Q$625,0),1),"")</f>
        <v>13466-78-9</v>
      </c>
    </row>
    <row r="313" spans="2:18" x14ac:dyDescent="0.2">
      <c r="B313" s="225" t="s">
        <v>972</v>
      </c>
      <c r="C313" s="226" t="s">
        <v>973</v>
      </c>
      <c r="D313" s="227">
        <v>0.5</v>
      </c>
      <c r="E313" s="227">
        <v>0.9</v>
      </c>
      <c r="F313" s="227"/>
      <c r="G313" s="226"/>
      <c r="H313" s="227"/>
      <c r="I313" s="227"/>
      <c r="J313" s="227"/>
      <c r="K313" s="228"/>
      <c r="O313">
        <f>IF(ISNUMBER(FIND($O$3,$C314)),MAXA($O$4:O312)+1,0)</f>
        <v>0</v>
      </c>
      <c r="P313" t="str">
        <f>IFERROR(INDEX($B$5:$O$625,MATCH(ROWS($P$5:$P313),$O$5:$O$625,0),2),"")</f>
        <v/>
      </c>
      <c r="Q313">
        <f>IF(ISNUMBER(FIND($Q$3,$B314)),MAXA($Q$4:Q312)+1,0)</f>
        <v>309</v>
      </c>
      <c r="R313" t="str">
        <f>IFERROR(INDEX($B$5:$Q$625,MATCH(ROWS($R$5:$R313),$Q$5:$Q$625,0),1),"")</f>
        <v>463-51-4</v>
      </c>
    </row>
    <row r="314" spans="2:18" x14ac:dyDescent="0.2">
      <c r="B314" s="225"/>
      <c r="C314" s="226" t="s">
        <v>974</v>
      </c>
      <c r="D314" s="227"/>
      <c r="E314" s="227">
        <v>6</v>
      </c>
      <c r="F314" s="227"/>
      <c r="G314" s="226"/>
      <c r="H314" s="227"/>
      <c r="I314" s="227"/>
      <c r="J314" s="227"/>
      <c r="K314" s="228"/>
      <c r="O314">
        <f>IF(ISNUMBER(FIND($O$3,$C315)),MAXA($O$4:O313)+1,0)</f>
        <v>0</v>
      </c>
      <c r="P314" t="str">
        <f>IFERROR(INDEX($B$5:$O$625,MATCH(ROWS($P$5:$P314),$O$5:$O$625,0),2),"")</f>
        <v/>
      </c>
      <c r="Q314">
        <f>IF(ISNUMBER(FIND($Q$3,$B315)),MAXA($Q$4:Q313)+1,0)</f>
        <v>310</v>
      </c>
      <c r="R314">
        <f>IFERROR(INDEX($B$5:$Q$625,MATCH(ROWS($R$5:$R314),$Q$5:$Q$625,0),1),"")</f>
        <v>0</v>
      </c>
    </row>
    <row r="315" spans="2:18" x14ac:dyDescent="0.2">
      <c r="B315" s="225"/>
      <c r="C315" s="226" t="s">
        <v>975</v>
      </c>
      <c r="D315" s="227"/>
      <c r="E315" s="227">
        <v>3</v>
      </c>
      <c r="F315" s="227"/>
      <c r="G315" s="226"/>
      <c r="H315" s="227"/>
      <c r="I315" s="227"/>
      <c r="J315" s="227"/>
      <c r="K315" s="228"/>
      <c r="O315">
        <f>IF(ISNUMBER(FIND($O$3,$C316)),MAXA($O$4:O314)+1,0)</f>
        <v>0</v>
      </c>
      <c r="P315" t="str">
        <f>IFERROR(INDEX($B$5:$O$625,MATCH(ROWS($P$5:$P315),$O$5:$O$625,0),2),"")</f>
        <v/>
      </c>
      <c r="Q315">
        <f>IF(ISNUMBER(FIND($Q$3,$B316)),MAXA($Q$4:Q314)+1,0)</f>
        <v>311</v>
      </c>
      <c r="R315">
        <f>IFERROR(INDEX($B$5:$Q$625,MATCH(ROWS($R$5:$R315),$Q$5:$Q$625,0),1),"")</f>
        <v>0</v>
      </c>
    </row>
    <row r="316" spans="2:18" x14ac:dyDescent="0.2">
      <c r="B316" s="225" t="s">
        <v>976</v>
      </c>
      <c r="C316" s="226" t="s">
        <v>977</v>
      </c>
      <c r="D316" s="227">
        <v>0.5</v>
      </c>
      <c r="E316" s="227">
        <v>1.5</v>
      </c>
      <c r="F316" s="227"/>
      <c r="G316" s="226"/>
      <c r="H316" s="227"/>
      <c r="I316" s="227">
        <v>1</v>
      </c>
      <c r="J316" s="227">
        <v>3</v>
      </c>
      <c r="K316" s="228"/>
      <c r="O316">
        <f>IF(ISNUMBER(FIND($O$3,$C317)),MAXA($O$4:O315)+1,0)</f>
        <v>0</v>
      </c>
      <c r="P316" t="str">
        <f>IFERROR(INDEX($B$5:$O$625,MATCH(ROWS($P$5:$P316),$O$5:$O$625,0),2),"")</f>
        <v/>
      </c>
      <c r="Q316">
        <f>IF(ISNUMBER(FIND($Q$3,$B317)),MAXA($Q$4:Q315)+1,0)</f>
        <v>312</v>
      </c>
      <c r="R316" t="str">
        <f>IFERROR(INDEX($B$5:$Q$625,MATCH(ROWS($R$5:$R316),$Q$5:$Q$625,0),1),"")</f>
        <v>7782-50-5</v>
      </c>
    </row>
    <row r="317" spans="2:18" x14ac:dyDescent="0.2">
      <c r="B317" s="225" t="s">
        <v>978</v>
      </c>
      <c r="C317" s="226" t="s">
        <v>979</v>
      </c>
      <c r="D317" s="227"/>
      <c r="E317" s="227"/>
      <c r="F317" s="227"/>
      <c r="G317" s="226"/>
      <c r="H317" s="227"/>
      <c r="I317" s="227">
        <v>1</v>
      </c>
      <c r="J317" s="227">
        <v>3</v>
      </c>
      <c r="K317" s="228"/>
      <c r="O317">
        <f>IF(ISNUMBER(FIND($O$3,$C318)),MAXA($O$4:O316)+1,0)</f>
        <v>0</v>
      </c>
      <c r="P317" t="str">
        <f>IFERROR(INDEX($B$5:$O$625,MATCH(ROWS($P$5:$P317),$O$5:$O$625,0),2),"")</f>
        <v/>
      </c>
      <c r="Q317">
        <f>IF(ISNUMBER(FIND($Q$3,$B318)),MAXA($Q$4:Q316)+1,0)</f>
        <v>313</v>
      </c>
      <c r="R317" t="str">
        <f>IFERROR(INDEX($B$5:$Q$625,MATCH(ROWS($R$5:$R317),$Q$5:$Q$625,0),1),"")</f>
        <v>107-20-0</v>
      </c>
    </row>
    <row r="318" spans="2:18" x14ac:dyDescent="0.2">
      <c r="B318" s="225" t="s">
        <v>980</v>
      </c>
      <c r="C318" s="226" t="s">
        <v>981</v>
      </c>
      <c r="D318" s="227">
        <v>0.05</v>
      </c>
      <c r="E318" s="227">
        <v>0.3</v>
      </c>
      <c r="F318" s="227"/>
      <c r="G318" s="226"/>
      <c r="H318" s="227"/>
      <c r="I318" s="227"/>
      <c r="J318" s="227"/>
      <c r="K318" s="228"/>
      <c r="O318">
        <f>IF(ISNUMBER(FIND($O$3,$C319)),MAXA($O$4:O317)+1,0)</f>
        <v>0</v>
      </c>
      <c r="P318" t="str">
        <f>IFERROR(INDEX($B$5:$O$625,MATCH(ROWS($P$5:$P318),$O$5:$O$625,0),2),"")</f>
        <v/>
      </c>
      <c r="Q318">
        <f>IF(ISNUMBER(FIND($Q$3,$B319)),MAXA($Q$4:Q317)+1,0)</f>
        <v>314</v>
      </c>
      <c r="R318" t="str">
        <f>IFERROR(INDEX($B$5:$Q$625,MATCH(ROWS($R$5:$R318),$Q$5:$Q$625,0),1),"")</f>
        <v>532-27-4</v>
      </c>
    </row>
    <row r="319" spans="2:18" x14ac:dyDescent="0.2">
      <c r="B319" s="225" t="s">
        <v>982</v>
      </c>
      <c r="C319" s="226" t="s">
        <v>983</v>
      </c>
      <c r="D319" s="227">
        <v>0.05</v>
      </c>
      <c r="E319" s="227">
        <v>0.2</v>
      </c>
      <c r="F319" s="227"/>
      <c r="G319" s="226"/>
      <c r="H319" s="227"/>
      <c r="I319" s="227"/>
      <c r="J319" s="227"/>
      <c r="K319" s="228"/>
      <c r="O319">
        <f>IF(ISNUMBER(FIND($O$3,$C320)),MAXA($O$4:O318)+1,0)</f>
        <v>0</v>
      </c>
      <c r="P319" t="str">
        <f>IFERROR(INDEX($B$5:$O$625,MATCH(ROWS($P$5:$P319),$O$5:$O$625,0),2),"")</f>
        <v/>
      </c>
      <c r="Q319">
        <f>IF(ISNUMBER(FIND($Q$3,$B320)),MAXA($Q$4:Q318)+1,0)</f>
        <v>315</v>
      </c>
      <c r="R319" t="str">
        <f>IFERROR(INDEX($B$5:$Q$625,MATCH(ROWS($R$5:$R319),$Q$5:$Q$625,0),1),"")</f>
        <v>79-04-9</v>
      </c>
    </row>
    <row r="320" spans="2:18" x14ac:dyDescent="0.2">
      <c r="B320" s="225" t="s">
        <v>984</v>
      </c>
      <c r="C320" s="226" t="s">
        <v>985</v>
      </c>
      <c r="D320" s="227">
        <v>5</v>
      </c>
      <c r="E320" s="227">
        <v>23</v>
      </c>
      <c r="F320" s="227"/>
      <c r="G320" s="226"/>
      <c r="H320" s="227"/>
      <c r="I320" s="227"/>
      <c r="J320" s="227"/>
      <c r="K320" s="228"/>
      <c r="O320">
        <f>IF(ISNUMBER(FIND($O$3,$C321)),MAXA($O$4:O319)+1,0)</f>
        <v>0</v>
      </c>
      <c r="P320" t="str">
        <f>IFERROR(INDEX($B$5:$O$625,MATCH(ROWS($P$5:$P320),$O$5:$O$625,0),2),"")</f>
        <v/>
      </c>
      <c r="Q320">
        <f>IF(ISNUMBER(FIND($Q$3,$B321)),MAXA($Q$4:Q319)+1,0)</f>
        <v>316</v>
      </c>
      <c r="R320" t="str">
        <f>IFERROR(INDEX($B$5:$Q$625,MATCH(ROWS($R$5:$R320),$Q$5:$Q$625,0),1),"")</f>
        <v>108-90-7</v>
      </c>
    </row>
    <row r="321" spans="2:18" x14ac:dyDescent="0.2">
      <c r="B321" s="225" t="s">
        <v>986</v>
      </c>
      <c r="C321" s="226" t="s">
        <v>987</v>
      </c>
      <c r="D321" s="227">
        <v>0.05</v>
      </c>
      <c r="E321" s="227">
        <v>0.4</v>
      </c>
      <c r="F321" s="227"/>
      <c r="G321" s="226"/>
      <c r="H321" s="227"/>
      <c r="I321" s="227"/>
      <c r="J321" s="227"/>
      <c r="K321" s="228"/>
      <c r="O321">
        <f>IF(ISNUMBER(FIND($O$3,$C322)),MAXA($O$4:O320)+1,0)</f>
        <v>0</v>
      </c>
      <c r="P321" t="str">
        <f>IFERROR(INDEX($B$5:$O$625,MATCH(ROWS($P$5:$P321),$O$5:$O$625,0),2),"")</f>
        <v/>
      </c>
      <c r="Q321">
        <f>IF(ISNUMBER(FIND($Q$3,$B322)),MAXA($Q$4:Q320)+1,0)</f>
        <v>317</v>
      </c>
      <c r="R321" t="str">
        <f>IFERROR(INDEX($B$5:$Q$625,MATCH(ROWS($R$5:$R321),$Q$5:$Q$625,0),1),"")</f>
        <v>2698-41-1</v>
      </c>
    </row>
    <row r="322" spans="2:18" x14ac:dyDescent="0.2">
      <c r="B322" s="225" t="s">
        <v>988</v>
      </c>
      <c r="C322" s="226" t="s">
        <v>989</v>
      </c>
      <c r="D322" s="227"/>
      <c r="E322" s="227">
        <v>0.5</v>
      </c>
      <c r="F322" s="227"/>
      <c r="G322" s="226"/>
      <c r="H322" s="227"/>
      <c r="I322" s="227"/>
      <c r="J322" s="227"/>
      <c r="K322" s="228"/>
      <c r="O322">
        <f>IF(ISNUMBER(FIND($O$3,$C323)),MAXA($O$4:O321)+1,0)</f>
        <v>0</v>
      </c>
      <c r="P322" t="str">
        <f>IFERROR(INDEX($B$5:$O$625,MATCH(ROWS($P$5:$P322),$O$5:$O$625,0),2),"")</f>
        <v/>
      </c>
      <c r="Q322">
        <f>IF(ISNUMBER(FIND($Q$3,$B323)),MAXA($Q$4:Q321)+1,0)</f>
        <v>318</v>
      </c>
      <c r="R322" t="str">
        <f>IFERROR(INDEX($B$5:$Q$625,MATCH(ROWS($R$5:$R322),$Q$5:$Q$625,0),1),"")</f>
        <v>57-74-9</v>
      </c>
    </row>
    <row r="323" spans="2:18" x14ac:dyDescent="0.2">
      <c r="B323" s="225" t="s">
        <v>990</v>
      </c>
      <c r="C323" s="226" t="s">
        <v>991</v>
      </c>
      <c r="D323" s="227">
        <v>0.1</v>
      </c>
      <c r="E323" s="227">
        <v>0.3</v>
      </c>
      <c r="F323" s="227"/>
      <c r="G323" s="226"/>
      <c r="H323" s="227"/>
      <c r="I323" s="227"/>
      <c r="J323" s="227"/>
      <c r="K323" s="228"/>
      <c r="O323">
        <f>IF(ISNUMBER(FIND($O$3,$C324)),MAXA($O$4:O322)+1,0)</f>
        <v>0</v>
      </c>
      <c r="P323" t="str">
        <f>IFERROR(INDEX($B$5:$O$625,MATCH(ROWS($P$5:$P323),$O$5:$O$625,0),2),"")</f>
        <v/>
      </c>
      <c r="Q323">
        <f>IF(ISNUMBER(FIND($Q$3,$B324)),MAXA($Q$4:Q322)+1,0)</f>
        <v>319</v>
      </c>
      <c r="R323" t="str">
        <f>IFERROR(INDEX($B$5:$Q$625,MATCH(ROWS($R$5:$R323),$Q$5:$Q$625,0),1),"")</f>
        <v>10049-04-4</v>
      </c>
    </row>
    <row r="324" spans="2:18" x14ac:dyDescent="0.2">
      <c r="B324" s="225" t="s">
        <v>992</v>
      </c>
      <c r="C324" s="226" t="s">
        <v>993</v>
      </c>
      <c r="D324" s="227">
        <v>0.5</v>
      </c>
      <c r="E324" s="227">
        <v>1.9</v>
      </c>
      <c r="F324" s="227"/>
      <c r="G324" s="226"/>
      <c r="H324" s="227"/>
      <c r="I324" s="227"/>
      <c r="J324" s="227"/>
      <c r="K324" s="228"/>
      <c r="O324">
        <f>IF(ISNUMBER(FIND($O$3,$C325)),MAXA($O$4:O323)+1,0)</f>
        <v>0</v>
      </c>
      <c r="P324" t="str">
        <f>IFERROR(INDEX($B$5:$O$625,MATCH(ROWS($P$5:$P324),$O$5:$O$625,0),2),"")</f>
        <v/>
      </c>
      <c r="Q324">
        <f>IF(ISNUMBER(FIND($Q$3,$B325)),MAXA($Q$4:Q323)+1,0)</f>
        <v>320</v>
      </c>
      <c r="R324" t="str">
        <f>IFERROR(INDEX($B$5:$Q$625,MATCH(ROWS($R$5:$R324),$Q$5:$Q$625,0),1),"")</f>
        <v>106-89-8</v>
      </c>
    </row>
    <row r="325" spans="2:18" x14ac:dyDescent="0.2">
      <c r="B325" s="225" t="s">
        <v>994</v>
      </c>
      <c r="C325" s="226" t="s">
        <v>995</v>
      </c>
      <c r="D325" s="227"/>
      <c r="E325" s="227">
        <v>0.5</v>
      </c>
      <c r="F325" s="227"/>
      <c r="G325" s="226"/>
      <c r="H325" s="227"/>
      <c r="I325" s="227"/>
      <c r="J325" s="227"/>
      <c r="K325" s="228"/>
      <c r="O325">
        <f>IF(ISNUMBER(FIND($O$3,$C326)),MAXA($O$4:O324)+1,0)</f>
        <v>0</v>
      </c>
      <c r="P325" t="str">
        <f>IFERROR(INDEX($B$5:$O$625,MATCH(ROWS($P$5:$P325),$O$5:$O$625,0),2),"")</f>
        <v/>
      </c>
      <c r="Q325">
        <f>IF(ISNUMBER(FIND($Q$3,$B326)),MAXA($Q$4:Q324)+1,0)</f>
        <v>321</v>
      </c>
      <c r="R325" t="str">
        <f>IFERROR(INDEX($B$5:$Q$625,MATCH(ROWS($R$5:$R325),$Q$5:$Q$625,0),1),"")</f>
        <v>55720-99-5</v>
      </c>
    </row>
    <row r="326" spans="2:18" x14ac:dyDescent="0.2">
      <c r="B326" s="225" t="s">
        <v>996</v>
      </c>
      <c r="C326" s="226" t="s">
        <v>997</v>
      </c>
      <c r="D326" s="227">
        <v>100</v>
      </c>
      <c r="E326" s="227">
        <v>270</v>
      </c>
      <c r="F326" s="227"/>
      <c r="G326" s="226"/>
      <c r="H326" s="227"/>
      <c r="I326" s="227"/>
      <c r="J326" s="227"/>
      <c r="K326" s="228"/>
      <c r="O326">
        <f>IF(ISNUMBER(FIND($O$3,$C327)),MAXA($O$4:O325)+1,0)</f>
        <v>0</v>
      </c>
      <c r="P326" t="str">
        <f>IFERROR(INDEX($B$5:$O$625,MATCH(ROWS($P$5:$P326),$O$5:$O$625,0),2),"")</f>
        <v/>
      </c>
      <c r="Q326">
        <f>IF(ISNUMBER(FIND($Q$3,$B327)),MAXA($Q$4:Q325)+1,0)</f>
        <v>322</v>
      </c>
      <c r="R326" t="str">
        <f>IFERROR(INDEX($B$5:$Q$625,MATCH(ROWS($R$5:$R326),$Q$5:$Q$625,0),1),"")</f>
        <v>75-00-3</v>
      </c>
    </row>
    <row r="327" spans="2:18" x14ac:dyDescent="0.2">
      <c r="B327" s="225" t="s">
        <v>998</v>
      </c>
      <c r="C327" s="226" t="s">
        <v>999</v>
      </c>
      <c r="D327" s="227"/>
      <c r="E327" s="227"/>
      <c r="F327" s="227"/>
      <c r="G327" s="226"/>
      <c r="H327" s="227"/>
      <c r="I327" s="227">
        <v>1</v>
      </c>
      <c r="J327" s="227">
        <v>3</v>
      </c>
      <c r="K327" s="228"/>
      <c r="O327">
        <f>IF(ISNUMBER(FIND($O$3,$C328)),MAXA($O$4:O326)+1,0)</f>
        <v>0</v>
      </c>
      <c r="P327" t="str">
        <f>IFERROR(INDEX($B$5:$O$625,MATCH(ROWS($P$5:$P327),$O$5:$O$625,0),2),"")</f>
        <v/>
      </c>
      <c r="Q327">
        <f>IF(ISNUMBER(FIND($Q$3,$B328)),MAXA($Q$4:Q326)+1,0)</f>
        <v>323</v>
      </c>
      <c r="R327" t="str">
        <f>IFERROR(INDEX($B$5:$Q$625,MATCH(ROWS($R$5:$R327),$Q$5:$Q$625,0),1),"")</f>
        <v>107-07-3</v>
      </c>
    </row>
    <row r="328" spans="2:18" x14ac:dyDescent="0.2">
      <c r="B328" s="225" t="s">
        <v>1000</v>
      </c>
      <c r="C328" s="226" t="s">
        <v>1001</v>
      </c>
      <c r="D328" s="227">
        <v>20</v>
      </c>
      <c r="E328" s="227">
        <v>40</v>
      </c>
      <c r="F328" s="227"/>
      <c r="G328" s="226"/>
      <c r="H328" s="227"/>
      <c r="I328" s="227"/>
      <c r="J328" s="227"/>
      <c r="K328" s="228"/>
      <c r="O328">
        <f>IF(ISNUMBER(FIND($O$3,$C329)),MAXA($O$4:O327)+1,0)</f>
        <v>0</v>
      </c>
      <c r="P328" t="str">
        <f>IFERROR(INDEX($B$5:$O$625,MATCH(ROWS($P$5:$P328),$O$5:$O$625,0),2),"")</f>
        <v/>
      </c>
      <c r="Q328">
        <f>IF(ISNUMBER(FIND($Q$3,$B329)),MAXA($Q$4:Q327)+1,0)</f>
        <v>324</v>
      </c>
      <c r="R328" t="str">
        <f>IFERROR(INDEX($B$5:$Q$625,MATCH(ROWS($R$5:$R328),$Q$5:$Q$625,0),1),"")</f>
        <v>74-87-3</v>
      </c>
    </row>
    <row r="329" spans="2:18" x14ac:dyDescent="0.2">
      <c r="B329" s="225" t="s">
        <v>1002</v>
      </c>
      <c r="C329" s="226" t="s">
        <v>1003</v>
      </c>
      <c r="D329" s="227"/>
      <c r="E329" s="227">
        <v>1</v>
      </c>
      <c r="F329" s="227"/>
      <c r="G329" s="226"/>
      <c r="H329" s="227"/>
      <c r="I329" s="227"/>
      <c r="J329" s="227"/>
      <c r="K329" s="228"/>
      <c r="O329">
        <f>IF(ISNUMBER(FIND($O$3,$C330)),MAXA($O$4:O328)+1,0)</f>
        <v>0</v>
      </c>
      <c r="P329" t="str">
        <f>IFERROR(INDEX($B$5:$O$625,MATCH(ROWS($P$5:$P329),$O$5:$O$625,0),2),"")</f>
        <v/>
      </c>
      <c r="Q329">
        <f>IF(ISNUMBER(FIND($Q$3,$B330)),MAXA($Q$4:Q328)+1,0)</f>
        <v>325</v>
      </c>
      <c r="R329" t="str">
        <f>IFERROR(INDEX($B$5:$Q$625,MATCH(ROWS($R$5:$R329),$Q$5:$Q$625,0),1),"")</f>
        <v>100-00-5</v>
      </c>
    </row>
    <row r="330" spans="2:18" x14ac:dyDescent="0.2">
      <c r="B330" s="225" t="s">
        <v>1004</v>
      </c>
      <c r="C330" s="226" t="s">
        <v>1005</v>
      </c>
      <c r="D330" s="227">
        <v>2</v>
      </c>
      <c r="E330" s="227">
        <v>10</v>
      </c>
      <c r="F330" s="227"/>
      <c r="G330" s="226"/>
      <c r="H330" s="227"/>
      <c r="I330" s="227"/>
      <c r="J330" s="227"/>
      <c r="K330" s="228"/>
      <c r="O330">
        <f>IF(ISNUMBER(FIND($O$3,$C331)),MAXA($O$4:O329)+1,0)</f>
        <v>0</v>
      </c>
      <c r="P330" t="str">
        <f>IFERROR(INDEX($B$5:$O$625,MATCH(ROWS($P$5:$P330),$O$5:$O$625,0),2),"")</f>
        <v/>
      </c>
      <c r="Q330">
        <f>IF(ISNUMBER(FIND($Q$3,$B331)),MAXA($Q$4:Q329)+1,0)</f>
        <v>326</v>
      </c>
      <c r="R330" t="str">
        <f>IFERROR(INDEX($B$5:$Q$625,MATCH(ROWS($R$5:$R330),$Q$5:$Q$625,0),1),"")</f>
        <v>600-25-9</v>
      </c>
    </row>
    <row r="331" spans="2:18" x14ac:dyDescent="0.2">
      <c r="B331" s="225" t="s">
        <v>1006</v>
      </c>
      <c r="C331" s="226" t="s">
        <v>1007</v>
      </c>
      <c r="D331" s="227">
        <v>1</v>
      </c>
      <c r="E331" s="227">
        <v>3.6</v>
      </c>
      <c r="F331" s="227"/>
      <c r="G331" s="226"/>
      <c r="H331" s="227"/>
      <c r="I331" s="227"/>
      <c r="J331" s="227"/>
      <c r="K331" s="228"/>
      <c r="O331">
        <f>IF(ISNUMBER(FIND($O$3,$C332)),MAXA($O$4:O330)+1,0)</f>
        <v>0</v>
      </c>
      <c r="P331" t="str">
        <f>IFERROR(INDEX($B$5:$O$625,MATCH(ROWS($P$5:$P331),$O$5:$O$625,0),2),"")</f>
        <v/>
      </c>
      <c r="Q331">
        <f>IF(ISNUMBER(FIND($Q$3,$B332)),MAXA($Q$4:Q330)+1,0)</f>
        <v>327</v>
      </c>
      <c r="R331" t="str">
        <f>IFERROR(INDEX($B$5:$Q$625,MATCH(ROWS($R$5:$R331),$Q$5:$Q$625,0),1),"")</f>
        <v>126-99-8</v>
      </c>
    </row>
    <row r="332" spans="2:18" x14ac:dyDescent="0.2">
      <c r="B332" s="225" t="s">
        <v>1008</v>
      </c>
      <c r="C332" s="226" t="s">
        <v>1009</v>
      </c>
      <c r="D332" s="227">
        <v>1</v>
      </c>
      <c r="E332" s="227">
        <v>3</v>
      </c>
      <c r="F332" s="227"/>
      <c r="G332" s="226"/>
      <c r="H332" s="227"/>
      <c r="I332" s="227"/>
      <c r="J332" s="227"/>
      <c r="K332" s="228"/>
      <c r="O332">
        <f>IF(ISNUMBER(FIND($O$3,$C333)),MAXA($O$4:O331)+1,0)</f>
        <v>0</v>
      </c>
      <c r="P332" t="str">
        <f>IFERROR(INDEX($B$5:$O$625,MATCH(ROWS($P$5:$P332),$O$5:$O$625,0),2),"")</f>
        <v/>
      </c>
      <c r="Q332">
        <f>IF(ISNUMBER(FIND($Q$3,$B333)),MAXA($Q$4:Q331)+1,0)</f>
        <v>328</v>
      </c>
      <c r="R332" t="str">
        <f>IFERROR(INDEX($B$5:$Q$625,MATCH(ROWS($R$5:$R332),$Q$5:$Q$625,0),1),"")</f>
        <v>107-05-1</v>
      </c>
    </row>
    <row r="333" spans="2:18" x14ac:dyDescent="0.2">
      <c r="B333" s="225" t="s">
        <v>1010</v>
      </c>
      <c r="C333" s="226" t="s">
        <v>1011</v>
      </c>
      <c r="D333" s="227"/>
      <c r="E333" s="227">
        <v>0.2</v>
      </c>
      <c r="F333" s="227"/>
      <c r="G333" s="226"/>
      <c r="H333" s="227"/>
      <c r="I333" s="227"/>
      <c r="J333" s="227"/>
      <c r="K333" s="228"/>
      <c r="O333">
        <f>IF(ISNUMBER(FIND($O$3,$C334)),MAXA($O$4:O332)+1,0)</f>
        <v>1</v>
      </c>
      <c r="P333" t="str">
        <f>IFERROR(INDEX($B$5:$O$625,MATCH(ROWS($P$5:$P333),$O$5:$O$625,0),2),"")</f>
        <v/>
      </c>
      <c r="Q333">
        <f>IF(ISNUMBER(FIND($Q$3,$B334)),MAXA($Q$4:Q332)+1,0)</f>
        <v>329</v>
      </c>
      <c r="R333" t="str">
        <f>IFERROR(INDEX($B$5:$Q$625,MATCH(ROWS($R$5:$R333),$Q$5:$Q$625,0),1),"")</f>
        <v>2921-88-2</v>
      </c>
    </row>
    <row r="334" spans="2:18" x14ac:dyDescent="0.2">
      <c r="B334" s="225" t="s">
        <v>1012</v>
      </c>
      <c r="C334" s="226" t="s">
        <v>1013</v>
      </c>
      <c r="D334" s="227">
        <v>25</v>
      </c>
      <c r="E334" s="227">
        <v>140</v>
      </c>
      <c r="F334" s="227"/>
      <c r="G334" s="226"/>
      <c r="H334" s="227"/>
      <c r="I334" s="227"/>
      <c r="J334" s="227"/>
      <c r="K334" s="228"/>
      <c r="O334">
        <f>IF(ISNUMBER(FIND($O$3,$C335)),MAXA($O$4:O333)+1,0)</f>
        <v>0</v>
      </c>
      <c r="P334" t="str">
        <f>IFERROR(INDEX($B$5:$O$625,MATCH(ROWS($P$5:$P334),$O$5:$O$625,0),2),"")</f>
        <v/>
      </c>
      <c r="Q334">
        <f>IF(ISNUMBER(FIND($Q$3,$B335)),MAXA($Q$4:Q333)+1,0)</f>
        <v>330</v>
      </c>
      <c r="R334" t="str">
        <f>IFERROR(INDEX($B$5:$Q$625,MATCH(ROWS($R$5:$R334),$Q$5:$Q$625,0),1),"")</f>
        <v>2039-87-4</v>
      </c>
    </row>
    <row r="335" spans="2:18" x14ac:dyDescent="0.2">
      <c r="B335" s="225" t="s">
        <v>1014</v>
      </c>
      <c r="C335" s="226" t="s">
        <v>1015</v>
      </c>
      <c r="D335" s="227"/>
      <c r="E335" s="227"/>
      <c r="F335" s="227"/>
      <c r="G335" s="226"/>
      <c r="H335" s="227"/>
      <c r="I335" s="227">
        <v>1</v>
      </c>
      <c r="J335" s="227">
        <v>5</v>
      </c>
      <c r="K335" s="228"/>
      <c r="O335">
        <f>IF(ISNUMBER(FIND($O$3,$C336)),MAXA($O$4:O334)+1,0)</f>
        <v>0</v>
      </c>
      <c r="P335" t="str">
        <f>IFERROR(INDEX($B$5:$O$625,MATCH(ROWS($P$5:$P335),$O$5:$O$625,0),2),"")</f>
        <v/>
      </c>
      <c r="Q335">
        <f>IF(ISNUMBER(FIND($Q$3,$B336)),MAXA($Q$4:Q334)+1,0)</f>
        <v>331</v>
      </c>
      <c r="R335" t="str">
        <f>IFERROR(INDEX($B$5:$Q$625,MATCH(ROWS($R$5:$R335),$Q$5:$Q$625,0),1),"")</f>
        <v>100-44-7</v>
      </c>
    </row>
    <row r="336" spans="2:18" x14ac:dyDescent="0.2">
      <c r="B336" s="225" t="s">
        <v>1016</v>
      </c>
      <c r="C336" s="226" t="s">
        <v>1017</v>
      </c>
      <c r="D336" s="227">
        <v>25</v>
      </c>
      <c r="E336" s="227">
        <v>125</v>
      </c>
      <c r="F336" s="227"/>
      <c r="G336" s="226"/>
      <c r="H336" s="227"/>
      <c r="I336" s="227"/>
      <c r="J336" s="227"/>
      <c r="K336" s="228"/>
      <c r="O336">
        <f>IF(ISNUMBER(FIND($O$3,$C337)),MAXA($O$4:O335)+1,0)</f>
        <v>0</v>
      </c>
      <c r="P336" t="str">
        <f>IFERROR(INDEX($B$5:$O$625,MATCH(ROWS($P$5:$P336),$O$5:$O$625,0),2),"")</f>
        <v/>
      </c>
      <c r="Q336">
        <f>IF(ISNUMBER(FIND($Q$3,$B337)),MAXA($Q$4:Q335)+1,0)</f>
        <v>332</v>
      </c>
      <c r="R336" t="str">
        <f>IFERROR(INDEX($B$5:$Q$625,MATCH(ROWS($R$5:$R336),$Q$5:$Q$625,0),1),"")</f>
        <v>95-49-8</v>
      </c>
    </row>
    <row r="337" spans="2:18" x14ac:dyDescent="0.2">
      <c r="B337" s="225" t="s">
        <v>1018</v>
      </c>
      <c r="C337" s="226" t="s">
        <v>1019</v>
      </c>
      <c r="D337" s="227">
        <v>0.1</v>
      </c>
      <c r="E337" s="227">
        <v>0.4</v>
      </c>
      <c r="F337" s="227"/>
      <c r="G337" s="226"/>
      <c r="H337" s="227"/>
      <c r="I337" s="227"/>
      <c r="J337" s="227"/>
      <c r="K337" s="228"/>
      <c r="O337">
        <f>IF(ISNUMBER(FIND($O$3,$C338)),MAXA($O$4:O336)+1,0)</f>
        <v>0</v>
      </c>
      <c r="P337" t="str">
        <f>IFERROR(INDEX($B$5:$O$625,MATCH(ROWS($P$5:$P337),$O$5:$O$625,0),2),"")</f>
        <v/>
      </c>
      <c r="Q337">
        <f>IF(ISNUMBER(FIND($Q$3,$B338)),MAXA($Q$4:Q336)+1,0)</f>
        <v>333</v>
      </c>
      <c r="R337" t="str">
        <f>IFERROR(INDEX($B$5:$Q$625,MATCH(ROWS($R$5:$R337),$Q$5:$Q$625,0),1),"")</f>
        <v>7790-91-2</v>
      </c>
    </row>
    <row r="338" spans="2:18" x14ac:dyDescent="0.2">
      <c r="B338" s="225" t="s">
        <v>1020</v>
      </c>
      <c r="C338" s="226" t="s">
        <v>1021</v>
      </c>
      <c r="D338" s="227"/>
      <c r="E338" s="227">
        <v>0.1</v>
      </c>
      <c r="F338" s="227"/>
      <c r="G338" s="226"/>
      <c r="H338" s="227"/>
      <c r="I338" s="227"/>
      <c r="J338" s="227"/>
      <c r="K338" s="228"/>
      <c r="O338">
        <f>IF(ISNUMBER(FIND($O$3,$C339)),MAXA($O$4:O337)+1,0)</f>
        <v>0</v>
      </c>
      <c r="P338" t="str">
        <f>IFERROR(INDEX($B$5:$O$625,MATCH(ROWS($P$5:$P338),$O$5:$O$625,0),2),"")</f>
        <v/>
      </c>
      <c r="Q338">
        <f>IF(ISNUMBER(FIND($Q$3,$B339)),MAXA($Q$4:Q337)+1,0)</f>
        <v>334</v>
      </c>
      <c r="R338" t="str">
        <f>IFERROR(INDEX($B$5:$Q$625,MATCH(ROWS($R$5:$R338),$Q$5:$Q$625,0),1),"")</f>
        <v>7440-50-8</v>
      </c>
    </row>
    <row r="339" spans="2:18" x14ac:dyDescent="0.2">
      <c r="B339" s="225" t="s">
        <v>1020</v>
      </c>
      <c r="C339" s="226" t="s">
        <v>1022</v>
      </c>
      <c r="D339" s="227"/>
      <c r="E339" s="227">
        <v>1</v>
      </c>
      <c r="F339" s="227"/>
      <c r="G339" s="226"/>
      <c r="H339" s="227"/>
      <c r="I339" s="227"/>
      <c r="J339" s="227"/>
      <c r="K339" s="228"/>
      <c r="O339">
        <f>IF(ISNUMBER(FIND($O$3,$C340)),MAXA($O$4:O338)+1,0)</f>
        <v>0</v>
      </c>
      <c r="P339" t="str">
        <f>IFERROR(INDEX($B$5:$O$625,MATCH(ROWS($P$5:$P339),$O$5:$O$625,0),2),"")</f>
        <v/>
      </c>
      <c r="Q339">
        <f>IF(ISNUMBER(FIND($Q$3,$B340)),MAXA($Q$4:Q338)+1,0)</f>
        <v>335</v>
      </c>
      <c r="R339" t="str">
        <f>IFERROR(INDEX($B$5:$Q$625,MATCH(ROWS($R$5:$R339),$Q$5:$Q$625,0),1),"")</f>
        <v>7440-50-8</v>
      </c>
    </row>
    <row r="340" spans="2:18" x14ac:dyDescent="0.2">
      <c r="B340" s="225"/>
      <c r="C340" s="226" t="s">
        <v>1023</v>
      </c>
      <c r="D340" s="227"/>
      <c r="E340" s="227">
        <v>0.02</v>
      </c>
      <c r="F340" s="227"/>
      <c r="G340" s="226"/>
      <c r="H340" s="227"/>
      <c r="I340" s="227"/>
      <c r="J340" s="227"/>
      <c r="K340" s="228"/>
      <c r="O340">
        <f>IF(ISNUMBER(FIND($O$3,$C341)),MAXA($O$4:O339)+1,0)</f>
        <v>0</v>
      </c>
      <c r="P340" t="str">
        <f>IFERROR(INDEX($B$5:$O$625,MATCH(ROWS($P$5:$P340),$O$5:$O$625,0),2),"")</f>
        <v/>
      </c>
      <c r="Q340">
        <f>IF(ISNUMBER(FIND($Q$3,$B341)),MAXA($Q$4:Q339)+1,0)</f>
        <v>336</v>
      </c>
      <c r="R340">
        <f>IFERROR(INDEX($B$5:$Q$625,MATCH(ROWS($R$5:$R340),$Q$5:$Q$625,0),1),"")</f>
        <v>0</v>
      </c>
    </row>
    <row r="341" spans="2:18" x14ac:dyDescent="0.2">
      <c r="B341" s="225"/>
      <c r="C341" s="226" t="s">
        <v>1024</v>
      </c>
      <c r="D341" s="227"/>
      <c r="E341" s="227">
        <v>0.02</v>
      </c>
      <c r="F341" s="227"/>
      <c r="G341" s="226"/>
      <c r="H341" s="227"/>
      <c r="I341" s="227"/>
      <c r="J341" s="227"/>
      <c r="K341" s="228"/>
      <c r="O341">
        <f>IF(ISNUMBER(FIND($O$3,$C342)),MAXA($O$4:O340)+1,0)</f>
        <v>0</v>
      </c>
      <c r="P341" t="str">
        <f>IFERROR(INDEX($B$5:$O$625,MATCH(ROWS($P$5:$P341),$O$5:$O$625,0),2),"")</f>
        <v/>
      </c>
      <c r="Q341">
        <f>IF(ISNUMBER(FIND($Q$3,$B342)),MAXA($Q$4:Q340)+1,0)</f>
        <v>337</v>
      </c>
      <c r="R341">
        <f>IFERROR(INDEX($B$5:$Q$625,MATCH(ROWS($R$5:$R341),$Q$5:$Q$625,0),1),"")</f>
        <v>0</v>
      </c>
    </row>
    <row r="342" spans="2:18" x14ac:dyDescent="0.2">
      <c r="B342" s="225"/>
      <c r="C342" s="226" t="s">
        <v>1025</v>
      </c>
      <c r="D342" s="227"/>
      <c r="E342" s="227">
        <v>0.1</v>
      </c>
      <c r="F342" s="227"/>
      <c r="G342" s="226"/>
      <c r="H342" s="227"/>
      <c r="I342" s="227"/>
      <c r="J342" s="227"/>
      <c r="K342" s="228"/>
      <c r="O342">
        <f>IF(ISNUMBER(FIND($O$3,$C343)),MAXA($O$4:O341)+1,0)</f>
        <v>0</v>
      </c>
      <c r="P342" t="str">
        <f>IFERROR(INDEX($B$5:$O$625,MATCH(ROWS($P$5:$P342),$O$5:$O$625,0),2),"")</f>
        <v/>
      </c>
      <c r="Q342">
        <f>IF(ISNUMBER(FIND($Q$3,$B343)),MAXA($Q$4:Q341)+1,0)</f>
        <v>338</v>
      </c>
      <c r="R342">
        <f>IFERROR(INDEX($B$5:$Q$625,MATCH(ROWS($R$5:$R342),$Q$5:$Q$625,0),1),"")</f>
        <v>0</v>
      </c>
    </row>
    <row r="343" spans="2:18" x14ac:dyDescent="0.2">
      <c r="B343" s="225"/>
      <c r="C343" s="226" t="s">
        <v>1026</v>
      </c>
      <c r="D343" s="227"/>
      <c r="E343" s="227">
        <v>0.1</v>
      </c>
      <c r="F343" s="227"/>
      <c r="G343" s="226"/>
      <c r="H343" s="227"/>
      <c r="I343" s="227"/>
      <c r="J343" s="227"/>
      <c r="K343" s="228"/>
      <c r="O343">
        <f>IF(ISNUMBER(FIND($O$3,$C344)),MAXA($O$4:O342)+1,0)</f>
        <v>0</v>
      </c>
      <c r="P343" t="str">
        <f>IFERROR(INDEX($B$5:$O$625,MATCH(ROWS($P$5:$P343),$O$5:$O$625,0),2),"")</f>
        <v/>
      </c>
      <c r="Q343">
        <f>IF(ISNUMBER(FIND($Q$3,$B344)),MAXA($Q$4:Q342)+1,0)</f>
        <v>339</v>
      </c>
      <c r="R343">
        <f>IFERROR(INDEX($B$5:$Q$625,MATCH(ROWS($R$5:$R343),$Q$5:$Q$625,0),1),"")</f>
        <v>0</v>
      </c>
    </row>
    <row r="344" spans="2:18" x14ac:dyDescent="0.2">
      <c r="B344" s="225" t="s">
        <v>1027</v>
      </c>
      <c r="C344" s="226" t="s">
        <v>1028</v>
      </c>
      <c r="D344" s="227">
        <v>5</v>
      </c>
      <c r="E344" s="227">
        <v>22</v>
      </c>
      <c r="F344" s="227"/>
      <c r="G344" s="226"/>
      <c r="H344" s="227"/>
      <c r="I344" s="227"/>
      <c r="J344" s="227"/>
      <c r="K344" s="228"/>
      <c r="O344">
        <f>IF(ISNUMBER(FIND($O$3,$C345)),MAXA($O$4:O343)+1,0)</f>
        <v>0</v>
      </c>
      <c r="P344" t="str">
        <f>IFERROR(INDEX($B$5:$O$625,MATCH(ROWS($P$5:$P344),$O$5:$O$625,0),2),"")</f>
        <v/>
      </c>
      <c r="Q344">
        <f>IF(ISNUMBER(FIND($Q$3,$B345)),MAXA($Q$4:Q343)+1,0)</f>
        <v>340</v>
      </c>
      <c r="R344" t="str">
        <f>IFERROR(INDEX($B$5:$Q$625,MATCH(ROWS($R$5:$R344),$Q$5:$Q$625,0),1),"")</f>
        <v>1319-77-3</v>
      </c>
    </row>
    <row r="345" spans="2:18" x14ac:dyDescent="0.2">
      <c r="B345" s="225" t="s">
        <v>1029</v>
      </c>
      <c r="C345" s="226" t="s">
        <v>1030</v>
      </c>
      <c r="D345" s="227"/>
      <c r="E345" s="227">
        <v>0.15</v>
      </c>
      <c r="F345" s="227"/>
      <c r="G345" s="226"/>
      <c r="H345" s="227"/>
      <c r="I345" s="227"/>
      <c r="J345" s="227"/>
      <c r="K345" s="228"/>
      <c r="O345">
        <f>IF(ISNUMBER(FIND($O$3,$C346)),MAXA($O$4:O344)+1,0)</f>
        <v>0</v>
      </c>
      <c r="P345" t="str">
        <f>IFERROR(INDEX($B$5:$O$625,MATCH(ROWS($P$5:$P345),$O$5:$O$625,0),2),"")</f>
        <v/>
      </c>
      <c r="Q345">
        <f>IF(ISNUMBER(FIND($Q$3,$B346)),MAXA($Q$4:Q344)+1,0)</f>
        <v>341</v>
      </c>
      <c r="R345" t="str">
        <f>IFERROR(INDEX($B$5:$Q$625,MATCH(ROWS($R$5:$R345),$Q$5:$Q$625,0),1),"")</f>
        <v>14464-46-1</v>
      </c>
    </row>
    <row r="346" spans="2:18" x14ac:dyDescent="0.2">
      <c r="B346" s="225" t="s">
        <v>1029</v>
      </c>
      <c r="C346" s="226" t="s">
        <v>1031</v>
      </c>
      <c r="D346" s="227"/>
      <c r="E346" s="227">
        <v>0.05</v>
      </c>
      <c r="F346" s="227"/>
      <c r="G346" s="226"/>
      <c r="H346" s="227"/>
      <c r="I346" s="227"/>
      <c r="J346" s="227"/>
      <c r="K346" s="228"/>
      <c r="O346">
        <f>IF(ISNUMBER(FIND($O$3,$C347)),MAXA($O$4:O345)+1,0)</f>
        <v>0</v>
      </c>
      <c r="P346" t="str">
        <f>IFERROR(INDEX($B$5:$O$625,MATCH(ROWS($P$5:$P346),$O$5:$O$625,0),2),"")</f>
        <v/>
      </c>
      <c r="Q346">
        <f>IF(ISNUMBER(FIND($Q$3,$B347)),MAXA($Q$4:Q345)+1,0)</f>
        <v>342</v>
      </c>
      <c r="R346" t="str">
        <f>IFERROR(INDEX($B$5:$Q$625,MATCH(ROWS($R$5:$R346),$Q$5:$Q$625,0),1),"")</f>
        <v>14464-46-1</v>
      </c>
    </row>
    <row r="347" spans="2:18" x14ac:dyDescent="0.2">
      <c r="B347" s="225"/>
      <c r="C347" s="230" t="s">
        <v>1032</v>
      </c>
      <c r="D347" s="227"/>
      <c r="E347" s="227">
        <v>0.5</v>
      </c>
      <c r="F347" s="227"/>
      <c r="G347" s="226"/>
      <c r="H347" s="227"/>
      <c r="I347" s="227"/>
      <c r="J347" s="227"/>
      <c r="K347" s="228"/>
      <c r="O347">
        <f>IF(ISNUMBER(FIND($O$3,$C348)),MAXA($O$4:O346)+1,0)</f>
        <v>0</v>
      </c>
      <c r="P347" t="str">
        <f>IFERROR(INDEX($B$5:$O$625,MATCH(ROWS($P$5:$P347),$O$5:$O$625,0),2),"")</f>
        <v/>
      </c>
      <c r="Q347">
        <f>IF(ISNUMBER(FIND($Q$3,$B348)),MAXA($Q$4:Q346)+1,0)</f>
        <v>343</v>
      </c>
      <c r="R347">
        <f>IFERROR(INDEX($B$5:$Q$625,MATCH(ROWS($R$5:$R347),$Q$5:$Q$625,0),1),"")</f>
        <v>0</v>
      </c>
    </row>
    <row r="348" spans="2:18" x14ac:dyDescent="0.2">
      <c r="B348" s="225"/>
      <c r="C348" s="230" t="s">
        <v>1033</v>
      </c>
      <c r="D348" s="227"/>
      <c r="E348" s="227">
        <v>1E-3</v>
      </c>
      <c r="F348" s="227"/>
      <c r="G348" s="226"/>
      <c r="H348" s="227"/>
      <c r="I348" s="227"/>
      <c r="J348" s="227"/>
      <c r="K348" s="228"/>
      <c r="O348">
        <f>IF(ISNUMBER(FIND($O$3,$C349)),MAXA($O$4:O347)+1,0)</f>
        <v>0</v>
      </c>
      <c r="P348" t="str">
        <f>IFERROR(INDEX($B$5:$O$625,MATCH(ROWS($P$5:$P348),$O$5:$O$625,0),2),"")</f>
        <v/>
      </c>
      <c r="Q348">
        <f>IF(ISNUMBER(FIND($Q$3,$B349)),MAXA($Q$4:Q347)+1,0)</f>
        <v>344</v>
      </c>
      <c r="R348">
        <f>IFERROR(INDEX($B$5:$Q$625,MATCH(ROWS($R$5:$R348),$Q$5:$Q$625,0),1),"")</f>
        <v>0</v>
      </c>
    </row>
    <row r="349" spans="2:18" x14ac:dyDescent="0.2">
      <c r="B349" s="225"/>
      <c r="C349" s="230" t="s">
        <v>1034</v>
      </c>
      <c r="D349" s="227"/>
      <c r="E349" s="227">
        <v>4</v>
      </c>
      <c r="F349" s="227"/>
      <c r="G349" s="226"/>
      <c r="H349" s="227"/>
      <c r="I349" s="227"/>
      <c r="J349" s="227"/>
      <c r="K349" s="228"/>
      <c r="O349">
        <f>IF(ISNUMBER(FIND($O$3,$C350)),MAXA($O$4:O348)+1,0)</f>
        <v>0</v>
      </c>
      <c r="P349" t="str">
        <f>IFERROR(INDEX($B$5:$O$625,MATCH(ROWS($P$5:$P349),$O$5:$O$625,0),2),"")</f>
        <v/>
      </c>
      <c r="Q349">
        <f>IF(ISNUMBER(FIND($Q$3,$B350)),MAXA($Q$4:Q348)+1,0)</f>
        <v>345</v>
      </c>
      <c r="R349">
        <f>IFERROR(INDEX($B$5:$Q$625,MATCH(ROWS($R$5:$R349),$Q$5:$Q$625,0),1),"")</f>
        <v>0</v>
      </c>
    </row>
    <row r="350" spans="2:18" x14ac:dyDescent="0.2">
      <c r="B350" s="225"/>
      <c r="C350" s="230" t="s">
        <v>1035</v>
      </c>
      <c r="D350" s="227"/>
      <c r="E350" s="227">
        <v>1.5</v>
      </c>
      <c r="F350" s="227"/>
      <c r="G350" s="226"/>
      <c r="H350" s="227"/>
      <c r="I350" s="227"/>
      <c r="J350" s="227"/>
      <c r="K350" s="228"/>
      <c r="O350">
        <f>IF(ISNUMBER(FIND($O$3,$C351)),MAXA($O$4:O349)+1,0)</f>
        <v>0</v>
      </c>
      <c r="P350" t="str">
        <f>IFERROR(INDEX($B$5:$O$625,MATCH(ROWS($P$5:$P350),$O$5:$O$625,0),2),"")</f>
        <v/>
      </c>
      <c r="Q350">
        <f>IF(ISNUMBER(FIND($Q$3,$B351)),MAXA($Q$4:Q349)+1,0)</f>
        <v>346</v>
      </c>
      <c r="R350">
        <f>IFERROR(INDEX($B$5:$Q$625,MATCH(ROWS($R$5:$R350),$Q$5:$Q$625,0),1),"")</f>
        <v>0</v>
      </c>
    </row>
    <row r="351" spans="2:18" x14ac:dyDescent="0.2">
      <c r="B351" s="225" t="s">
        <v>1036</v>
      </c>
      <c r="C351" s="226" t="s">
        <v>1037</v>
      </c>
      <c r="D351" s="227"/>
      <c r="E351" s="227">
        <v>0.3</v>
      </c>
      <c r="F351" s="227"/>
      <c r="G351" s="226"/>
      <c r="H351" s="227"/>
      <c r="I351" s="227"/>
      <c r="J351" s="227"/>
      <c r="K351" s="228"/>
      <c r="O351">
        <f>IF(ISNUMBER(FIND($O$3,$C352)),MAXA($O$4:O350)+1,0)</f>
        <v>0</v>
      </c>
      <c r="P351" t="str">
        <f>IFERROR(INDEX($B$5:$O$625,MATCH(ROWS($P$5:$P351),$O$5:$O$625,0),2),"")</f>
        <v/>
      </c>
      <c r="Q351">
        <f>IF(ISNUMBER(FIND($Q$3,$B352)),MAXA($Q$4:Q350)+1,0)</f>
        <v>347</v>
      </c>
      <c r="R351" t="str">
        <f>IFERROR(INDEX($B$5:$Q$625,MATCH(ROWS($R$5:$R351),$Q$5:$Q$625,0),1),"")</f>
        <v>14808-60-7</v>
      </c>
    </row>
    <row r="352" spans="2:18" x14ac:dyDescent="0.2">
      <c r="B352" s="225" t="s">
        <v>1036</v>
      </c>
      <c r="C352" s="226" t="s">
        <v>1038</v>
      </c>
      <c r="D352" s="227"/>
      <c r="E352" s="227">
        <v>0.05</v>
      </c>
      <c r="F352" s="227"/>
      <c r="G352" s="226"/>
      <c r="H352" s="227"/>
      <c r="I352" s="227"/>
      <c r="J352" s="227"/>
      <c r="K352" s="228"/>
      <c r="O352">
        <f>IF(ISNUMBER(FIND($O$3,$C353)),MAXA($O$4:O351)+1,0)</f>
        <v>0</v>
      </c>
      <c r="P352" t="str">
        <f>IFERROR(INDEX($B$5:$O$625,MATCH(ROWS($P$5:$P352),$O$5:$O$625,0),2),"")</f>
        <v/>
      </c>
      <c r="Q352">
        <f>IF(ISNUMBER(FIND($Q$3,$B353)),MAXA($Q$4:Q351)+1,0)</f>
        <v>348</v>
      </c>
      <c r="R352" t="str">
        <f>IFERROR(INDEX($B$5:$Q$625,MATCH(ROWS($R$5:$R352),$Q$5:$Q$625,0),1),"")</f>
        <v>14808-60-7</v>
      </c>
    </row>
    <row r="353" spans="2:18" x14ac:dyDescent="0.2">
      <c r="B353" s="225"/>
      <c r="C353" s="230" t="s">
        <v>1039</v>
      </c>
      <c r="D353" s="227"/>
      <c r="E353" s="227">
        <v>0.02</v>
      </c>
      <c r="F353" s="227"/>
      <c r="G353" s="226"/>
      <c r="H353" s="227"/>
      <c r="I353" s="227"/>
      <c r="J353" s="227"/>
      <c r="K353" s="228"/>
      <c r="O353">
        <f>IF(ISNUMBER(FIND($O$3,$C354)),MAXA($O$4:O352)+1,0)</f>
        <v>0</v>
      </c>
      <c r="P353" t="str">
        <f>IFERROR(INDEX($B$5:$O$625,MATCH(ROWS($P$5:$P353),$O$5:$O$625,0),2),"")</f>
        <v/>
      </c>
      <c r="Q353">
        <f>IF(ISNUMBER(FIND($Q$3,$B354)),MAXA($Q$4:Q352)+1,0)</f>
        <v>349</v>
      </c>
      <c r="R353">
        <f>IFERROR(INDEX($B$5:$Q$625,MATCH(ROWS($R$5:$R353),$Q$5:$Q$625,0),1),"")</f>
        <v>0</v>
      </c>
    </row>
    <row r="354" spans="2:18" x14ac:dyDescent="0.2">
      <c r="B354" s="225"/>
      <c r="C354" s="230" t="s">
        <v>1040</v>
      </c>
      <c r="D354" s="227"/>
      <c r="E354" s="227">
        <v>0.01</v>
      </c>
      <c r="F354" s="227"/>
      <c r="G354" s="226"/>
      <c r="H354" s="227"/>
      <c r="I354" s="227"/>
      <c r="J354" s="227"/>
      <c r="K354" s="228"/>
      <c r="O354">
        <f>IF(ISNUMBER(FIND($O$3,$C355)),MAXA($O$4:O353)+1,0)</f>
        <v>0</v>
      </c>
      <c r="P354" t="str">
        <f>IFERROR(INDEX($B$5:$O$625,MATCH(ROWS($P$5:$P354),$O$5:$O$625,0),2),"")</f>
        <v/>
      </c>
      <c r="Q354">
        <f>IF(ISNUMBER(FIND($Q$3,$B355)),MAXA($Q$4:Q353)+1,0)</f>
        <v>350</v>
      </c>
      <c r="R354">
        <f>IFERROR(INDEX($B$5:$Q$625,MATCH(ROWS($R$5:$R354),$Q$5:$Q$625,0),1),"")</f>
        <v>0</v>
      </c>
    </row>
    <row r="355" spans="2:18" x14ac:dyDescent="0.2">
      <c r="B355" s="225" t="s">
        <v>1041</v>
      </c>
      <c r="C355" s="226" t="s">
        <v>1042</v>
      </c>
      <c r="D355" s="227">
        <v>25</v>
      </c>
      <c r="E355" s="227">
        <v>140</v>
      </c>
      <c r="F355" s="227"/>
      <c r="G355" s="226"/>
      <c r="H355" s="227"/>
      <c r="I355" s="227"/>
      <c r="J355" s="227"/>
      <c r="K355" s="228"/>
      <c r="O355">
        <f>IF(ISNUMBER(FIND($O$3,$C356)),MAXA($O$4:O354)+1,0)</f>
        <v>0</v>
      </c>
      <c r="P355" t="str">
        <f>IFERROR(INDEX($B$5:$O$625,MATCH(ROWS($P$5:$P355),$O$5:$O$625,0),2),"")</f>
        <v/>
      </c>
      <c r="Q355">
        <f>IF(ISNUMBER(FIND($Q$3,$B356)),MAXA($Q$4:Q354)+1,0)</f>
        <v>351</v>
      </c>
      <c r="R355" t="str">
        <f>IFERROR(INDEX($B$5:$Q$625,MATCH(ROWS($R$5:$R355),$Q$5:$Q$625,0),1),"")</f>
        <v>5989-27-5</v>
      </c>
    </row>
    <row r="356" spans="2:18" x14ac:dyDescent="0.2">
      <c r="B356" s="225" t="s">
        <v>1043</v>
      </c>
      <c r="C356" s="226" t="s">
        <v>1044</v>
      </c>
      <c r="D356" s="227">
        <v>25</v>
      </c>
      <c r="E356" s="227">
        <v>140</v>
      </c>
      <c r="F356" s="227"/>
      <c r="G356" s="226"/>
      <c r="H356" s="227"/>
      <c r="I356" s="227"/>
      <c r="J356" s="227"/>
      <c r="K356" s="228"/>
      <c r="O356">
        <f>IF(ISNUMBER(FIND($O$3,$C357)),MAXA($O$4:O355)+1,0)</f>
        <v>0</v>
      </c>
      <c r="P356" t="str">
        <f>IFERROR(INDEX($B$5:$O$625,MATCH(ROWS($P$5:$P356),$O$5:$O$625,0),2),"")</f>
        <v/>
      </c>
      <c r="Q356">
        <f>IF(ISNUMBER(FIND($Q$3,$B357)),MAXA($Q$4:Q355)+1,0)</f>
        <v>352</v>
      </c>
      <c r="R356" t="str">
        <f>IFERROR(INDEX($B$5:$Q$625,MATCH(ROWS($R$5:$R356),$Q$5:$Q$625,0),1),"")</f>
        <v>5989-54-8</v>
      </c>
    </row>
    <row r="357" spans="2:18" x14ac:dyDescent="0.2">
      <c r="B357" s="225" t="s">
        <v>1045</v>
      </c>
      <c r="C357" s="226" t="s">
        <v>1046</v>
      </c>
      <c r="D357" s="227"/>
      <c r="E357" s="227">
        <v>0.5</v>
      </c>
      <c r="F357" s="227"/>
      <c r="G357" s="226"/>
      <c r="H357" s="227"/>
      <c r="I357" s="227"/>
      <c r="J357" s="227"/>
      <c r="K357" s="228"/>
      <c r="O357">
        <f>IF(ISNUMBER(FIND($O$3,$C358)),MAXA($O$4:O356)+1,0)</f>
        <v>0</v>
      </c>
      <c r="P357" t="str">
        <f>IFERROR(INDEX($B$5:$O$625,MATCH(ROWS($P$5:$P357),$O$5:$O$625,0),2),"")</f>
        <v/>
      </c>
      <c r="Q357">
        <f>IF(ISNUMBER(FIND($Q$3,$B358)),MAXA($Q$4:Q356)+1,0)</f>
        <v>353</v>
      </c>
      <c r="R357" t="str">
        <f>IFERROR(INDEX($B$5:$Q$625,MATCH(ROWS($R$5:$R357),$Q$5:$Q$625,0),1),"")</f>
        <v>58-89-9</v>
      </c>
    </row>
    <row r="358" spans="2:18" x14ac:dyDescent="0.2">
      <c r="B358" s="225" t="s">
        <v>1047</v>
      </c>
      <c r="C358" s="226" t="s">
        <v>1048</v>
      </c>
      <c r="D358" s="227"/>
      <c r="E358" s="227">
        <v>2.5000000000000001E-2</v>
      </c>
      <c r="F358" s="227"/>
      <c r="G358" s="226"/>
      <c r="H358" s="227"/>
      <c r="I358" s="227"/>
      <c r="J358" s="227"/>
      <c r="K358" s="228"/>
      <c r="O358">
        <f>IF(ISNUMBER(FIND($O$3,$C359)),MAXA($O$4:O357)+1,0)</f>
        <v>0</v>
      </c>
      <c r="P358" t="str">
        <f>IFERROR(INDEX($B$5:$O$625,MATCH(ROWS($P$5:$P358),$O$5:$O$625,0),2),"")</f>
        <v/>
      </c>
      <c r="Q358">
        <f>IF(ISNUMBER(FIND($Q$3,$B359)),MAXA($Q$4:Q357)+1,0)</f>
        <v>354</v>
      </c>
      <c r="R358" t="str">
        <f>IFERROR(INDEX($B$5:$Q$625,MATCH(ROWS($R$5:$R358),$Q$5:$Q$625,0),1),"")</f>
        <v>7580-67-8</v>
      </c>
    </row>
    <row r="359" spans="2:18" x14ac:dyDescent="0.2">
      <c r="B359" s="225"/>
      <c r="C359" s="230" t="s">
        <v>1049</v>
      </c>
      <c r="D359" s="227"/>
      <c r="E359" s="227">
        <v>0.1</v>
      </c>
      <c r="F359" s="227"/>
      <c r="G359" s="226"/>
      <c r="H359" s="227"/>
      <c r="I359" s="227"/>
      <c r="J359" s="227"/>
      <c r="K359" s="228"/>
      <c r="O359">
        <f>IF(ISNUMBER(FIND($O$3,$C360)),MAXA($O$4:O358)+1,0)</f>
        <v>0</v>
      </c>
      <c r="P359" t="str">
        <f>IFERROR(INDEX($B$5:$O$625,MATCH(ROWS($P$5:$P359),$O$5:$O$625,0),2),"")</f>
        <v/>
      </c>
      <c r="Q359">
        <f>IF(ISNUMBER(FIND($Q$3,$B360)),MAXA($Q$4:Q358)+1,0)</f>
        <v>355</v>
      </c>
      <c r="R359">
        <f>IFERROR(INDEX($B$5:$Q$625,MATCH(ROWS($R$5:$R359),$Q$5:$Q$625,0),1),"")</f>
        <v>0</v>
      </c>
    </row>
    <row r="360" spans="2:18" x14ac:dyDescent="0.2">
      <c r="B360" s="225" t="s">
        <v>1050</v>
      </c>
      <c r="C360" s="226" t="s">
        <v>1051</v>
      </c>
      <c r="D360" s="227"/>
      <c r="E360" s="227">
        <v>10</v>
      </c>
      <c r="F360" s="227"/>
      <c r="G360" s="226"/>
      <c r="H360" s="227"/>
      <c r="I360" s="227"/>
      <c r="J360" s="227"/>
      <c r="K360" s="228"/>
      <c r="O360">
        <f>IF(ISNUMBER(FIND($O$3,$C361)),MAXA($O$4:O359)+1,0)</f>
        <v>0</v>
      </c>
      <c r="P360" t="str">
        <f>IFERROR(INDEX($B$5:$O$625,MATCH(ROWS($P$5:$P360),$O$5:$O$625,0),2),"")</f>
        <v/>
      </c>
      <c r="Q360">
        <f>IF(ISNUMBER(FIND($Q$3,$B361)),MAXA($Q$4:Q359)+1,0)</f>
        <v>356</v>
      </c>
      <c r="R360" t="str">
        <f>IFERROR(INDEX($B$5:$Q$625,MATCH(ROWS($R$5:$R360),$Q$5:$Q$625,0),1),"")</f>
        <v>1309-48-4</v>
      </c>
    </row>
    <row r="361" spans="2:18" x14ac:dyDescent="0.2">
      <c r="B361" s="225" t="s">
        <v>1052</v>
      </c>
      <c r="C361" s="226" t="s">
        <v>1053</v>
      </c>
      <c r="D361" s="227"/>
      <c r="E361" s="227">
        <v>5</v>
      </c>
      <c r="F361" s="227"/>
      <c r="G361" s="226"/>
      <c r="H361" s="227"/>
      <c r="I361" s="227"/>
      <c r="J361" s="227"/>
      <c r="K361" s="228"/>
      <c r="O361">
        <f>IF(ISNUMBER(FIND($O$3,$C362)),MAXA($O$4:O360)+1,0)</f>
        <v>0</v>
      </c>
      <c r="P361" t="str">
        <f>IFERROR(INDEX($B$5:$O$625,MATCH(ROWS($P$5:$P361),$O$5:$O$625,0),2),"")</f>
        <v/>
      </c>
      <c r="Q361">
        <f>IF(ISNUMBER(FIND($Q$3,$B362)),MAXA($Q$4:Q360)+1,0)</f>
        <v>357</v>
      </c>
      <c r="R361" t="str">
        <f>IFERROR(INDEX($B$5:$Q$625,MATCH(ROWS($R$5:$R361),$Q$5:$Q$625,0),1),"")</f>
        <v>121-75-5</v>
      </c>
    </row>
    <row r="362" spans="2:18" x14ac:dyDescent="0.2">
      <c r="B362" s="225" t="s">
        <v>1054</v>
      </c>
      <c r="C362" s="226" t="s">
        <v>1055</v>
      </c>
      <c r="D362" s="227">
        <v>0.2</v>
      </c>
      <c r="E362" s="227">
        <v>0.8</v>
      </c>
      <c r="F362" s="227"/>
      <c r="G362" s="226"/>
      <c r="H362" s="227"/>
      <c r="I362" s="227"/>
      <c r="J362" s="227"/>
      <c r="K362" s="228"/>
      <c r="O362">
        <f>IF(ISNUMBER(FIND($O$3,$C363)),MAXA($O$4:O361)+1,0)</f>
        <v>0</v>
      </c>
      <c r="P362" t="str">
        <f>IFERROR(INDEX($B$5:$O$625,MATCH(ROWS($P$5:$P362),$O$5:$O$625,0),2),"")</f>
        <v/>
      </c>
      <c r="Q362">
        <f>IF(ISNUMBER(FIND($Q$3,$B363)),MAXA($Q$4:Q361)+1,0)</f>
        <v>358</v>
      </c>
      <c r="R362" t="str">
        <f>IFERROR(INDEX($B$5:$Q$625,MATCH(ROWS($R$5:$R362),$Q$5:$Q$625,0),1),"")</f>
        <v>108-31-6</v>
      </c>
    </row>
    <row r="363" spans="2:18" x14ac:dyDescent="0.2">
      <c r="B363" s="225" t="s">
        <v>1056</v>
      </c>
      <c r="C363" s="230" t="s">
        <v>1057</v>
      </c>
      <c r="D363" s="227"/>
      <c r="E363" s="227">
        <v>1</v>
      </c>
      <c r="F363" s="227"/>
      <c r="G363" s="226"/>
      <c r="H363" s="227"/>
      <c r="I363" s="227"/>
      <c r="J363" s="227"/>
      <c r="K363" s="228"/>
      <c r="O363">
        <f>IF(ISNUMBER(FIND($O$3,$C364)),MAXA($O$4:O362)+1,0)</f>
        <v>0</v>
      </c>
      <c r="P363" t="str">
        <f>IFERROR(INDEX($B$5:$O$625,MATCH(ROWS($P$5:$P363),$O$5:$O$625,0),2),"")</f>
        <v/>
      </c>
      <c r="Q363">
        <f>IF(ISNUMBER(FIND($Q$3,$B364)),MAXA($Q$4:Q362)+1,0)</f>
        <v>359</v>
      </c>
      <c r="R363" t="str">
        <f>IFERROR(INDEX($B$5:$Q$625,MATCH(ROWS($R$5:$R363),$Q$5:$Q$625,0),1),"")</f>
        <v>7439-96-5</v>
      </c>
    </row>
    <row r="364" spans="2:18" x14ac:dyDescent="0.2">
      <c r="B364" s="225" t="s">
        <v>1056</v>
      </c>
      <c r="C364" s="230" t="s">
        <v>1058</v>
      </c>
      <c r="D364" s="227"/>
      <c r="E364" s="227">
        <v>0.1</v>
      </c>
      <c r="F364" s="227"/>
      <c r="G364" s="226"/>
      <c r="H364" s="227"/>
      <c r="I364" s="227"/>
      <c r="J364" s="227"/>
      <c r="K364" s="228"/>
      <c r="O364">
        <f>IF(ISNUMBER(FIND($O$3,$C365)),MAXA($O$4:O363)+1,0)</f>
        <v>0</v>
      </c>
      <c r="P364" t="str">
        <f>IFERROR(INDEX($B$5:$O$625,MATCH(ROWS($P$5:$P364),$O$5:$O$625,0),2),"")</f>
        <v/>
      </c>
      <c r="Q364">
        <f>IF(ISNUMBER(FIND($Q$3,$B365)),MAXA($Q$4:Q363)+1,0)</f>
        <v>360</v>
      </c>
      <c r="R364" t="str">
        <f>IFERROR(INDEX($B$5:$Q$625,MATCH(ROWS($R$5:$R364),$Q$5:$Q$625,0),1),"")</f>
        <v>7439-96-5</v>
      </c>
    </row>
    <row r="365" spans="2:18" x14ac:dyDescent="0.2">
      <c r="B365" s="225" t="s">
        <v>1059</v>
      </c>
      <c r="C365" s="226" t="s">
        <v>1060</v>
      </c>
      <c r="D365" s="227" t="s">
        <v>1061</v>
      </c>
      <c r="E365" s="227">
        <v>0.1</v>
      </c>
      <c r="F365" s="227"/>
      <c r="G365" s="226"/>
      <c r="H365" s="227"/>
      <c r="I365" s="227"/>
      <c r="J365" s="227"/>
      <c r="K365" s="228"/>
      <c r="O365">
        <f>IF(ISNUMBER(FIND($O$3,$C366)),MAXA($O$4:O364)+1,0)</f>
        <v>0</v>
      </c>
      <c r="P365" t="str">
        <f>IFERROR(INDEX($B$5:$O$625,MATCH(ROWS($P$5:$P365),$O$5:$O$625,0),2),"")</f>
        <v/>
      </c>
      <c r="Q365">
        <f>IF(ISNUMBER(FIND($Q$3,$B366)),MAXA($Q$4:Q364)+1,0)</f>
        <v>361</v>
      </c>
      <c r="R365" t="str">
        <f>IFERROR(INDEX($B$5:$Q$625,MATCH(ROWS($R$5:$R365),$Q$5:$Q$625,0),1),"")</f>
        <v>12079-65-1</v>
      </c>
    </row>
    <row r="366" spans="2:18" x14ac:dyDescent="0.2">
      <c r="B366" s="225" t="s">
        <v>1062</v>
      </c>
      <c r="C366" s="226" t="s">
        <v>1063</v>
      </c>
      <c r="D366" s="227">
        <v>5</v>
      </c>
      <c r="E366" s="227">
        <v>9</v>
      </c>
      <c r="F366" s="227"/>
      <c r="G366" s="226"/>
      <c r="H366" s="227"/>
      <c r="I366" s="227"/>
      <c r="J366" s="227"/>
      <c r="K366" s="228"/>
      <c r="O366">
        <f>IF(ISNUMBER(FIND($O$3,$C367)),MAXA($O$4:O365)+1,0)</f>
        <v>0</v>
      </c>
      <c r="P366" t="str">
        <f>IFERROR(INDEX($B$5:$O$625,MATCH(ROWS($P$5:$P366),$O$5:$O$625,0),2),"")</f>
        <v/>
      </c>
      <c r="Q366">
        <f>IF(ISNUMBER(FIND($Q$3,$B367)),MAXA($Q$4:Q365)+1,0)</f>
        <v>362</v>
      </c>
      <c r="R366" t="str">
        <f>IFERROR(INDEX($B$5:$Q$625,MATCH(ROWS($R$5:$R366),$Q$5:$Q$625,0),1),"")</f>
        <v>64-18-6</v>
      </c>
    </row>
    <row r="367" spans="2:18" x14ac:dyDescent="0.2">
      <c r="B367" s="225"/>
      <c r="C367" s="230" t="s">
        <v>1064</v>
      </c>
      <c r="D367" s="227"/>
      <c r="E367" s="227">
        <v>3</v>
      </c>
      <c r="F367" s="227"/>
      <c r="G367" s="226"/>
      <c r="H367" s="227"/>
      <c r="I367" s="227"/>
      <c r="J367" s="227"/>
      <c r="K367" s="228"/>
      <c r="O367">
        <f>IF(ISNUMBER(FIND($O$3,$C368)),MAXA($O$4:O366)+1,0)</f>
        <v>0</v>
      </c>
      <c r="P367" t="str">
        <f>IFERROR(INDEX($B$5:$O$625,MATCH(ROWS($P$5:$P367),$O$5:$O$625,0),2),"")</f>
        <v/>
      </c>
      <c r="Q367">
        <f>IF(ISNUMBER(FIND($Q$3,$B368)),MAXA($Q$4:Q366)+1,0)</f>
        <v>363</v>
      </c>
      <c r="R367">
        <f>IFERROR(INDEX($B$5:$Q$625,MATCH(ROWS($R$5:$R367),$Q$5:$Q$625,0),1),"")</f>
        <v>0</v>
      </c>
    </row>
    <row r="368" spans="2:18" x14ac:dyDescent="0.2">
      <c r="B368" s="225" t="s">
        <v>1065</v>
      </c>
      <c r="C368" s="226" t="s">
        <v>1066</v>
      </c>
      <c r="D368" s="227">
        <v>20</v>
      </c>
      <c r="E368" s="227">
        <v>100</v>
      </c>
      <c r="F368" s="227"/>
      <c r="G368" s="226"/>
      <c r="H368" s="227"/>
      <c r="I368" s="227"/>
      <c r="J368" s="227"/>
      <c r="K368" s="228"/>
      <c r="O368">
        <f>IF(ISNUMBER(FIND($O$3,$C369)),MAXA($O$4:O367)+1,0)</f>
        <v>0</v>
      </c>
      <c r="P368" t="str">
        <f>IFERROR(INDEX($B$5:$O$625,MATCH(ROWS($P$5:$P368),$O$5:$O$625,0),2),"")</f>
        <v/>
      </c>
      <c r="Q368">
        <f>IF(ISNUMBER(FIND($Q$3,$B369)),MAXA($Q$4:Q367)+1,0)</f>
        <v>364</v>
      </c>
      <c r="R368" t="str">
        <f>IFERROR(INDEX($B$5:$Q$625,MATCH(ROWS($R$5:$R368),$Q$5:$Q$625,0),1),"")</f>
        <v>108-67-8</v>
      </c>
    </row>
    <row r="369" spans="2:18" x14ac:dyDescent="0.2">
      <c r="B369" s="225" t="s">
        <v>1067</v>
      </c>
      <c r="C369" s="226" t="s">
        <v>1068</v>
      </c>
      <c r="D369" s="227">
        <v>20</v>
      </c>
      <c r="E369" s="227">
        <v>70</v>
      </c>
      <c r="F369" s="227"/>
      <c r="G369" s="226"/>
      <c r="H369" s="227"/>
      <c r="I369" s="227"/>
      <c r="J369" s="227"/>
      <c r="K369" s="228"/>
      <c r="O369">
        <f>IF(ISNUMBER(FIND($O$3,$C370)),MAXA($O$4:O368)+1,0)</f>
        <v>0</v>
      </c>
      <c r="P369" t="str">
        <f>IFERROR(INDEX($B$5:$O$625,MATCH(ROWS($P$5:$P369),$O$5:$O$625,0),2),"")</f>
        <v/>
      </c>
      <c r="Q369">
        <f>IF(ISNUMBER(FIND($Q$3,$B370)),MAXA($Q$4:Q368)+1,0)</f>
        <v>365</v>
      </c>
      <c r="R369" t="str">
        <f>IFERROR(INDEX($B$5:$Q$625,MATCH(ROWS($R$5:$R369),$Q$5:$Q$625,0),1),"")</f>
        <v>79-41-4</v>
      </c>
    </row>
    <row r="370" spans="2:18" x14ac:dyDescent="0.2">
      <c r="B370" s="225" t="s">
        <v>1069</v>
      </c>
      <c r="C370" s="226" t="s">
        <v>1070</v>
      </c>
      <c r="D370" s="227">
        <v>100</v>
      </c>
      <c r="E370" s="227">
        <v>130</v>
      </c>
      <c r="F370" s="227"/>
      <c r="G370" s="226"/>
      <c r="H370" s="227"/>
      <c r="I370" s="227"/>
      <c r="J370" s="227"/>
      <c r="K370" s="228"/>
      <c r="O370">
        <f>IF(ISNUMBER(FIND($O$3,$C371)),MAXA($O$4:O369)+1,0)</f>
        <v>0</v>
      </c>
      <c r="P370" t="str">
        <f>IFERROR(INDEX($B$5:$O$625,MATCH(ROWS($P$5:$P370),$O$5:$O$625,0),2),"")</f>
        <v/>
      </c>
      <c r="Q370">
        <f>IF(ISNUMBER(FIND($Q$3,$B371)),MAXA($Q$4:Q369)+1,0)</f>
        <v>366</v>
      </c>
      <c r="R370" t="str">
        <f>IFERROR(INDEX($B$5:$Q$625,MATCH(ROWS($R$5:$R370),$Q$5:$Q$625,0),1),"")</f>
        <v>67-56-1</v>
      </c>
    </row>
    <row r="371" spans="2:18" x14ac:dyDescent="0.2">
      <c r="B371" s="225" t="s">
        <v>1071</v>
      </c>
      <c r="C371" s="226" t="s">
        <v>1072</v>
      </c>
      <c r="D371" s="227">
        <v>0.5</v>
      </c>
      <c r="E371" s="227">
        <v>1</v>
      </c>
      <c r="F371" s="227"/>
      <c r="G371" s="226"/>
      <c r="H371" s="227"/>
      <c r="I371" s="227"/>
      <c r="J371" s="227"/>
      <c r="K371" s="228"/>
      <c r="O371">
        <f>IF(ISNUMBER(FIND($O$3,$C372)),MAXA($O$4:O370)+1,0)</f>
        <v>0</v>
      </c>
      <c r="P371" t="str">
        <f>IFERROR(INDEX($B$5:$O$625,MATCH(ROWS($P$5:$P371),$O$5:$O$625,0),2),"")</f>
        <v/>
      </c>
      <c r="Q371">
        <f>IF(ISNUMBER(FIND($Q$3,$B372)),MAXA($Q$4:Q370)+1,0)</f>
        <v>367</v>
      </c>
      <c r="R371" t="str">
        <f>IFERROR(INDEX($B$5:$Q$625,MATCH(ROWS($R$5:$R371),$Q$5:$Q$625,0),1),"")</f>
        <v>74-93-1</v>
      </c>
    </row>
    <row r="372" spans="2:18" x14ac:dyDescent="0.2">
      <c r="B372" s="225" t="s">
        <v>1073</v>
      </c>
      <c r="C372" s="226" t="s">
        <v>1074</v>
      </c>
      <c r="D372" s="227">
        <v>0.1</v>
      </c>
      <c r="E372" s="227">
        <v>0.5</v>
      </c>
      <c r="F372" s="227"/>
      <c r="G372" s="226"/>
      <c r="H372" s="227"/>
      <c r="I372" s="227"/>
      <c r="J372" s="227"/>
      <c r="K372" s="228"/>
      <c r="O372">
        <f>IF(ISNUMBER(FIND($O$3,$C373)),MAXA($O$4:O371)+1,0)</f>
        <v>0</v>
      </c>
      <c r="P372" t="str">
        <f>IFERROR(INDEX($B$5:$O$625,MATCH(ROWS($P$5:$P372),$O$5:$O$625,0),2),"")</f>
        <v/>
      </c>
      <c r="Q372">
        <f>IF(ISNUMBER(FIND($Q$3,$B373)),MAXA($Q$4:Q371)+1,0)</f>
        <v>368</v>
      </c>
      <c r="R372" t="str">
        <f>IFERROR(INDEX($B$5:$Q$625,MATCH(ROWS($R$5:$R372),$Q$5:$Q$625,0),1),"")</f>
        <v>90-04-0</v>
      </c>
    </row>
    <row r="373" spans="2:18" x14ac:dyDescent="0.2">
      <c r="B373" s="225" t="s">
        <v>1075</v>
      </c>
      <c r="C373" s="226" t="s">
        <v>1076</v>
      </c>
      <c r="D373" s="227">
        <v>0.1</v>
      </c>
      <c r="E373" s="227">
        <v>0.5</v>
      </c>
      <c r="F373" s="227"/>
      <c r="G373" s="226"/>
      <c r="H373" s="227"/>
      <c r="I373" s="227"/>
      <c r="J373" s="227"/>
      <c r="K373" s="228"/>
      <c r="O373">
        <f>IF(ISNUMBER(FIND($O$3,$C374)),MAXA($O$4:O372)+1,0)</f>
        <v>0</v>
      </c>
      <c r="P373" t="str">
        <f>IFERROR(INDEX($B$5:$O$625,MATCH(ROWS($P$5:$P373),$O$5:$O$625,0),2),"")</f>
        <v/>
      </c>
      <c r="Q373">
        <f>IF(ISNUMBER(FIND($Q$3,$B374)),MAXA($Q$4:Q372)+1,0)</f>
        <v>369</v>
      </c>
      <c r="R373" t="str">
        <f>IFERROR(INDEX($B$5:$Q$625,MATCH(ROWS($R$5:$R373),$Q$5:$Q$625,0),1),"")</f>
        <v>104-94-9</v>
      </c>
    </row>
    <row r="374" spans="2:18" x14ac:dyDescent="0.2">
      <c r="B374" s="225" t="s">
        <v>1077</v>
      </c>
      <c r="C374" s="226" t="s">
        <v>1078</v>
      </c>
      <c r="D374" s="227">
        <v>1</v>
      </c>
      <c r="E374" s="227">
        <v>3.1</v>
      </c>
      <c r="F374" s="227"/>
      <c r="G374" s="226"/>
      <c r="H374" s="227"/>
      <c r="I374" s="227"/>
      <c r="J374" s="227"/>
      <c r="K374" s="228"/>
      <c r="O374">
        <f>IF(ISNUMBER(FIND($O$3,$C375)),MAXA($O$4:O373)+1,0)</f>
        <v>0</v>
      </c>
      <c r="P374" t="str">
        <f>IFERROR(INDEX($B$5:$O$625,MATCH(ROWS($P$5:$P374),$O$5:$O$625,0),2),"")</f>
        <v/>
      </c>
      <c r="Q374">
        <f>IF(ISNUMBER(FIND($Q$3,$B375)),MAXA($Q$4:Q373)+1,0)</f>
        <v>370</v>
      </c>
      <c r="R374" t="str">
        <f>IFERROR(INDEX($B$5:$Q$625,MATCH(ROWS($R$5:$R374),$Q$5:$Q$625,0),1),"")</f>
        <v>109-86-4</v>
      </c>
    </row>
    <row r="375" spans="2:18" x14ac:dyDescent="0.2">
      <c r="B375" s="225" t="s">
        <v>1079</v>
      </c>
      <c r="C375" s="226" t="s">
        <v>1080</v>
      </c>
      <c r="D375" s="227">
        <v>10</v>
      </c>
      <c r="E375" s="227">
        <v>50</v>
      </c>
      <c r="F375" s="227"/>
      <c r="G375" s="226"/>
      <c r="H375" s="227"/>
      <c r="I375" s="227"/>
      <c r="J375" s="227"/>
      <c r="K375" s="228"/>
      <c r="O375">
        <f>IF(ISNUMBER(FIND($O$3,$C376)),MAXA($O$4:O374)+1,0)</f>
        <v>0</v>
      </c>
      <c r="P375" t="str">
        <f>IFERROR(INDEX($B$5:$O$625,MATCH(ROWS($P$5:$P375),$O$5:$O$625,0),2),"")</f>
        <v/>
      </c>
      <c r="Q375">
        <f>IF(ISNUMBER(FIND($Q$3,$B376)),MAXA($Q$4:Q374)+1,0)</f>
        <v>371</v>
      </c>
      <c r="R375" t="str">
        <f>IFERROR(INDEX($B$5:$Q$625,MATCH(ROWS($R$5:$R375),$Q$5:$Q$625,0),1),"")</f>
        <v>111-77-3</v>
      </c>
    </row>
    <row r="376" spans="2:18" x14ac:dyDescent="0.2">
      <c r="B376" s="225" t="s">
        <v>1081</v>
      </c>
      <c r="C376" s="226" t="s">
        <v>1082</v>
      </c>
      <c r="D376" s="227">
        <v>1</v>
      </c>
      <c r="E376" s="227">
        <v>4.9000000000000004</v>
      </c>
      <c r="F376" s="227"/>
      <c r="G376" s="226"/>
      <c r="H376" s="227"/>
      <c r="I376" s="227"/>
      <c r="J376" s="227"/>
      <c r="K376" s="228"/>
      <c r="O376">
        <f>IF(ISNUMBER(FIND($O$3,$C377)),MAXA($O$4:O375)+1,0)</f>
        <v>0</v>
      </c>
      <c r="P376" t="str">
        <f>IFERROR(INDEX($B$5:$O$625,MATCH(ROWS($P$5:$P376),$O$5:$O$625,0),2),"")</f>
        <v/>
      </c>
      <c r="Q376">
        <f>IF(ISNUMBER(FIND($Q$3,$B377)),MAXA($Q$4:Q375)+1,0)</f>
        <v>372</v>
      </c>
      <c r="R376" t="str">
        <f>IFERROR(INDEX($B$5:$Q$625,MATCH(ROWS($R$5:$R376),$Q$5:$Q$625,0),1),"")</f>
        <v>110-49-6</v>
      </c>
    </row>
    <row r="377" spans="2:18" x14ac:dyDescent="0.2">
      <c r="B377" s="225" t="s">
        <v>1083</v>
      </c>
      <c r="C377" s="226" t="s">
        <v>1084</v>
      </c>
      <c r="D377" s="227"/>
      <c r="E377" s="227">
        <v>5</v>
      </c>
      <c r="F377" s="227"/>
      <c r="G377" s="226"/>
      <c r="H377" s="227"/>
      <c r="I377" s="227"/>
      <c r="J377" s="227"/>
      <c r="K377" s="228"/>
      <c r="O377">
        <f>IF(ISNUMBER(FIND($O$3,$C378)),MAXA($O$4:O376)+1,0)</f>
        <v>0</v>
      </c>
      <c r="P377" t="str">
        <f>IFERROR(INDEX($B$5:$O$625,MATCH(ROWS($P$5:$P377),$O$5:$O$625,0),2),"")</f>
        <v/>
      </c>
      <c r="Q377">
        <f>IF(ISNUMBER(FIND($Q$3,$B378)),MAXA($Q$4:Q376)+1,0)</f>
        <v>373</v>
      </c>
      <c r="R377" t="str">
        <f>IFERROR(INDEX($B$5:$Q$625,MATCH(ROWS($R$5:$R377),$Q$5:$Q$625,0),1),"")</f>
        <v>150-76-5</v>
      </c>
    </row>
    <row r="378" spans="2:18" x14ac:dyDescent="0.2">
      <c r="B378" s="225" t="s">
        <v>1085</v>
      </c>
      <c r="C378" s="226" t="s">
        <v>1086</v>
      </c>
      <c r="D378" s="227"/>
      <c r="E378" s="227">
        <v>5</v>
      </c>
      <c r="F378" s="227"/>
      <c r="G378" s="226"/>
      <c r="H378" s="227"/>
      <c r="I378" s="227"/>
      <c r="J378" s="227"/>
      <c r="K378" s="228"/>
      <c r="O378">
        <f>IF(ISNUMBER(FIND($O$3,$C379)),MAXA($O$4:O377)+1,0)</f>
        <v>0</v>
      </c>
      <c r="P378" t="str">
        <f>IFERROR(INDEX($B$5:$O$625,MATCH(ROWS($P$5:$P378),$O$5:$O$625,0),2),"")</f>
        <v/>
      </c>
      <c r="Q378">
        <f>IF(ISNUMBER(FIND($Q$3,$B379)),MAXA($Q$4:Q377)+1,0)</f>
        <v>374</v>
      </c>
      <c r="R378" t="str">
        <f>IFERROR(INDEX($B$5:$Q$625,MATCH(ROWS($R$5:$R378),$Q$5:$Q$625,0),1),"")</f>
        <v>72-43-5</v>
      </c>
    </row>
    <row r="379" spans="2:18" x14ac:dyDescent="0.2">
      <c r="B379" s="225" t="s">
        <v>1087</v>
      </c>
      <c r="C379" s="226" t="s">
        <v>1088</v>
      </c>
      <c r="D379" s="227">
        <v>50</v>
      </c>
      <c r="E379" s="227">
        <v>300</v>
      </c>
      <c r="F379" s="227"/>
      <c r="G379" s="226"/>
      <c r="H379" s="227"/>
      <c r="I379" s="227"/>
      <c r="J379" s="227"/>
      <c r="K379" s="228"/>
      <c r="O379">
        <f>IF(ISNUMBER(FIND($O$3,$C380)),MAXA($O$4:O378)+1,0)</f>
        <v>0</v>
      </c>
      <c r="P379" t="str">
        <f>IFERROR(INDEX($B$5:$O$625,MATCH(ROWS($P$5:$P379),$O$5:$O$625,0),2),"")</f>
        <v/>
      </c>
      <c r="Q379">
        <f>IF(ISNUMBER(FIND($Q$3,$B380)),MAXA($Q$4:Q378)+1,0)</f>
        <v>375</v>
      </c>
      <c r="R379" t="str">
        <f>IFERROR(INDEX($B$5:$Q$625,MATCH(ROWS($R$5:$R379),$Q$5:$Q$625,0),1),"")</f>
        <v>34590-94-8</v>
      </c>
    </row>
    <row r="380" spans="2:18" x14ac:dyDescent="0.2">
      <c r="B380" s="225" t="s">
        <v>1089</v>
      </c>
      <c r="C380" s="226" t="s">
        <v>1090</v>
      </c>
      <c r="D380" s="227">
        <v>50</v>
      </c>
      <c r="E380" s="227">
        <v>180</v>
      </c>
      <c r="F380" s="227"/>
      <c r="G380" s="226"/>
      <c r="H380" s="227"/>
      <c r="I380" s="227"/>
      <c r="J380" s="227"/>
      <c r="K380" s="228"/>
      <c r="O380">
        <f>IF(ISNUMBER(FIND($O$3,$C381)),MAXA($O$4:O379)+1,0)</f>
        <v>0</v>
      </c>
      <c r="P380" t="str">
        <f>IFERROR(INDEX($B$5:$O$625,MATCH(ROWS($P$5:$P380),$O$5:$O$625,0),2),"")</f>
        <v/>
      </c>
      <c r="Q380">
        <f>IF(ISNUMBER(FIND($Q$3,$B381)),MAXA($Q$4:Q379)+1,0)</f>
        <v>376</v>
      </c>
      <c r="R380" t="str">
        <f>IFERROR(INDEX($B$5:$Q$625,MATCH(ROWS($R$5:$R380),$Q$5:$Q$625,0),1),"")</f>
        <v>107-98-2</v>
      </c>
    </row>
    <row r="381" spans="2:18" x14ac:dyDescent="0.2">
      <c r="B381" s="225" t="s">
        <v>1091</v>
      </c>
      <c r="C381" s="226" t="s">
        <v>1092</v>
      </c>
      <c r="D381" s="227">
        <v>50</v>
      </c>
      <c r="E381" s="227">
        <v>270</v>
      </c>
      <c r="F381" s="227"/>
      <c r="G381" s="226"/>
      <c r="H381" s="227"/>
      <c r="I381" s="227"/>
      <c r="J381" s="227"/>
      <c r="K381" s="228"/>
      <c r="O381">
        <f>IF(ISNUMBER(FIND($O$3,$C382)),MAXA($O$4:O380)+1,0)</f>
        <v>0</v>
      </c>
      <c r="P381" t="str">
        <f>IFERROR(INDEX($B$5:$O$625,MATCH(ROWS($P$5:$P381),$O$5:$O$625,0),2),"")</f>
        <v/>
      </c>
      <c r="Q381">
        <f>IF(ISNUMBER(FIND($Q$3,$B382)),MAXA($Q$4:Q380)+1,0)</f>
        <v>377</v>
      </c>
      <c r="R381" t="str">
        <f>IFERROR(INDEX($B$5:$Q$625,MATCH(ROWS($R$5:$R381),$Q$5:$Q$625,0),1),"")</f>
        <v>108-65-6</v>
      </c>
    </row>
    <row r="382" spans="2:18" x14ac:dyDescent="0.2">
      <c r="B382" s="225" t="s">
        <v>1093</v>
      </c>
      <c r="C382" s="226" t="s">
        <v>1094</v>
      </c>
      <c r="D382" s="227">
        <v>20</v>
      </c>
      <c r="E382" s="227">
        <v>75</v>
      </c>
      <c r="F382" s="227"/>
      <c r="G382" s="226"/>
      <c r="H382" s="227"/>
      <c r="I382" s="227"/>
      <c r="J382" s="227"/>
      <c r="K382" s="228"/>
      <c r="O382">
        <f>IF(ISNUMBER(FIND($O$3,$C383)),MAXA($O$4:O381)+1,0)</f>
        <v>0</v>
      </c>
      <c r="P382" t="str">
        <f>IFERROR(INDEX($B$5:$O$625,MATCH(ROWS($P$5:$P382),$O$5:$O$625,0),2),"")</f>
        <v/>
      </c>
      <c r="Q382">
        <f>IF(ISNUMBER(FIND($Q$3,$B383)),MAXA($Q$4:Q381)+1,0)</f>
        <v>378</v>
      </c>
      <c r="R382" t="str">
        <f>IFERROR(INDEX($B$5:$Q$625,MATCH(ROWS($R$5:$R382),$Q$5:$Q$625,0),1),"")</f>
        <v>1589-47-5</v>
      </c>
    </row>
    <row r="383" spans="2:18" x14ac:dyDescent="0.2">
      <c r="B383" s="225" t="s">
        <v>1095</v>
      </c>
      <c r="C383" s="226" t="s">
        <v>1096</v>
      </c>
      <c r="D383" s="227">
        <v>20</v>
      </c>
      <c r="E383" s="227">
        <v>110</v>
      </c>
      <c r="F383" s="227"/>
      <c r="G383" s="226"/>
      <c r="H383" s="227"/>
      <c r="I383" s="227"/>
      <c r="J383" s="227"/>
      <c r="K383" s="228"/>
      <c r="O383">
        <f>IF(ISNUMBER(FIND($O$3,$C384)),MAXA($O$4:O382)+1,0)</f>
        <v>0</v>
      </c>
      <c r="P383" t="str">
        <f>IFERROR(INDEX($B$5:$O$625,MATCH(ROWS($P$5:$P383),$O$5:$O$625,0),2),"")</f>
        <v/>
      </c>
      <c r="Q383">
        <f>IF(ISNUMBER(FIND($Q$3,$B384)),MAXA($Q$4:Q382)+1,0)</f>
        <v>379</v>
      </c>
      <c r="R383" t="str">
        <f>IFERROR(INDEX($B$5:$Q$625,MATCH(ROWS($R$5:$R383),$Q$5:$Q$625,0),1),"")</f>
        <v>70657-70-4</v>
      </c>
    </row>
    <row r="384" spans="2:18" x14ac:dyDescent="0.2">
      <c r="B384" s="225" t="s">
        <v>1097</v>
      </c>
      <c r="C384" s="226" t="s">
        <v>1098</v>
      </c>
      <c r="D384" s="227"/>
      <c r="E384" s="227">
        <v>2.5</v>
      </c>
      <c r="F384" s="227"/>
      <c r="G384" s="226"/>
      <c r="H384" s="227"/>
      <c r="I384" s="227"/>
      <c r="J384" s="227"/>
      <c r="K384" s="228"/>
      <c r="O384">
        <f>IF(ISNUMBER(FIND($O$3,$C385)),MAXA($O$4:O383)+1,0)</f>
        <v>0</v>
      </c>
      <c r="P384" t="str">
        <f>IFERROR(INDEX($B$5:$O$625,MATCH(ROWS($P$5:$P384),$O$5:$O$625,0),2),"")</f>
        <v/>
      </c>
      <c r="Q384">
        <f>IF(ISNUMBER(FIND($Q$3,$B385)),MAXA($Q$4:Q383)+1,0)</f>
        <v>380</v>
      </c>
      <c r="R384" t="str">
        <f>IFERROR(INDEX($B$5:$Q$625,MATCH(ROWS($R$5:$R384),$Q$5:$Q$625,0),1),"")</f>
        <v>16752-77-5</v>
      </c>
    </row>
    <row r="385" spans="2:18" x14ac:dyDescent="0.2">
      <c r="B385" s="225" t="s">
        <v>1099</v>
      </c>
      <c r="C385" s="226" t="s">
        <v>1100</v>
      </c>
      <c r="D385" s="227">
        <v>100</v>
      </c>
      <c r="E385" s="227">
        <v>305</v>
      </c>
      <c r="F385" s="227"/>
      <c r="G385" s="226"/>
      <c r="H385" s="227"/>
      <c r="I385" s="227"/>
      <c r="J385" s="227"/>
      <c r="K385" s="228"/>
      <c r="O385">
        <f>IF(ISNUMBER(FIND($O$3,$C386)),MAXA($O$4:O384)+1,0)</f>
        <v>0</v>
      </c>
      <c r="P385" t="str">
        <f>IFERROR(INDEX($B$5:$O$625,MATCH(ROWS($P$5:$P385),$O$5:$O$625,0),2),"")</f>
        <v/>
      </c>
      <c r="Q385">
        <f>IF(ISNUMBER(FIND($Q$3,$B386)),MAXA($Q$4:Q384)+1,0)</f>
        <v>381</v>
      </c>
      <c r="R385" t="str">
        <f>IFERROR(INDEX($B$5:$Q$625,MATCH(ROWS($R$5:$R385),$Q$5:$Q$625,0),1),"")</f>
        <v>79-20-9</v>
      </c>
    </row>
    <row r="386" spans="2:18" x14ac:dyDescent="0.2">
      <c r="B386" s="225"/>
      <c r="C386" s="230" t="s">
        <v>1101</v>
      </c>
      <c r="D386" s="227">
        <v>500</v>
      </c>
      <c r="E386" s="227">
        <v>900</v>
      </c>
      <c r="F386" s="227"/>
      <c r="G386" s="226"/>
      <c r="H386" s="227"/>
      <c r="I386" s="227"/>
      <c r="J386" s="227"/>
      <c r="K386" s="228"/>
      <c r="O386">
        <f>IF(ISNUMBER(FIND($O$3,$C387)),MAXA($O$4:O385)+1,0)</f>
        <v>0</v>
      </c>
      <c r="P386" t="str">
        <f>IFERROR(INDEX($B$5:$O$625,MATCH(ROWS($P$5:$P386),$O$5:$O$625,0),2),"")</f>
        <v/>
      </c>
      <c r="Q386">
        <f>IF(ISNUMBER(FIND($Q$3,$B387)),MAXA($Q$4:Q385)+1,0)</f>
        <v>382</v>
      </c>
      <c r="R386">
        <f>IFERROR(INDEX($B$5:$Q$625,MATCH(ROWS($R$5:$R386),$Q$5:$Q$625,0),1),"")</f>
        <v>0</v>
      </c>
    </row>
    <row r="387" spans="2:18" x14ac:dyDescent="0.2">
      <c r="B387" s="225" t="s">
        <v>1102</v>
      </c>
      <c r="C387" s="226" t="s">
        <v>1103</v>
      </c>
      <c r="D387" s="227">
        <v>5</v>
      </c>
      <c r="E387" s="227">
        <v>18</v>
      </c>
      <c r="F387" s="227"/>
      <c r="G387" s="226">
        <v>10</v>
      </c>
      <c r="H387" s="227">
        <v>36</v>
      </c>
      <c r="I387" s="227"/>
      <c r="J387" s="227"/>
      <c r="K387" s="228"/>
      <c r="O387">
        <f>IF(ISNUMBER(FIND($O$3,$C388)),MAXA($O$4:O386)+1,0)</f>
        <v>0</v>
      </c>
      <c r="P387" t="str">
        <f>IFERROR(INDEX($B$5:$O$625,MATCH(ROWS($P$5:$P387),$O$5:$O$625,0),2),"")</f>
        <v/>
      </c>
      <c r="Q387">
        <f>IF(ISNUMBER(FIND($Q$3,$B388)),MAXA($Q$4:Q386)+1,0)</f>
        <v>383</v>
      </c>
      <c r="R387" t="str">
        <f>IFERROR(INDEX($B$5:$Q$625,MATCH(ROWS($R$5:$R387),$Q$5:$Q$625,0),1),"")</f>
        <v>96-33-3</v>
      </c>
    </row>
    <row r="388" spans="2:18" x14ac:dyDescent="0.2">
      <c r="B388" s="225" t="s">
        <v>1104</v>
      </c>
      <c r="C388" s="226" t="s">
        <v>1105</v>
      </c>
      <c r="D388" s="227">
        <v>1</v>
      </c>
      <c r="E388" s="227">
        <v>3</v>
      </c>
      <c r="F388" s="227"/>
      <c r="G388" s="226"/>
      <c r="H388" s="227"/>
      <c r="I388" s="227"/>
      <c r="J388" s="227"/>
      <c r="K388" s="228"/>
      <c r="O388">
        <f>IF(ISNUMBER(FIND($O$3,$C389)),MAXA($O$4:O387)+1,0)</f>
        <v>0</v>
      </c>
      <c r="P388" t="str">
        <f>IFERROR(INDEX($B$5:$O$625,MATCH(ROWS($P$5:$P388),$O$5:$O$625,0),2),"")</f>
        <v/>
      </c>
      <c r="Q388">
        <f>IF(ISNUMBER(FIND($Q$3,$B389)),MAXA($Q$4:Q387)+1,0)</f>
        <v>384</v>
      </c>
      <c r="R388" t="str">
        <f>IFERROR(INDEX($B$5:$Q$625,MATCH(ROWS($R$5:$R388),$Q$5:$Q$625,0),1),"")</f>
        <v>126-98-7</v>
      </c>
    </row>
    <row r="389" spans="2:18" x14ac:dyDescent="0.2">
      <c r="B389" s="225" t="s">
        <v>1106</v>
      </c>
      <c r="C389" s="226" t="s">
        <v>1107</v>
      </c>
      <c r="D389" s="227">
        <v>10</v>
      </c>
      <c r="E389" s="227">
        <v>12</v>
      </c>
      <c r="F389" s="227"/>
      <c r="G389" s="226"/>
      <c r="H389" s="227"/>
      <c r="I389" s="227"/>
      <c r="J389" s="227"/>
      <c r="K389" s="228"/>
      <c r="O389">
        <f>IF(ISNUMBER(FIND($O$3,$C390)),MAXA($O$4:O388)+1,0)</f>
        <v>0</v>
      </c>
      <c r="P389" t="str">
        <f>IFERROR(INDEX($B$5:$O$625,MATCH(ROWS($P$5:$P389),$O$5:$O$625,0),2),"")</f>
        <v/>
      </c>
      <c r="Q389">
        <f>IF(ISNUMBER(FIND($Q$3,$B390)),MAXA($Q$4:Q388)+1,0)</f>
        <v>385</v>
      </c>
      <c r="R389" t="str">
        <f>IFERROR(INDEX($B$5:$Q$625,MATCH(ROWS($R$5:$R389),$Q$5:$Q$625,0),1),"")</f>
        <v>74-89-5</v>
      </c>
    </row>
    <row r="390" spans="2:18" x14ac:dyDescent="0.2">
      <c r="B390" s="225" t="s">
        <v>1108</v>
      </c>
      <c r="C390" s="226" t="s">
        <v>1109</v>
      </c>
      <c r="D390" s="227">
        <v>0.5</v>
      </c>
      <c r="E390" s="227">
        <v>2</v>
      </c>
      <c r="F390" s="227"/>
      <c r="G390" s="226"/>
      <c r="H390" s="227"/>
      <c r="I390" s="227"/>
      <c r="J390" s="227"/>
      <c r="K390" s="228"/>
      <c r="O390">
        <f>IF(ISNUMBER(FIND($O$3,$C391)),MAXA($O$4:O389)+1,0)</f>
        <v>0</v>
      </c>
      <c r="P390" t="str">
        <f>IFERROR(INDEX($B$5:$O$625,MATCH(ROWS($P$5:$P390),$O$5:$O$625,0),2),"")</f>
        <v/>
      </c>
      <c r="Q390">
        <f>IF(ISNUMBER(FIND($Q$3,$B391)),MAXA($Q$4:Q389)+1,0)</f>
        <v>386</v>
      </c>
      <c r="R390" t="str">
        <f>IFERROR(INDEX($B$5:$Q$625,MATCH(ROWS($R$5:$R390),$Q$5:$Q$625,0),1),"")</f>
        <v>100-61-8</v>
      </c>
    </row>
    <row r="391" spans="2:18" x14ac:dyDescent="0.2">
      <c r="B391" s="225" t="s">
        <v>1110</v>
      </c>
      <c r="C391" s="226" t="s">
        <v>1111</v>
      </c>
      <c r="D391" s="227">
        <v>2</v>
      </c>
      <c r="E391" s="227">
        <v>5</v>
      </c>
      <c r="F391" s="227"/>
      <c r="G391" s="226"/>
      <c r="H391" s="227"/>
      <c r="I391" s="227"/>
      <c r="J391" s="227"/>
      <c r="K391" s="228"/>
      <c r="O391">
        <f>IF(ISNUMBER(FIND($O$3,$C392)),MAXA($O$4:O390)+1,0)</f>
        <v>0</v>
      </c>
      <c r="P391" t="str">
        <f>IFERROR(INDEX($B$5:$O$625,MATCH(ROWS($P$5:$P391),$O$5:$O$625,0),2),"")</f>
        <v/>
      </c>
      <c r="Q391">
        <f>IF(ISNUMBER(FIND($Q$3,$B392)),MAXA($Q$4:Q390)+1,0)</f>
        <v>387</v>
      </c>
      <c r="R391" t="str">
        <f>IFERROR(INDEX($B$5:$Q$625,MATCH(ROWS($R$5:$R391),$Q$5:$Q$625,0),1),"")</f>
        <v>75-55-8</v>
      </c>
    </row>
    <row r="392" spans="2:18" x14ac:dyDescent="0.2">
      <c r="B392" s="225" t="s">
        <v>1112</v>
      </c>
      <c r="C392" s="226" t="s">
        <v>1113</v>
      </c>
      <c r="D392" s="227">
        <v>100</v>
      </c>
      <c r="E392" s="227">
        <v>350</v>
      </c>
      <c r="F392" s="227"/>
      <c r="G392" s="226"/>
      <c r="H392" s="227"/>
      <c r="I392" s="227"/>
      <c r="J392" s="227"/>
      <c r="K392" s="228"/>
      <c r="O392">
        <f>IF(ISNUMBER(FIND($O$3,$C393)),MAXA($O$4:O391)+1,0)</f>
        <v>0</v>
      </c>
      <c r="P392" t="str">
        <f>IFERROR(INDEX($B$5:$O$625,MATCH(ROWS($P$5:$P392),$O$5:$O$625,0),2),"")</f>
        <v/>
      </c>
      <c r="Q392">
        <f>IF(ISNUMBER(FIND($Q$3,$B393)),MAXA($Q$4:Q391)+1,0)</f>
        <v>388</v>
      </c>
      <c r="R392" t="str">
        <f>IFERROR(INDEX($B$5:$Q$625,MATCH(ROWS($R$5:$R392),$Q$5:$Q$625,0),1),"")</f>
        <v>563-80-4</v>
      </c>
    </row>
    <row r="393" spans="2:18" x14ac:dyDescent="0.2">
      <c r="B393" s="225" t="s">
        <v>1114</v>
      </c>
      <c r="C393" s="226" t="s">
        <v>1115</v>
      </c>
      <c r="D393" s="227">
        <v>5</v>
      </c>
      <c r="E393" s="227">
        <v>18</v>
      </c>
      <c r="F393" s="227"/>
      <c r="G393" s="226"/>
      <c r="H393" s="227"/>
      <c r="I393" s="227"/>
      <c r="J393" s="227"/>
      <c r="K393" s="228"/>
      <c r="O393">
        <f>IF(ISNUMBER(FIND($O$3,$C394)),MAXA($O$4:O392)+1,0)</f>
        <v>0</v>
      </c>
      <c r="P393" t="str">
        <f>IFERROR(INDEX($B$5:$O$625,MATCH(ROWS($P$5:$P393),$O$5:$O$625,0),2),"")</f>
        <v/>
      </c>
      <c r="Q393">
        <f>IF(ISNUMBER(FIND($Q$3,$B394)),MAXA($Q$4:Q392)+1,0)</f>
        <v>389</v>
      </c>
      <c r="R393" t="str">
        <f>IFERROR(INDEX($B$5:$Q$625,MATCH(ROWS($R$5:$R393),$Q$5:$Q$625,0),1),"")</f>
        <v>123-51-3</v>
      </c>
    </row>
    <row r="394" spans="2:18" x14ac:dyDescent="0.2">
      <c r="B394" s="225" t="s">
        <v>1116</v>
      </c>
      <c r="C394" s="226" t="s">
        <v>1117</v>
      </c>
      <c r="D394" s="227">
        <v>50</v>
      </c>
      <c r="E394" s="227">
        <v>260</v>
      </c>
      <c r="F394" s="227"/>
      <c r="G394" s="226"/>
      <c r="H394" s="227"/>
      <c r="I394" s="227"/>
      <c r="J394" s="227"/>
      <c r="K394" s="228"/>
      <c r="O394">
        <f>IF(ISNUMBER(FIND($O$3,$C395)),MAXA($O$4:O393)+1,0)</f>
        <v>0</v>
      </c>
      <c r="P394" t="str">
        <f>IFERROR(INDEX($B$5:$O$625,MATCH(ROWS($P$5:$P394),$O$5:$O$625,0),2),"")</f>
        <v/>
      </c>
      <c r="Q394">
        <f>IF(ISNUMBER(FIND($Q$3,$B395)),MAXA($Q$4:Q393)+1,0)</f>
        <v>390</v>
      </c>
      <c r="R394" t="str">
        <f>IFERROR(INDEX($B$5:$Q$625,MATCH(ROWS($R$5:$R394),$Q$5:$Q$625,0),1),"")</f>
        <v>626-38-0</v>
      </c>
    </row>
    <row r="395" spans="2:18" x14ac:dyDescent="0.2">
      <c r="B395" s="225" t="s">
        <v>1118</v>
      </c>
      <c r="C395" s="226" t="s">
        <v>1119</v>
      </c>
      <c r="D395" s="227">
        <v>10</v>
      </c>
      <c r="E395" s="227">
        <v>60</v>
      </c>
      <c r="F395" s="227"/>
      <c r="G395" s="226"/>
      <c r="H395" s="227"/>
      <c r="I395" s="227"/>
      <c r="J395" s="227"/>
      <c r="K395" s="228"/>
      <c r="O395">
        <f>IF(ISNUMBER(FIND($O$3,$C396)),MAXA($O$4:O394)+1,0)</f>
        <v>0</v>
      </c>
      <c r="P395" t="str">
        <f>IFERROR(INDEX($B$5:$O$625,MATCH(ROWS($P$5:$P395),$O$5:$O$625,0),2),"")</f>
        <v/>
      </c>
      <c r="Q395">
        <f>IF(ISNUMBER(FIND($Q$3,$B396)),MAXA($Q$4:Q394)+1,0)</f>
        <v>391</v>
      </c>
      <c r="R395" t="str">
        <f>IFERROR(INDEX($B$5:$Q$625,MATCH(ROWS($R$5:$R395),$Q$5:$Q$625,0),1),"")</f>
        <v>98-51-1</v>
      </c>
    </row>
    <row r="396" spans="2:18" x14ac:dyDescent="0.2">
      <c r="B396" s="225" t="s">
        <v>1120</v>
      </c>
      <c r="C396" s="226" t="s">
        <v>1121</v>
      </c>
      <c r="D396" s="227">
        <v>2</v>
      </c>
      <c r="E396" s="227">
        <v>8</v>
      </c>
      <c r="F396" s="227"/>
      <c r="G396" s="226"/>
      <c r="H396" s="227"/>
      <c r="I396" s="227"/>
      <c r="J396" s="227"/>
      <c r="K396" s="228"/>
      <c r="O396">
        <f>IF(ISNUMBER(FIND($O$3,$C397)),MAXA($O$4:O395)+1,0)</f>
        <v>0</v>
      </c>
      <c r="P396" t="str">
        <f>IFERROR(INDEX($B$5:$O$625,MATCH(ROWS($P$5:$P396),$O$5:$O$625,0),2),"")</f>
        <v/>
      </c>
      <c r="Q396">
        <f>IF(ISNUMBER(FIND($Q$3,$B397)),MAXA($Q$4:Q395)+1,0)</f>
        <v>392</v>
      </c>
      <c r="R396" t="str">
        <f>IFERROR(INDEX($B$5:$Q$625,MATCH(ROWS($R$5:$R396),$Q$5:$Q$625,0),1),"")</f>
        <v>137-05-3</v>
      </c>
    </row>
    <row r="397" spans="2:18" x14ac:dyDescent="0.2">
      <c r="B397" s="225" t="s">
        <v>1122</v>
      </c>
      <c r="C397" s="226" t="s">
        <v>1123</v>
      </c>
      <c r="D397" s="227">
        <v>0.01</v>
      </c>
      <c r="E397" s="227">
        <v>0.08</v>
      </c>
      <c r="F397" s="227"/>
      <c r="G397" s="226"/>
      <c r="H397" s="227"/>
      <c r="I397" s="227"/>
      <c r="J397" s="227"/>
      <c r="K397" s="228"/>
      <c r="O397">
        <f>IF(ISNUMBER(FIND($O$3,$C398)),MAXA($O$4:O396)+1,0)</f>
        <v>0</v>
      </c>
      <c r="P397" t="str">
        <f>IFERROR(INDEX($B$5:$O$625,MATCH(ROWS($P$5:$P397),$O$5:$O$625,0),2),"")</f>
        <v/>
      </c>
      <c r="Q397">
        <f>IF(ISNUMBER(FIND($Q$3,$B398)),MAXA($Q$4:Q396)+1,0)</f>
        <v>393</v>
      </c>
      <c r="R397" t="str">
        <f>IFERROR(INDEX($B$5:$Q$625,MATCH(ROWS($R$5:$R397),$Q$5:$Q$625,0),1),"")</f>
        <v>101-77-9</v>
      </c>
    </row>
    <row r="398" spans="2:18" x14ac:dyDescent="0.2">
      <c r="B398" s="225" t="s">
        <v>1124</v>
      </c>
      <c r="C398" s="226" t="s">
        <v>1125</v>
      </c>
      <c r="D398" s="227">
        <v>10</v>
      </c>
      <c r="E398" s="227">
        <v>50</v>
      </c>
      <c r="F398" s="227"/>
      <c r="G398" s="226">
        <v>50</v>
      </c>
      <c r="H398" s="227">
        <v>250</v>
      </c>
      <c r="I398" s="227"/>
      <c r="J398" s="227"/>
      <c r="K398" s="228"/>
      <c r="O398">
        <f>IF(ISNUMBER(FIND($O$3,$C399)),MAXA($O$4:O397)+1,0)</f>
        <v>0</v>
      </c>
      <c r="P398" t="str">
        <f>IFERROR(INDEX($B$5:$O$625,MATCH(ROWS($P$5:$P398),$O$5:$O$625,0),2),"")</f>
        <v/>
      </c>
      <c r="Q398">
        <f>IF(ISNUMBER(FIND($Q$3,$B399)),MAXA($Q$4:Q397)+1,0)</f>
        <v>394</v>
      </c>
      <c r="R398" t="str">
        <f>IFERROR(INDEX($B$5:$Q$625,MATCH(ROWS($R$5:$R398),$Q$5:$Q$625,0),1),"")</f>
        <v>98-82-8</v>
      </c>
    </row>
    <row r="399" spans="2:18" x14ac:dyDescent="0.2">
      <c r="B399" s="225" t="s">
        <v>1126</v>
      </c>
      <c r="C399" s="226" t="s">
        <v>1127</v>
      </c>
      <c r="D399" s="227">
        <v>20</v>
      </c>
      <c r="E399" s="227">
        <v>95</v>
      </c>
      <c r="F399" s="227"/>
      <c r="G399" s="226">
        <v>50</v>
      </c>
      <c r="H399" s="227">
        <v>250</v>
      </c>
      <c r="I399" s="227"/>
      <c r="J399" s="227"/>
      <c r="K399" s="228"/>
      <c r="O399">
        <f>IF(ISNUMBER(FIND($O$3,$C400)),MAXA($O$4:O398)+1,0)</f>
        <v>0</v>
      </c>
      <c r="P399" t="str">
        <f>IFERROR(INDEX($B$5:$O$625,MATCH(ROWS($P$5:$P399),$O$5:$O$625,0),2),"")</f>
        <v/>
      </c>
      <c r="Q399">
        <f>IF(ISNUMBER(FIND($Q$3,$B400)),MAXA($Q$4:Q398)+1,0)</f>
        <v>395</v>
      </c>
      <c r="R399" t="str">
        <f>IFERROR(INDEX($B$5:$Q$625,MATCH(ROWS($R$5:$R399),$Q$5:$Q$625,0),1),"")</f>
        <v>110-12-3</v>
      </c>
    </row>
    <row r="400" spans="2:18" x14ac:dyDescent="0.2">
      <c r="B400" s="225" t="s">
        <v>1128</v>
      </c>
      <c r="C400" s="226" t="s">
        <v>1129</v>
      </c>
      <c r="D400" s="227">
        <v>10</v>
      </c>
      <c r="E400" s="227">
        <v>53</v>
      </c>
      <c r="F400" s="227"/>
      <c r="G400" s="226">
        <v>20</v>
      </c>
      <c r="H400" s="227">
        <v>107</v>
      </c>
      <c r="I400" s="227"/>
      <c r="J400" s="227"/>
      <c r="K400" s="228"/>
      <c r="O400">
        <f>IF(ISNUMBER(FIND($O$3,$C401)),MAXA($O$4:O399)+1,0)</f>
        <v>0</v>
      </c>
      <c r="P400" t="str">
        <f>IFERROR(INDEX($B$5:$O$625,MATCH(ROWS($P$5:$P400),$O$5:$O$625,0),2),"")</f>
        <v/>
      </c>
      <c r="Q400">
        <f>IF(ISNUMBER(FIND($Q$3,$B401)),MAXA($Q$4:Q399)+1,0)</f>
        <v>396</v>
      </c>
      <c r="R400" t="str">
        <f>IFERROR(INDEX($B$5:$Q$625,MATCH(ROWS($R$5:$R400),$Q$5:$Q$625,0),1),"")</f>
        <v>541-85-5</v>
      </c>
    </row>
    <row r="401" spans="2:18" x14ac:dyDescent="0.2">
      <c r="B401" s="225" t="s">
        <v>1130</v>
      </c>
      <c r="C401" s="226" t="s">
        <v>1131</v>
      </c>
      <c r="D401" s="227">
        <v>0.01</v>
      </c>
      <c r="E401" s="227">
        <v>0.02</v>
      </c>
      <c r="F401" s="227"/>
      <c r="G401" s="226"/>
      <c r="H401" s="227"/>
      <c r="I401" s="227"/>
      <c r="J401" s="227"/>
      <c r="K401" s="228"/>
      <c r="O401">
        <f>IF(ISNUMBER(FIND($O$3,$C402)),MAXA($O$4:O400)+1,0)</f>
        <v>0</v>
      </c>
      <c r="P401" t="str">
        <f>IFERROR(INDEX($B$5:$O$625,MATCH(ROWS($P$5:$P401),$O$5:$O$625,0),2),"")</f>
        <v/>
      </c>
      <c r="Q401">
        <f>IF(ISNUMBER(FIND($Q$3,$B402)),MAXA($Q$4:Q400)+1,0)</f>
        <v>397</v>
      </c>
      <c r="R401" t="str">
        <f>IFERROR(INDEX($B$5:$Q$625,MATCH(ROWS($R$5:$R401),$Q$5:$Q$625,0),1),"")</f>
        <v>60-34-4</v>
      </c>
    </row>
    <row r="402" spans="2:18" x14ac:dyDescent="0.2">
      <c r="B402" s="225" t="s">
        <v>1132</v>
      </c>
      <c r="C402" s="226" t="s">
        <v>1133</v>
      </c>
      <c r="D402" s="227">
        <v>0.02</v>
      </c>
      <c r="E402" s="227">
        <v>0.05</v>
      </c>
      <c r="F402" s="227"/>
      <c r="G402" s="226"/>
      <c r="H402" s="227"/>
      <c r="I402" s="227"/>
      <c r="J402" s="227"/>
      <c r="K402" s="228" t="s">
        <v>1134</v>
      </c>
      <c r="O402">
        <f>IF(ISNUMBER(FIND($O$3,$C403)),MAXA($O$4:O401)+1,0)</f>
        <v>0</v>
      </c>
      <c r="P402" t="str">
        <f>IFERROR(INDEX($B$5:$O$625,MATCH(ROWS($P$5:$P402),$O$5:$O$625,0),2),"")</f>
        <v/>
      </c>
      <c r="Q402">
        <f>IF(ISNUMBER(FIND($Q$3,$B403)),MAXA($Q$4:Q401)+1,0)</f>
        <v>398</v>
      </c>
      <c r="R402" t="str">
        <f>IFERROR(INDEX($B$5:$Q$625,MATCH(ROWS($R$5:$R402),$Q$5:$Q$625,0),1),"")</f>
        <v>624-83-9</v>
      </c>
    </row>
    <row r="403" spans="2:18" x14ac:dyDescent="0.2">
      <c r="B403" s="225" t="s">
        <v>1135</v>
      </c>
      <c r="C403" s="226" t="s">
        <v>1136</v>
      </c>
      <c r="D403" s="227">
        <v>25</v>
      </c>
      <c r="E403" s="227">
        <v>100</v>
      </c>
      <c r="F403" s="227"/>
      <c r="G403" s="226">
        <v>100</v>
      </c>
      <c r="H403" s="227">
        <v>400</v>
      </c>
      <c r="I403" s="227"/>
      <c r="J403" s="227"/>
      <c r="K403" s="228"/>
      <c r="O403">
        <f>IF(ISNUMBER(FIND($O$3,$C404)),MAXA($O$4:O402)+1,0)</f>
        <v>0</v>
      </c>
      <c r="P403" t="str">
        <f>IFERROR(INDEX($B$5:$O$625,MATCH(ROWS($P$5:$P403),$O$5:$O$625,0),2),"")</f>
        <v/>
      </c>
      <c r="Q403">
        <f>IF(ISNUMBER(FIND($Q$3,$B404)),MAXA($Q$4:Q402)+1,0)</f>
        <v>399</v>
      </c>
      <c r="R403" t="str">
        <f>IFERROR(INDEX($B$5:$Q$625,MATCH(ROWS($R$5:$R403),$Q$5:$Q$625,0),1),"")</f>
        <v>80-62-6</v>
      </c>
    </row>
    <row r="404" spans="2:18" x14ac:dyDescent="0.2">
      <c r="B404" s="225" t="s">
        <v>1137</v>
      </c>
      <c r="C404" s="226" t="s">
        <v>1138</v>
      </c>
      <c r="D404" s="227">
        <v>50</v>
      </c>
      <c r="E404" s="227">
        <v>125</v>
      </c>
      <c r="F404" s="227"/>
      <c r="G404" s="226"/>
      <c r="H404" s="227"/>
      <c r="I404" s="227"/>
      <c r="J404" s="227"/>
      <c r="K404" s="228"/>
      <c r="O404">
        <f>IF(ISNUMBER(FIND($O$3,$C405)),MAXA($O$4:O403)+1,0)</f>
        <v>0</v>
      </c>
      <c r="P404" t="str">
        <f>IFERROR(INDEX($B$5:$O$625,MATCH(ROWS($P$5:$P404),$O$5:$O$625,0),2),"")</f>
        <v/>
      </c>
      <c r="Q404">
        <f>IF(ISNUMBER(FIND($Q$3,$B405)),MAXA($Q$4:Q403)+1,0)</f>
        <v>400</v>
      </c>
      <c r="R404" t="str">
        <f>IFERROR(INDEX($B$5:$Q$625,MATCH(ROWS($R$5:$R404),$Q$5:$Q$625,0),1),"")</f>
        <v>107-31-3</v>
      </c>
    </row>
    <row r="405" spans="2:18" x14ac:dyDescent="0.2">
      <c r="B405" s="225" t="s">
        <v>1139</v>
      </c>
      <c r="C405" s="226" t="s">
        <v>1140</v>
      </c>
      <c r="D405" s="227"/>
      <c r="E405" s="227"/>
      <c r="F405" s="227"/>
      <c r="G405" s="226"/>
      <c r="H405" s="227"/>
      <c r="I405" s="227">
        <v>20</v>
      </c>
      <c r="J405" s="227">
        <v>100</v>
      </c>
      <c r="K405" s="228"/>
      <c r="O405">
        <f>IF(ISNUMBER(FIND($O$3,$C406)),MAXA($O$4:O404)+1,0)</f>
        <v>0</v>
      </c>
      <c r="P405" t="str">
        <f>IFERROR(INDEX($B$5:$O$625,MATCH(ROWS($P$5:$P405),$O$5:$O$625,0),2),"")</f>
        <v/>
      </c>
      <c r="Q405">
        <f>IF(ISNUMBER(FIND($Q$3,$B406)),MAXA($Q$4:Q404)+1,0)</f>
        <v>401</v>
      </c>
      <c r="R405" t="str">
        <f>IFERROR(INDEX($B$5:$Q$625,MATCH(ROWS($R$5:$R405),$Q$5:$Q$625,0),1),"")</f>
        <v>107-41-5</v>
      </c>
    </row>
    <row r="406" spans="2:18" x14ac:dyDescent="0.2">
      <c r="B406" s="225" t="s">
        <v>1141</v>
      </c>
      <c r="C406" s="226" t="s">
        <v>1142</v>
      </c>
      <c r="D406" s="227">
        <v>5</v>
      </c>
      <c r="E406" s="227">
        <v>20</v>
      </c>
      <c r="F406" s="227"/>
      <c r="G406" s="226">
        <v>20</v>
      </c>
      <c r="H406" s="227">
        <v>80</v>
      </c>
      <c r="I406" s="227"/>
      <c r="J406" s="227"/>
      <c r="K406" s="228"/>
      <c r="O406">
        <f>IF(ISNUMBER(FIND($O$3,$C407)),MAXA($O$4:O405)+1,0)</f>
        <v>0</v>
      </c>
      <c r="P406" t="str">
        <f>IFERROR(INDEX($B$5:$O$625,MATCH(ROWS($P$5:$P406),$O$5:$O$625,0),2),"")</f>
        <v/>
      </c>
      <c r="Q406">
        <f>IF(ISNUMBER(FIND($Q$3,$B407)),MAXA($Q$4:Q405)+1,0)</f>
        <v>402</v>
      </c>
      <c r="R406" t="str">
        <f>IFERROR(INDEX($B$5:$Q$625,MATCH(ROWS($R$5:$R406),$Q$5:$Q$625,0),1),"")</f>
        <v>872-50-4</v>
      </c>
    </row>
    <row r="407" spans="2:18" x14ac:dyDescent="0.2">
      <c r="B407" s="225" t="s">
        <v>1143</v>
      </c>
      <c r="C407" s="226" t="s">
        <v>1144</v>
      </c>
      <c r="D407" s="227">
        <v>20</v>
      </c>
      <c r="E407" s="227">
        <v>80</v>
      </c>
      <c r="F407" s="227"/>
      <c r="G407" s="226"/>
      <c r="H407" s="227"/>
      <c r="I407" s="227"/>
      <c r="J407" s="227"/>
      <c r="K407" s="228"/>
      <c r="O407">
        <f>IF(ISNUMBER(FIND($O$3,$C408)),MAXA($O$4:O406)+1,0)</f>
        <v>0</v>
      </c>
      <c r="P407" t="str">
        <f>IFERROR(INDEX($B$5:$O$625,MATCH(ROWS($P$5:$P407),$O$5:$O$625,0),2),"")</f>
        <v/>
      </c>
      <c r="Q407">
        <f>IF(ISNUMBER(FIND($Q$3,$B408)),MAXA($Q$4:Q406)+1,0)</f>
        <v>403</v>
      </c>
      <c r="R407" t="str">
        <f>IFERROR(INDEX($B$5:$Q$625,MATCH(ROWS($R$5:$R407),$Q$5:$Q$625,0),1),"")</f>
        <v>108-11-2</v>
      </c>
    </row>
    <row r="408" spans="2:18" x14ac:dyDescent="0.2">
      <c r="B408" s="225" t="s">
        <v>1145</v>
      </c>
      <c r="C408" s="226" t="s">
        <v>1146</v>
      </c>
      <c r="D408" s="227">
        <v>20</v>
      </c>
      <c r="E408" s="227">
        <v>83</v>
      </c>
      <c r="F408" s="227"/>
      <c r="G408" s="226">
        <v>50</v>
      </c>
      <c r="H408" s="227">
        <v>208</v>
      </c>
      <c r="I408" s="227"/>
      <c r="J408" s="227"/>
      <c r="K408" s="228"/>
      <c r="O408">
        <f>IF(ISNUMBER(FIND($O$3,$C409)),MAXA($O$4:O407)+1,0)</f>
        <v>0</v>
      </c>
      <c r="P408" t="str">
        <f>IFERROR(INDEX($B$5:$O$625,MATCH(ROWS($P$5:$P408),$O$5:$O$625,0),2),"")</f>
        <v/>
      </c>
      <c r="Q408">
        <f>IF(ISNUMBER(FIND($Q$3,$B409)),MAXA($Q$4:Q407)+1,0)</f>
        <v>404</v>
      </c>
      <c r="R408" t="str">
        <f>IFERROR(INDEX($B$5:$Q$625,MATCH(ROWS($R$5:$R408),$Q$5:$Q$625,0),1),"")</f>
        <v>108-10-1</v>
      </c>
    </row>
    <row r="409" spans="2:18" x14ac:dyDescent="0.2">
      <c r="B409" s="225" t="s">
        <v>1147</v>
      </c>
      <c r="C409" s="226" t="s">
        <v>1148</v>
      </c>
      <c r="D409" s="227">
        <v>10</v>
      </c>
      <c r="E409" s="227">
        <v>40</v>
      </c>
      <c r="F409" s="227"/>
      <c r="G409" s="226"/>
      <c r="H409" s="227"/>
      <c r="I409" s="227"/>
      <c r="J409" s="227"/>
      <c r="K409" s="228"/>
      <c r="O409">
        <f>IF(ISNUMBER(FIND($O$3,$C410)),MAXA($O$4:O408)+1,0)</f>
        <v>0</v>
      </c>
      <c r="P409" t="str">
        <f>IFERROR(INDEX($B$5:$O$625,MATCH(ROWS($P$5:$P409),$O$5:$O$625,0),2),"")</f>
        <v/>
      </c>
      <c r="Q409">
        <f>IF(ISNUMBER(FIND($Q$3,$B410)),MAXA($Q$4:Q408)+1,0)</f>
        <v>405</v>
      </c>
      <c r="R409" t="str">
        <f>IFERROR(INDEX($B$5:$Q$625,MATCH(ROWS($R$5:$R409),$Q$5:$Q$625,0),1),"")</f>
        <v>141-79-7</v>
      </c>
    </row>
    <row r="410" spans="2:18" x14ac:dyDescent="0.2">
      <c r="B410" s="225" t="s">
        <v>1149</v>
      </c>
      <c r="C410" s="226" t="s">
        <v>1150</v>
      </c>
      <c r="D410" s="227"/>
      <c r="E410" s="227"/>
      <c r="F410" s="227"/>
      <c r="G410" s="226"/>
      <c r="H410" s="227"/>
      <c r="I410" s="227">
        <v>25</v>
      </c>
      <c r="J410" s="227">
        <v>75</v>
      </c>
      <c r="K410" s="228"/>
      <c r="O410">
        <f>IF(ISNUMBER(FIND($O$3,$C411)),MAXA($O$4:O409)+1,0)</f>
        <v>0</v>
      </c>
      <c r="P410" t="str">
        <f>IFERROR(INDEX($B$5:$O$625,MATCH(ROWS($P$5:$P410),$O$5:$O$625,0),2),"")</f>
        <v/>
      </c>
      <c r="Q410">
        <f>IF(ISNUMBER(FIND($Q$3,$B411)),MAXA($Q$4:Q409)+1,0)</f>
        <v>406</v>
      </c>
      <c r="R410" t="str">
        <f>IFERROR(INDEX($B$5:$Q$625,MATCH(ROWS($R$5:$R410),$Q$5:$Q$625,0),1),"")</f>
        <v>78-83-1</v>
      </c>
    </row>
    <row r="411" spans="2:18" x14ac:dyDescent="0.2">
      <c r="B411" s="225" t="s">
        <v>1151</v>
      </c>
      <c r="C411" s="226" t="s">
        <v>1152</v>
      </c>
      <c r="D411" s="227"/>
      <c r="E411" s="227"/>
      <c r="F411" s="227"/>
      <c r="G411" s="226"/>
      <c r="H411" s="227"/>
      <c r="I411" s="227">
        <v>25</v>
      </c>
      <c r="J411" s="227">
        <v>75</v>
      </c>
      <c r="K411" s="228"/>
      <c r="O411">
        <f>IF(ISNUMBER(FIND($O$3,$C412)),MAXA($O$4:O410)+1,0)</f>
        <v>0</v>
      </c>
      <c r="P411" t="str">
        <f>IFERROR(INDEX($B$5:$O$625,MATCH(ROWS($P$5:$P411),$O$5:$O$625,0),2),"")</f>
        <v/>
      </c>
      <c r="Q411">
        <f>IF(ISNUMBER(FIND($Q$3,$B412)),MAXA($Q$4:Q410)+1,0)</f>
        <v>407</v>
      </c>
      <c r="R411" t="str">
        <f>IFERROR(INDEX($B$5:$Q$625,MATCH(ROWS($R$5:$R411),$Q$5:$Q$625,0),1),"")</f>
        <v>75-65-0</v>
      </c>
    </row>
    <row r="412" spans="2:18" x14ac:dyDescent="0.2">
      <c r="B412" s="225" t="s">
        <v>1153</v>
      </c>
      <c r="C412" s="226" t="s">
        <v>1154</v>
      </c>
      <c r="D412" s="227">
        <v>1</v>
      </c>
      <c r="E412" s="227">
        <v>6</v>
      </c>
      <c r="F412" s="227"/>
      <c r="G412" s="226"/>
      <c r="H412" s="227"/>
      <c r="I412" s="227"/>
      <c r="J412" s="227"/>
      <c r="K412" s="228"/>
      <c r="O412">
        <f>IF(ISNUMBER(FIND($O$3,$C413)),MAXA($O$4:O411)+1,0)</f>
        <v>0</v>
      </c>
      <c r="P412" t="str">
        <f>IFERROR(INDEX($B$5:$O$625,MATCH(ROWS($P$5:$P412),$O$5:$O$625,0),2),"")</f>
        <v/>
      </c>
      <c r="Q412">
        <f>IF(ISNUMBER(FIND($Q$3,$B413)),MAXA($Q$4:Q411)+1,0)</f>
        <v>408</v>
      </c>
      <c r="R412" t="str">
        <f>IFERROR(INDEX($B$5:$Q$625,MATCH(ROWS($R$5:$R412),$Q$5:$Q$625,0),1),"")</f>
        <v>681-84-5</v>
      </c>
    </row>
    <row r="413" spans="2:18" x14ac:dyDescent="0.2">
      <c r="B413" s="225" t="s">
        <v>1155</v>
      </c>
      <c r="C413" s="226" t="s">
        <v>1156</v>
      </c>
      <c r="D413" s="227">
        <v>200</v>
      </c>
      <c r="E413" s="227">
        <v>800</v>
      </c>
      <c r="F413" s="227"/>
      <c r="G413" s="226"/>
      <c r="H413" s="227"/>
      <c r="I413" s="227"/>
      <c r="J413" s="227"/>
      <c r="K413" s="228"/>
      <c r="O413">
        <f>IF(ISNUMBER(FIND($O$3,$C414)),MAXA($O$4:O412)+1,0)</f>
        <v>0</v>
      </c>
      <c r="P413" t="str">
        <f>IFERROR(INDEX($B$5:$O$625,MATCH(ROWS($P$5:$P413),$O$5:$O$625,0),2),"")</f>
        <v/>
      </c>
      <c r="Q413">
        <f>IF(ISNUMBER(FIND($Q$3,$B414)),MAXA($Q$4:Q412)+1,0)</f>
        <v>409</v>
      </c>
      <c r="R413" t="str">
        <f>IFERROR(INDEX($B$5:$Q$625,MATCH(ROWS($R$5:$R413),$Q$5:$Q$625,0),1),"")</f>
        <v>108-87-2</v>
      </c>
    </row>
    <row r="414" spans="2:18" x14ac:dyDescent="0.2">
      <c r="B414" s="225"/>
      <c r="C414" s="230" t="s">
        <v>1157</v>
      </c>
      <c r="D414" s="226">
        <v>25</v>
      </c>
      <c r="E414" s="227">
        <v>120</v>
      </c>
      <c r="F414" s="227"/>
      <c r="G414" s="226"/>
      <c r="H414" s="227"/>
      <c r="I414" s="227"/>
      <c r="J414" s="227"/>
      <c r="K414" s="228"/>
      <c r="O414">
        <f>IF(ISNUMBER(FIND($O$3,$C415)),MAXA($O$4:O413)+1,0)</f>
        <v>0</v>
      </c>
      <c r="P414" t="str">
        <f>IFERROR(INDEX($B$5:$O$625,MATCH(ROWS($P$5:$P414),$O$5:$O$625,0),2),"")</f>
        <v/>
      </c>
      <c r="Q414">
        <f>IF(ISNUMBER(FIND($Q$3,$B415)),MAXA($Q$4:Q413)+1,0)</f>
        <v>410</v>
      </c>
      <c r="R414">
        <f>IFERROR(INDEX($B$5:$Q$625,MATCH(ROWS($R$5:$R414),$Q$5:$Q$625,0),1),"")</f>
        <v>0</v>
      </c>
    </row>
    <row r="415" spans="2:18" x14ac:dyDescent="0.2">
      <c r="B415" s="225" t="s">
        <v>1158</v>
      </c>
      <c r="C415" s="226" t="s">
        <v>1159</v>
      </c>
      <c r="D415" s="227">
        <v>25</v>
      </c>
      <c r="E415" s="227">
        <v>115</v>
      </c>
      <c r="F415" s="227"/>
      <c r="G415" s="226"/>
      <c r="H415" s="227"/>
      <c r="I415" s="227"/>
      <c r="J415" s="227"/>
      <c r="K415" s="228"/>
      <c r="O415">
        <f>IF(ISNUMBER(FIND($O$3,$C416)),MAXA($O$4:O414)+1,0)</f>
        <v>0</v>
      </c>
      <c r="P415" t="str">
        <f>IFERROR(INDEX($B$5:$O$625,MATCH(ROWS($P$5:$P415),$O$5:$O$625,0),2),"")</f>
        <v/>
      </c>
      <c r="Q415">
        <f>IF(ISNUMBER(FIND($Q$3,$B416)),MAXA($Q$4:Q414)+1,0)</f>
        <v>411</v>
      </c>
      <c r="R415" t="str">
        <f>IFERROR(INDEX($B$5:$Q$625,MATCH(ROWS($R$5:$R415),$Q$5:$Q$625,0),1),"")</f>
        <v>583-60-8</v>
      </c>
    </row>
    <row r="416" spans="2:18" x14ac:dyDescent="0.2">
      <c r="B416" s="225" t="s">
        <v>1160</v>
      </c>
      <c r="C416" s="226" t="s">
        <v>1161</v>
      </c>
      <c r="D416" s="227">
        <v>0.1</v>
      </c>
      <c r="E416" s="227">
        <v>0.2</v>
      </c>
      <c r="F416" s="227"/>
      <c r="G416" s="226"/>
      <c r="H416" s="227"/>
      <c r="I416" s="227"/>
      <c r="J416" s="227"/>
      <c r="K416" s="228"/>
      <c r="O416">
        <f>IF(ISNUMBER(FIND($O$3,$C417)),MAXA($O$4:O415)+1,0)</f>
        <v>0</v>
      </c>
      <c r="P416" t="str">
        <f>IFERROR(INDEX($B$5:$O$625,MATCH(ROWS($P$5:$P416),$O$5:$O$625,0),2),"")</f>
        <v/>
      </c>
      <c r="Q416">
        <f>IF(ISNUMBER(FIND($Q$3,$B417)),MAXA($Q$4:Q415)+1,0)</f>
        <v>412</v>
      </c>
      <c r="R416" t="str">
        <f>IFERROR(INDEX($B$5:$Q$625,MATCH(ROWS($R$5:$R416),$Q$5:$Q$625,0),1),"")</f>
        <v>12108-13-3</v>
      </c>
    </row>
    <row r="417" spans="2:18" x14ac:dyDescent="0.2">
      <c r="B417" s="225" t="s">
        <v>1162</v>
      </c>
      <c r="C417" s="226" t="s">
        <v>1163</v>
      </c>
      <c r="D417" s="227"/>
      <c r="E417" s="227">
        <v>1.5</v>
      </c>
      <c r="F417" s="227"/>
      <c r="G417" s="226"/>
      <c r="H417" s="227"/>
      <c r="I417" s="227"/>
      <c r="J417" s="227"/>
      <c r="K417" s="228"/>
      <c r="O417">
        <f>IF(ISNUMBER(FIND($O$3,$C418)),MAXA($O$4:O416)+1,0)</f>
        <v>0</v>
      </c>
      <c r="P417" t="str">
        <f>IFERROR(INDEX($B$5:$O$625,MATCH(ROWS($P$5:$P417),$O$5:$O$625,0),2),"")</f>
        <v/>
      </c>
      <c r="Q417">
        <f>IF(ISNUMBER(FIND($Q$3,$B418)),MAXA($Q$4:Q416)+1,0)</f>
        <v>413</v>
      </c>
      <c r="R417" t="str">
        <f>IFERROR(INDEX($B$5:$Q$625,MATCH(ROWS($R$5:$R417),$Q$5:$Q$625,0),1),"")</f>
        <v>479-45-8</v>
      </c>
    </row>
    <row r="418" spans="2:18" x14ac:dyDescent="0.2">
      <c r="B418" s="225" t="s">
        <v>1164</v>
      </c>
      <c r="C418" s="226" t="s">
        <v>1165</v>
      </c>
      <c r="D418" s="227">
        <v>0.01</v>
      </c>
      <c r="E418" s="227">
        <v>0.1</v>
      </c>
      <c r="F418" s="227"/>
      <c r="G418" s="226"/>
      <c r="H418" s="227"/>
      <c r="I418" s="227"/>
      <c r="J418" s="227"/>
      <c r="K418" s="228"/>
      <c r="O418">
        <f>IF(ISNUMBER(FIND($O$3,$C419)),MAXA($O$4:O417)+1,0)</f>
        <v>0</v>
      </c>
      <c r="P418" t="str">
        <f>IFERROR(INDEX($B$5:$O$625,MATCH(ROWS($P$5:$P418),$O$5:$O$625,0),2),"")</f>
        <v/>
      </c>
      <c r="Q418">
        <f>IF(ISNUMBER(FIND($Q$3,$B419)),MAXA($Q$4:Q417)+1,0)</f>
        <v>414</v>
      </c>
      <c r="R418" t="str">
        <f>IFERROR(INDEX($B$5:$Q$625,MATCH(ROWS($R$5:$R418),$Q$5:$Q$625,0),1),"")</f>
        <v>7786-34-7</v>
      </c>
    </row>
    <row r="419" spans="2:18" ht="29" x14ac:dyDescent="0.2">
      <c r="B419" s="225"/>
      <c r="C419" s="231" t="s">
        <v>1166</v>
      </c>
      <c r="D419" s="227"/>
      <c r="E419" s="227"/>
      <c r="F419" s="227">
        <v>1</v>
      </c>
      <c r="G419" s="226"/>
      <c r="H419" s="227"/>
      <c r="I419" s="227"/>
      <c r="J419" s="227"/>
      <c r="K419" s="228"/>
      <c r="O419">
        <f>IF(ISNUMBER(FIND($O$3,$C420)),MAXA($O$4:O418)+1,0)</f>
        <v>0</v>
      </c>
      <c r="P419" t="str">
        <f>IFERROR(INDEX($B$5:$O$625,MATCH(ROWS($P$5:$P419),$O$5:$O$625,0),2),"")</f>
        <v/>
      </c>
      <c r="Q419">
        <f>IF(ISNUMBER(FIND($Q$3,$B420)),MAXA($Q$4:Q418)+1,0)</f>
        <v>415</v>
      </c>
      <c r="R419">
        <f>IFERROR(INDEX($B$5:$Q$625,MATCH(ROWS($R$5:$R419),$Q$5:$Q$625,0),1),"")</f>
        <v>0</v>
      </c>
    </row>
    <row r="420" spans="2:18" x14ac:dyDescent="0.2">
      <c r="B420" s="225"/>
      <c r="C420" s="230" t="s">
        <v>1167</v>
      </c>
      <c r="D420" s="227"/>
      <c r="E420" s="227">
        <v>5</v>
      </c>
      <c r="F420" s="227"/>
      <c r="G420" s="226"/>
      <c r="H420" s="227"/>
      <c r="I420" s="227"/>
      <c r="J420" s="227"/>
      <c r="K420" s="228"/>
      <c r="O420">
        <f>IF(ISNUMBER(FIND($O$3,$C421)),MAXA($O$4:O419)+1,0)</f>
        <v>0</v>
      </c>
      <c r="P420" t="str">
        <f>IFERROR(INDEX($B$5:$O$625,MATCH(ROWS($P$5:$P420),$O$5:$O$625,0),2),"")</f>
        <v/>
      </c>
      <c r="Q420">
        <f>IF(ISNUMBER(FIND($Q$3,$B421)),MAXA($Q$4:Q419)+1,0)</f>
        <v>416</v>
      </c>
      <c r="R420">
        <f>IFERROR(INDEX($B$5:$Q$625,MATCH(ROWS($R$5:$R420),$Q$5:$Q$625,0),1),"")</f>
        <v>0</v>
      </c>
    </row>
    <row r="421" spans="2:18" x14ac:dyDescent="0.2">
      <c r="B421" s="225"/>
      <c r="C421" s="230" t="s">
        <v>1168</v>
      </c>
      <c r="D421" s="227"/>
      <c r="E421" s="227">
        <v>10</v>
      </c>
      <c r="F421" s="227"/>
      <c r="G421" s="226"/>
      <c r="H421" s="227"/>
      <c r="I421" s="227"/>
      <c r="J421" s="227"/>
      <c r="K421" s="228"/>
      <c r="O421">
        <f>IF(ISNUMBER(FIND($O$3,$C422)),MAXA($O$4:O420)+1,0)</f>
        <v>0</v>
      </c>
      <c r="P421" t="str">
        <f>IFERROR(INDEX($B$5:$O$625,MATCH(ROWS($P$5:$P421),$O$5:$O$625,0),2),"")</f>
        <v/>
      </c>
      <c r="Q421">
        <f>IF(ISNUMBER(FIND($Q$3,$B422)),MAXA($Q$4:Q420)+1,0)</f>
        <v>417</v>
      </c>
      <c r="R421">
        <f>IFERROR(INDEX($B$5:$Q$625,MATCH(ROWS($R$5:$R421),$Q$5:$Q$625,0),1),"")</f>
        <v>0</v>
      </c>
    </row>
    <row r="422" spans="2:18" x14ac:dyDescent="0.2">
      <c r="B422" s="225" t="s">
        <v>1169</v>
      </c>
      <c r="C422" s="226" t="s">
        <v>1170</v>
      </c>
      <c r="D422" s="227">
        <v>10</v>
      </c>
      <c r="E422" s="227">
        <v>36</v>
      </c>
      <c r="F422" s="227"/>
      <c r="G422" s="226"/>
      <c r="H422" s="227"/>
      <c r="I422" s="227"/>
      <c r="J422" s="227"/>
      <c r="K422" s="228"/>
      <c r="O422">
        <f>IF(ISNUMBER(FIND($O$3,$C423)),MAXA($O$4:O421)+1,0)</f>
        <v>0</v>
      </c>
      <c r="P422" t="str">
        <f>IFERROR(INDEX($B$5:$O$625,MATCH(ROWS($P$5:$P422),$O$5:$O$625,0),2),"")</f>
        <v/>
      </c>
      <c r="Q422">
        <f>IF(ISNUMBER(FIND($Q$3,$B423)),MAXA($Q$4:Q421)+1,0)</f>
        <v>418</v>
      </c>
      <c r="R422" t="str">
        <f>IFERROR(INDEX($B$5:$Q$625,MATCH(ROWS($R$5:$R422),$Q$5:$Q$625,0),1),"")</f>
        <v>110-91-8</v>
      </c>
    </row>
    <row r="423" spans="2:18" x14ac:dyDescent="0.2">
      <c r="B423" s="225" t="s">
        <v>1171</v>
      </c>
      <c r="C423" s="226" t="s">
        <v>1172</v>
      </c>
      <c r="D423" s="227">
        <v>10</v>
      </c>
      <c r="E423" s="227">
        <v>50</v>
      </c>
      <c r="F423" s="227"/>
      <c r="G423" s="226"/>
      <c r="H423" s="227"/>
      <c r="I423" s="227"/>
      <c r="J423" s="227"/>
      <c r="K423" s="228"/>
      <c r="O423">
        <f>IF(ISNUMBER(FIND($O$3,$C424)),MAXA($O$4:O422)+1,0)</f>
        <v>0</v>
      </c>
      <c r="P423" t="str">
        <f>IFERROR(INDEX($B$5:$O$625,MATCH(ROWS($P$5:$P423),$O$5:$O$625,0),2),"")</f>
        <v/>
      </c>
      <c r="Q423">
        <f>IF(ISNUMBER(FIND($Q$3,$B424)),MAXA($Q$4:Q422)+1,0)</f>
        <v>419</v>
      </c>
      <c r="R423" t="str">
        <f>IFERROR(INDEX($B$5:$Q$625,MATCH(ROWS($R$5:$R423),$Q$5:$Q$625,0),1),"")</f>
        <v>91-20-3</v>
      </c>
    </row>
    <row r="424" spans="2:18" x14ac:dyDescent="0.2">
      <c r="B424" s="225" t="s">
        <v>1173</v>
      </c>
      <c r="C424" s="226" t="s">
        <v>1174</v>
      </c>
      <c r="D424" s="227">
        <v>5.0000000000000001E-3</v>
      </c>
      <c r="E424" s="227">
        <v>0.04</v>
      </c>
      <c r="F424" s="227"/>
      <c r="G424" s="226"/>
      <c r="H424" s="227"/>
      <c r="I424" s="227">
        <v>0.01</v>
      </c>
      <c r="J424" s="227"/>
      <c r="K424" s="228"/>
      <c r="O424">
        <f>IF(ISNUMBER(FIND($O$3,$C425)),MAXA($O$4:O423)+1,0)</f>
        <v>0</v>
      </c>
      <c r="P424" t="str">
        <f>IFERROR(INDEX($B$5:$O$625,MATCH(ROWS($P$5:$P424),$O$5:$O$625,0),2),"")</f>
        <v/>
      </c>
      <c r="Q424">
        <f>IF(ISNUMBER(FIND($Q$3,$B425)),MAXA($Q$4:Q423)+1,0)</f>
        <v>420</v>
      </c>
      <c r="R424" t="str">
        <f>IFERROR(INDEX($B$5:$Q$625,MATCH(ROWS($R$5:$R424),$Q$5:$Q$625,0),1),"")</f>
        <v>3173-72-6</v>
      </c>
    </row>
    <row r="425" spans="2:18" x14ac:dyDescent="0.2">
      <c r="B425" s="225" t="s">
        <v>1175</v>
      </c>
      <c r="C425" s="226" t="s">
        <v>1176</v>
      </c>
      <c r="D425" s="227"/>
      <c r="E425" s="227">
        <v>0.3</v>
      </c>
      <c r="F425" s="227"/>
      <c r="G425" s="226"/>
      <c r="H425" s="227"/>
      <c r="I425" s="227"/>
      <c r="J425" s="227"/>
      <c r="K425" s="228"/>
      <c r="O425">
        <f>IF(ISNUMBER(FIND($O$3,$C426)),MAXA($O$4:O424)+1,0)</f>
        <v>0</v>
      </c>
      <c r="P425" t="str">
        <f>IFERROR(INDEX($B$5:$O$625,MATCH(ROWS($P$5:$P425),$O$5:$O$625,0),2),"")</f>
        <v/>
      </c>
      <c r="Q425">
        <f>IF(ISNUMBER(FIND($Q$3,$B426)),MAXA($Q$4:Q424)+1,0)</f>
        <v>421</v>
      </c>
      <c r="R425" t="str">
        <f>IFERROR(INDEX($B$5:$Q$625,MATCH(ROWS($R$5:$R425),$Q$5:$Q$625,0),1),"")</f>
        <v>86-88-4</v>
      </c>
    </row>
    <row r="426" spans="2:18" x14ac:dyDescent="0.2">
      <c r="B426" s="225" t="s">
        <v>1177</v>
      </c>
      <c r="C426" s="226" t="s">
        <v>1178</v>
      </c>
      <c r="D426" s="227"/>
      <c r="E426" s="227">
        <v>0.1</v>
      </c>
      <c r="F426" s="227"/>
      <c r="G426" s="226"/>
      <c r="H426" s="227">
        <v>0.3</v>
      </c>
      <c r="I426" s="227"/>
      <c r="J426" s="227"/>
      <c r="K426" s="228"/>
      <c r="O426">
        <f>IF(ISNUMBER(FIND($O$3,$C427)),MAXA($O$4:O425)+1,0)</f>
        <v>0</v>
      </c>
      <c r="P426" t="str">
        <f>IFERROR(INDEX($B$5:$O$625,MATCH(ROWS($P$5:$P426),$O$5:$O$625,0),2),"")</f>
        <v/>
      </c>
      <c r="Q426">
        <f>IF(ISNUMBER(FIND($Q$3,$B427)),MAXA($Q$4:Q425)+1,0)</f>
        <v>422</v>
      </c>
      <c r="R426" t="str">
        <f>IFERROR(INDEX($B$5:$Q$625,MATCH(ROWS($R$5:$R426),$Q$5:$Q$625,0),1),"")</f>
        <v>26628-22-8</v>
      </c>
    </row>
    <row r="427" spans="2:18" x14ac:dyDescent="0.2">
      <c r="B427" s="225" t="s">
        <v>1179</v>
      </c>
      <c r="C427" s="226" t="s">
        <v>1180</v>
      </c>
      <c r="D427" s="227"/>
      <c r="E427" s="227">
        <v>0.05</v>
      </c>
      <c r="F427" s="227"/>
      <c r="G427" s="226"/>
      <c r="H427" s="227"/>
      <c r="I427" s="227"/>
      <c r="J427" s="227"/>
      <c r="K427" s="228"/>
      <c r="O427">
        <f>IF(ISNUMBER(FIND($O$3,$C428)),MAXA($O$4:O426)+1,0)</f>
        <v>0</v>
      </c>
      <c r="P427" t="str">
        <f>IFERROR(INDEX($B$5:$O$625,MATCH(ROWS($P$5:$P427),$O$5:$O$625,0),2),"")</f>
        <v/>
      </c>
      <c r="Q427">
        <f>IF(ISNUMBER(FIND($Q$3,$B428)),MAXA($Q$4:Q426)+1,0)</f>
        <v>423</v>
      </c>
      <c r="R427" t="str">
        <f>IFERROR(INDEX($B$5:$Q$625,MATCH(ROWS($R$5:$R427),$Q$5:$Q$625,0),1),"")</f>
        <v>62-74-8</v>
      </c>
    </row>
    <row r="428" spans="2:18" x14ac:dyDescent="0.2">
      <c r="B428" s="225" t="s">
        <v>1181</v>
      </c>
      <c r="C428" s="226" t="s">
        <v>1182</v>
      </c>
      <c r="D428" s="227"/>
      <c r="E428" s="227">
        <v>5</v>
      </c>
      <c r="F428" s="227"/>
      <c r="G428" s="226"/>
      <c r="H428" s="227"/>
      <c r="I428" s="227"/>
      <c r="J428" s="227"/>
      <c r="K428" s="228"/>
      <c r="O428">
        <f>IF(ISNUMBER(FIND($O$3,$C429)),MAXA($O$4:O427)+1,0)</f>
        <v>0</v>
      </c>
      <c r="P428" t="str">
        <f>IFERROR(INDEX($B$5:$O$625,MATCH(ROWS($P$5:$P428),$O$5:$O$625,0),2),"")</f>
        <v/>
      </c>
      <c r="Q428">
        <f>IF(ISNUMBER(FIND($Q$3,$B429)),MAXA($Q$4:Q427)+1,0)</f>
        <v>424</v>
      </c>
      <c r="R428" t="str">
        <f>IFERROR(INDEX($B$5:$Q$625,MATCH(ROWS($R$5:$R428),$Q$5:$Q$625,0),1),"")</f>
        <v>7631-90-5</v>
      </c>
    </row>
    <row r="429" spans="2:18" x14ac:dyDescent="0.2">
      <c r="B429" s="225" t="s">
        <v>1183</v>
      </c>
      <c r="C429" s="226" t="s">
        <v>1184</v>
      </c>
      <c r="D429" s="227"/>
      <c r="E429" s="227"/>
      <c r="F429" s="227"/>
      <c r="G429" s="226"/>
      <c r="H429" s="227"/>
      <c r="I429" s="227"/>
      <c r="J429" s="227">
        <v>2</v>
      </c>
      <c r="K429" s="228"/>
      <c r="O429">
        <f>IF(ISNUMBER(FIND($O$3,$C430)),MAXA($O$4:O428)+1,0)</f>
        <v>0</v>
      </c>
      <c r="P429" t="str">
        <f>IFERROR(INDEX($B$5:$O$625,MATCH(ROWS($P$5:$P429),$O$5:$O$625,0),2),"")</f>
        <v/>
      </c>
      <c r="Q429">
        <f>IF(ISNUMBER(FIND($Q$3,$B430)),MAXA($Q$4:Q428)+1,0)</f>
        <v>425</v>
      </c>
      <c r="R429" t="str">
        <f>IFERROR(INDEX($B$5:$Q$625,MATCH(ROWS($R$5:$R429),$Q$5:$Q$625,0),1),"")</f>
        <v>1310-73-2</v>
      </c>
    </row>
    <row r="430" spans="2:18" x14ac:dyDescent="0.2">
      <c r="B430" s="225" t="s">
        <v>1185</v>
      </c>
      <c r="C430" s="226" t="s">
        <v>1186</v>
      </c>
      <c r="D430" s="227"/>
      <c r="E430" s="227">
        <v>5</v>
      </c>
      <c r="F430" s="227"/>
      <c r="G430" s="226"/>
      <c r="H430" s="227"/>
      <c r="I430" s="227"/>
      <c r="J430" s="227"/>
      <c r="K430" s="228"/>
      <c r="O430">
        <f>IF(ISNUMBER(FIND($O$3,$C431)),MAXA($O$4:O429)+1,0)</f>
        <v>0</v>
      </c>
      <c r="P430" t="str">
        <f>IFERROR(INDEX($B$5:$O$625,MATCH(ROWS($P$5:$P430),$O$5:$O$625,0),2),"")</f>
        <v/>
      </c>
      <c r="Q430">
        <f>IF(ISNUMBER(FIND($Q$3,$B431)),MAXA($Q$4:Q429)+1,0)</f>
        <v>426</v>
      </c>
      <c r="R430" t="str">
        <f>IFERROR(INDEX($B$5:$Q$625,MATCH(ROWS($R$5:$R430),$Q$5:$Q$625,0),1),"")</f>
        <v>7681-57-4</v>
      </c>
    </row>
    <row r="431" spans="2:18" x14ac:dyDescent="0.2">
      <c r="B431" s="225" t="s">
        <v>1187</v>
      </c>
      <c r="C431" s="226" t="s">
        <v>1188</v>
      </c>
      <c r="D431" s="227"/>
      <c r="E431" s="227">
        <v>1</v>
      </c>
      <c r="F431" s="227"/>
      <c r="G431" s="226"/>
      <c r="H431" s="227"/>
      <c r="I431" s="227"/>
      <c r="J431" s="227"/>
      <c r="K431" s="228"/>
      <c r="O431">
        <f>IF(ISNUMBER(FIND($O$3,$C432)),MAXA($O$4:O430)+1,0)</f>
        <v>0</v>
      </c>
      <c r="P431" t="str">
        <f>IFERROR(INDEX($B$5:$O$625,MATCH(ROWS($P$5:$P431),$O$5:$O$625,0),2),"")</f>
        <v/>
      </c>
      <c r="Q431">
        <f>IF(ISNUMBER(FIND($Q$3,$B432)),MAXA($Q$4:Q430)+1,0)</f>
        <v>427</v>
      </c>
      <c r="R431" t="str">
        <f>IFERROR(INDEX($B$5:$Q$625,MATCH(ROWS($R$5:$R431),$Q$5:$Q$625,0),1),"")</f>
        <v>1330-43-4</v>
      </c>
    </row>
    <row r="432" spans="2:18" x14ac:dyDescent="0.2">
      <c r="B432" s="225" t="s">
        <v>1189</v>
      </c>
      <c r="C432" s="226" t="s">
        <v>1190</v>
      </c>
      <c r="D432" s="227"/>
      <c r="E432" s="227">
        <v>5</v>
      </c>
      <c r="F432" s="227"/>
      <c r="G432" s="226"/>
      <c r="H432" s="227"/>
      <c r="I432" s="227"/>
      <c r="J432" s="227"/>
      <c r="K432" s="228"/>
      <c r="O432">
        <f>IF(ISNUMBER(FIND($O$3,$C433)),MAXA($O$4:O431)+1,0)</f>
        <v>0</v>
      </c>
      <c r="P432" t="str">
        <f>IFERROR(INDEX($B$5:$O$625,MATCH(ROWS($P$5:$P432),$O$5:$O$625,0),2),"")</f>
        <v/>
      </c>
      <c r="Q432">
        <f>IF(ISNUMBER(FIND($Q$3,$B433)),MAXA($Q$4:Q431)+1,0)</f>
        <v>428</v>
      </c>
      <c r="R432" t="str">
        <f>IFERROR(INDEX($B$5:$Q$625,MATCH(ROWS($R$5:$R432),$Q$5:$Q$625,0),1),"")</f>
        <v>1303-96-4</v>
      </c>
    </row>
    <row r="433" spans="2:18" x14ac:dyDescent="0.2">
      <c r="B433" s="225" t="s">
        <v>1191</v>
      </c>
      <c r="C433" s="226" t="s">
        <v>1192</v>
      </c>
      <c r="D433" s="227"/>
      <c r="E433" s="227">
        <v>1</v>
      </c>
      <c r="F433" s="227"/>
      <c r="G433" s="226"/>
      <c r="H433" s="227"/>
      <c r="I433" s="227"/>
      <c r="J433" s="227"/>
      <c r="K433" s="228"/>
      <c r="O433">
        <f>IF(ISNUMBER(FIND($O$3,$C434)),MAXA($O$4:O432)+1,0)</f>
        <v>0</v>
      </c>
      <c r="P433" t="str">
        <f>IFERROR(INDEX($B$5:$O$625,MATCH(ROWS($P$5:$P433),$O$5:$O$625,0),2),"")</f>
        <v/>
      </c>
      <c r="Q433">
        <f>IF(ISNUMBER(FIND($Q$3,$B434)),MAXA($Q$4:Q432)+1,0)</f>
        <v>429</v>
      </c>
      <c r="R433" t="str">
        <f>IFERROR(INDEX($B$5:$Q$625,MATCH(ROWS($R$5:$R433),$Q$5:$Q$625,0),1),"")</f>
        <v>12447-40-4</v>
      </c>
    </row>
    <row r="434" spans="2:18" x14ac:dyDescent="0.2">
      <c r="B434" s="225" t="s">
        <v>1193</v>
      </c>
      <c r="C434" s="226" t="s">
        <v>1194</v>
      </c>
      <c r="D434" s="227">
        <v>250</v>
      </c>
      <c r="E434" s="227">
        <v>750</v>
      </c>
      <c r="F434" s="227"/>
      <c r="G434" s="226"/>
      <c r="H434" s="227"/>
      <c r="I434" s="227"/>
      <c r="J434" s="227"/>
      <c r="K434" s="228"/>
      <c r="O434">
        <f>IF(ISNUMBER(FIND($O$3,$C435)),MAXA($O$4:O433)+1,0)</f>
        <v>0</v>
      </c>
      <c r="P434" t="str">
        <f>IFERROR(INDEX($B$5:$O$625,MATCH(ROWS($P$5:$P434),$O$5:$O$625,0),2),"")</f>
        <v/>
      </c>
      <c r="Q434">
        <f>IF(ISNUMBER(FIND($Q$3,$B435)),MAXA($Q$4:Q433)+1,0)</f>
        <v>430</v>
      </c>
      <c r="R434" t="str">
        <f>IFERROR(INDEX($B$5:$Q$625,MATCH(ROWS($R$5:$R434),$Q$5:$Q$625,0),1),"")</f>
        <v>463-82-1</v>
      </c>
    </row>
    <row r="435" spans="2:18" x14ac:dyDescent="0.2">
      <c r="B435" s="225"/>
      <c r="C435" s="230" t="s">
        <v>1195</v>
      </c>
      <c r="D435" s="227"/>
      <c r="E435" s="227">
        <v>0.05</v>
      </c>
      <c r="F435" s="227"/>
      <c r="G435" s="226"/>
      <c r="H435" s="227"/>
      <c r="I435" s="227"/>
      <c r="J435" s="227"/>
      <c r="K435" s="228"/>
      <c r="O435">
        <f>IF(ISNUMBER(FIND($O$3,$C436)),MAXA($O$4:O434)+1,0)</f>
        <v>0</v>
      </c>
      <c r="P435" t="str">
        <f>IFERROR(INDEX($B$5:$O$625,MATCH(ROWS($P$5:$P435),$O$5:$O$625,0),2),"")</f>
        <v/>
      </c>
      <c r="Q435">
        <f>IF(ISNUMBER(FIND($Q$3,$B436)),MAXA($Q$4:Q434)+1,0)</f>
        <v>431</v>
      </c>
      <c r="R435">
        <f>IFERROR(INDEX($B$5:$Q$625,MATCH(ROWS($R$5:$R435),$Q$5:$Q$625,0),1),"")</f>
        <v>0</v>
      </c>
    </row>
    <row r="436" spans="2:18" x14ac:dyDescent="0.2">
      <c r="B436" s="225" t="s">
        <v>1196</v>
      </c>
      <c r="C436" s="226" t="s">
        <v>1197</v>
      </c>
      <c r="D436" s="227">
        <v>1E-3</v>
      </c>
      <c r="E436" s="227">
        <v>7.0000000000000001E-3</v>
      </c>
      <c r="F436" s="227"/>
      <c r="G436" s="226"/>
      <c r="H436" s="227"/>
      <c r="I436" s="227"/>
      <c r="J436" s="227"/>
      <c r="K436" s="228"/>
      <c r="O436">
        <f>IF(ISNUMBER(FIND($O$3,$C437)),MAXA($O$4:O435)+1,0)</f>
        <v>0</v>
      </c>
      <c r="P436" t="str">
        <f>IFERROR(INDEX($B$5:$O$625,MATCH(ROWS($P$5:$P436),$O$5:$O$625,0),2),"")</f>
        <v/>
      </c>
      <c r="Q436">
        <f>IF(ISNUMBER(FIND($Q$3,$B437)),MAXA($Q$4:Q435)+1,0)</f>
        <v>432</v>
      </c>
      <c r="R436" t="str">
        <f>IFERROR(INDEX($B$5:$Q$625,MATCH(ROWS($R$5:$R436),$Q$5:$Q$625,0),1),"")</f>
        <v>13463-39-3</v>
      </c>
    </row>
    <row r="437" spans="2:18" x14ac:dyDescent="0.2">
      <c r="B437" s="225" t="s">
        <v>1198</v>
      </c>
      <c r="C437" s="226" t="s">
        <v>1199</v>
      </c>
      <c r="D437" s="227"/>
      <c r="E437" s="227">
        <v>0.5</v>
      </c>
      <c r="F437" s="227"/>
      <c r="G437" s="226"/>
      <c r="H437" s="227"/>
      <c r="I437" s="227"/>
      <c r="J437" s="227"/>
      <c r="K437" s="228"/>
      <c r="O437">
        <f>IF(ISNUMBER(FIND($O$3,$C438)),MAXA($O$4:O436)+1,0)</f>
        <v>0</v>
      </c>
      <c r="P437" t="str">
        <f>IFERROR(INDEX($B$5:$O$625,MATCH(ROWS($P$5:$P437),$O$5:$O$625,0),2),"")</f>
        <v/>
      </c>
      <c r="Q437">
        <f>IF(ISNUMBER(FIND($Q$3,$B438)),MAXA($Q$4:Q436)+1,0)</f>
        <v>433</v>
      </c>
      <c r="R437" t="str">
        <f>IFERROR(INDEX($B$5:$Q$625,MATCH(ROWS($R$5:$R437),$Q$5:$Q$625,0),1),"")</f>
        <v>54-11-5</v>
      </c>
    </row>
    <row r="438" spans="2:18" x14ac:dyDescent="0.2">
      <c r="B438" s="225" t="s">
        <v>1200</v>
      </c>
      <c r="C438" s="226" t="s">
        <v>1201</v>
      </c>
      <c r="D438" s="227"/>
      <c r="E438" s="227">
        <v>3</v>
      </c>
      <c r="F438" s="227"/>
      <c r="G438" s="226"/>
      <c r="H438" s="227"/>
      <c r="I438" s="227"/>
      <c r="J438" s="227"/>
      <c r="K438" s="228"/>
      <c r="O438">
        <f>IF(ISNUMBER(FIND($O$3,$C439)),MAXA($O$4:O437)+1,0)</f>
        <v>0</v>
      </c>
      <c r="P438" t="str">
        <f>IFERROR(INDEX($B$5:$O$625,MATCH(ROWS($P$5:$P438),$O$5:$O$625,0),2),"")</f>
        <v/>
      </c>
      <c r="Q438">
        <f>IF(ISNUMBER(FIND($Q$3,$B439)),MAXA($Q$4:Q437)+1,0)</f>
        <v>434</v>
      </c>
      <c r="R438" t="str">
        <f>IFERROR(INDEX($B$5:$Q$625,MATCH(ROWS($R$5:$R438),$Q$5:$Q$625,0),1),"")</f>
        <v>100-01-6</v>
      </c>
    </row>
    <row r="439" spans="2:18" x14ac:dyDescent="0.2">
      <c r="B439" s="225" t="s">
        <v>1202</v>
      </c>
      <c r="C439" s="226" t="s">
        <v>1203</v>
      </c>
      <c r="D439" s="227">
        <v>0.2</v>
      </c>
      <c r="E439" s="227">
        <v>1</v>
      </c>
      <c r="F439" s="227"/>
      <c r="G439" s="226"/>
      <c r="H439" s="227"/>
      <c r="I439" s="227"/>
      <c r="J439" s="227"/>
      <c r="K439" s="228"/>
      <c r="O439">
        <f>IF(ISNUMBER(FIND($O$3,$C440)),MAXA($O$4:O438)+1,0)</f>
        <v>0</v>
      </c>
      <c r="P439" t="str">
        <f>IFERROR(INDEX($B$5:$O$625,MATCH(ROWS($P$5:$P439),$O$5:$O$625,0),2),"")</f>
        <v/>
      </c>
      <c r="Q439">
        <f>IF(ISNUMBER(FIND($Q$3,$B440)),MAXA($Q$4:Q438)+1,0)</f>
        <v>435</v>
      </c>
      <c r="R439" t="str">
        <f>IFERROR(INDEX($B$5:$Q$625,MATCH(ROWS($R$5:$R439),$Q$5:$Q$625,0),1),"")</f>
        <v>98-95-3</v>
      </c>
    </row>
    <row r="440" spans="2:18" x14ac:dyDescent="0.2">
      <c r="B440" s="225" t="s">
        <v>1204</v>
      </c>
      <c r="C440" s="226" t="s">
        <v>1205</v>
      </c>
      <c r="D440" s="227">
        <v>50</v>
      </c>
      <c r="E440" s="227">
        <v>155</v>
      </c>
      <c r="F440" s="227"/>
      <c r="G440" s="226"/>
      <c r="H440" s="227"/>
      <c r="I440" s="227"/>
      <c r="J440" s="227"/>
      <c r="K440" s="228"/>
      <c r="O440">
        <f>IF(ISNUMBER(FIND($O$3,$C441)),MAXA($O$4:O439)+1,0)</f>
        <v>0</v>
      </c>
      <c r="P440" t="str">
        <f>IFERROR(INDEX($B$5:$O$625,MATCH(ROWS($P$5:$P440),$O$5:$O$625,0),2),"")</f>
        <v/>
      </c>
      <c r="Q440">
        <f>IF(ISNUMBER(FIND($Q$3,$B441)),MAXA($Q$4:Q439)+1,0)</f>
        <v>436</v>
      </c>
      <c r="R440" t="str">
        <f>IFERROR(INDEX($B$5:$Q$625,MATCH(ROWS($R$5:$R440),$Q$5:$Q$625,0),1),"")</f>
        <v>79-24-3</v>
      </c>
    </row>
    <row r="441" spans="2:18" x14ac:dyDescent="0.2">
      <c r="B441" s="225" t="s">
        <v>1206</v>
      </c>
      <c r="C441" s="226" t="s">
        <v>1207</v>
      </c>
      <c r="D441" s="227">
        <v>0.5</v>
      </c>
      <c r="E441" s="227">
        <v>0.96</v>
      </c>
      <c r="F441" s="227"/>
      <c r="G441" s="226"/>
      <c r="H441" s="227"/>
      <c r="I441" s="227"/>
      <c r="J441" s="227"/>
      <c r="K441" s="228"/>
      <c r="O441">
        <f>IF(ISNUMBER(FIND($O$3,$C442)),MAXA($O$4:O440)+1,0)</f>
        <v>0</v>
      </c>
      <c r="P441" t="str">
        <f>IFERROR(INDEX($B$5:$O$625,MATCH(ROWS($P$5:$P441),$O$5:$O$625,0),2),"")</f>
        <v/>
      </c>
      <c r="Q441">
        <f>IF(ISNUMBER(FIND($Q$3,$B442)),MAXA($Q$4:Q440)+1,0)</f>
        <v>437</v>
      </c>
      <c r="R441" t="str">
        <f>IFERROR(INDEX($B$5:$Q$625,MATCH(ROWS($R$5:$R441),$Q$5:$Q$625,0),1),"")</f>
        <v>10102-44-0</v>
      </c>
    </row>
    <row r="442" spans="2:18" x14ac:dyDescent="0.2">
      <c r="B442" s="225" t="s">
        <v>1208</v>
      </c>
      <c r="C442" s="226" t="s">
        <v>1209</v>
      </c>
      <c r="D442" s="227">
        <v>25</v>
      </c>
      <c r="E442" s="227">
        <v>30</v>
      </c>
      <c r="F442" s="227"/>
      <c r="G442" s="226"/>
      <c r="H442" s="227"/>
      <c r="I442" s="227"/>
      <c r="J442" s="227"/>
      <c r="K442" s="228"/>
      <c r="O442">
        <f>IF(ISNUMBER(FIND($O$3,$C443)),MAXA($O$4:O441)+1,0)</f>
        <v>0</v>
      </c>
      <c r="P442" t="str">
        <f>IFERROR(INDEX($B$5:$O$625,MATCH(ROWS($P$5:$P442),$O$5:$O$625,0),2),"")</f>
        <v/>
      </c>
      <c r="Q442">
        <f>IF(ISNUMBER(FIND($Q$3,$B443)),MAXA($Q$4:Q441)+1,0)</f>
        <v>438</v>
      </c>
      <c r="R442" t="str">
        <f>IFERROR(INDEX($B$5:$Q$625,MATCH(ROWS($R$5:$R442),$Q$5:$Q$625,0),1),"")</f>
        <v>10102-43-9</v>
      </c>
    </row>
    <row r="443" spans="2:18" x14ac:dyDescent="0.2">
      <c r="B443" s="225" t="s">
        <v>1210</v>
      </c>
      <c r="C443" s="226" t="s">
        <v>1211</v>
      </c>
      <c r="D443" s="227">
        <v>10</v>
      </c>
      <c r="E443" s="227">
        <v>29</v>
      </c>
      <c r="F443" s="227"/>
      <c r="G443" s="226"/>
      <c r="H443" s="227"/>
      <c r="I443" s="227"/>
      <c r="J443" s="227"/>
      <c r="K443" s="228"/>
      <c r="O443">
        <f>IF(ISNUMBER(FIND($O$3,$C444)),MAXA($O$4:O442)+1,0)</f>
        <v>0</v>
      </c>
      <c r="P443" t="str">
        <f>IFERROR(INDEX($B$5:$O$625,MATCH(ROWS($P$5:$P443),$O$5:$O$625,0),2),"")</f>
        <v/>
      </c>
      <c r="Q443">
        <f>IF(ISNUMBER(FIND($Q$3,$B444)),MAXA($Q$4:Q442)+1,0)</f>
        <v>439</v>
      </c>
      <c r="R443" t="str">
        <f>IFERROR(INDEX($B$5:$Q$625,MATCH(ROWS($R$5:$R443),$Q$5:$Q$625,0),1),"")</f>
        <v>7783-54-2</v>
      </c>
    </row>
    <row r="444" spans="2:18" x14ac:dyDescent="0.2">
      <c r="B444" s="225" t="s">
        <v>1212</v>
      </c>
      <c r="C444" s="226" t="s">
        <v>1213</v>
      </c>
      <c r="D444" s="227">
        <v>50</v>
      </c>
      <c r="E444" s="227">
        <v>125</v>
      </c>
      <c r="F444" s="227"/>
      <c r="G444" s="226"/>
      <c r="H444" s="227"/>
      <c r="I444" s="227"/>
      <c r="J444" s="227"/>
      <c r="K444" s="228"/>
      <c r="O444">
        <f>IF(ISNUMBER(FIND($O$3,$C445)),MAXA($O$4:O443)+1,0)</f>
        <v>0</v>
      </c>
      <c r="P444" t="str">
        <f>IFERROR(INDEX($B$5:$O$625,MATCH(ROWS($P$5:$P444),$O$5:$O$625,0),2),"")</f>
        <v/>
      </c>
      <c r="Q444">
        <f>IF(ISNUMBER(FIND($Q$3,$B445)),MAXA($Q$4:Q443)+1,0)</f>
        <v>440</v>
      </c>
      <c r="R444" t="str">
        <f>IFERROR(INDEX($B$5:$Q$625,MATCH(ROWS($R$5:$R444),$Q$5:$Q$625,0),1),"")</f>
        <v>75-52-5</v>
      </c>
    </row>
    <row r="445" spans="2:18" x14ac:dyDescent="0.2">
      <c r="B445" s="225" t="s">
        <v>1214</v>
      </c>
      <c r="C445" s="226" t="s">
        <v>1215</v>
      </c>
      <c r="D445" s="227">
        <v>20</v>
      </c>
      <c r="E445" s="227">
        <v>70</v>
      </c>
      <c r="F445" s="227"/>
      <c r="G445" s="226"/>
      <c r="H445" s="227"/>
      <c r="I445" s="227"/>
      <c r="J445" s="227"/>
      <c r="K445" s="228"/>
      <c r="O445">
        <f>IF(ISNUMBER(FIND($O$3,$C446)),MAXA($O$4:O444)+1,0)</f>
        <v>0</v>
      </c>
      <c r="P445" t="str">
        <f>IFERROR(INDEX($B$5:$O$625,MATCH(ROWS($P$5:$P445),$O$5:$O$625,0),2),"")</f>
        <v/>
      </c>
      <c r="Q445">
        <f>IF(ISNUMBER(FIND($Q$3,$B446)),MAXA($Q$4:Q444)+1,0)</f>
        <v>441</v>
      </c>
      <c r="R445" t="str">
        <f>IFERROR(INDEX($B$5:$Q$625,MATCH(ROWS($R$5:$R445),$Q$5:$Q$625,0),1),"")</f>
        <v>108-03-2</v>
      </c>
    </row>
    <row r="446" spans="2:18" x14ac:dyDescent="0.2">
      <c r="B446" s="225" t="s">
        <v>1216</v>
      </c>
      <c r="C446" s="226" t="s">
        <v>1217</v>
      </c>
      <c r="D446" s="227">
        <v>10</v>
      </c>
      <c r="E446" s="227">
        <v>35</v>
      </c>
      <c r="F446" s="227"/>
      <c r="G446" s="226"/>
      <c r="H446" s="227"/>
      <c r="I446" s="227"/>
      <c r="J446" s="227"/>
      <c r="K446" s="228"/>
      <c r="O446">
        <f>IF(ISNUMBER(FIND($O$3,$C447)),MAXA($O$4:O445)+1,0)</f>
        <v>0</v>
      </c>
      <c r="P446" t="str">
        <f>IFERROR(INDEX($B$5:$O$625,MATCH(ROWS($P$5:$P446),$O$5:$O$625,0),2),"")</f>
        <v/>
      </c>
      <c r="Q446">
        <f>IF(ISNUMBER(FIND($Q$3,$B447)),MAXA($Q$4:Q445)+1,0)</f>
        <v>442</v>
      </c>
      <c r="R446" t="str">
        <f>IFERROR(INDEX($B$5:$Q$625,MATCH(ROWS($R$5:$R446),$Q$5:$Q$625,0),1),"")</f>
        <v>79-46-9</v>
      </c>
    </row>
    <row r="447" spans="2:18" x14ac:dyDescent="0.2">
      <c r="B447" s="225"/>
      <c r="C447" s="230" t="s">
        <v>1218</v>
      </c>
      <c r="D447" s="226">
        <v>1</v>
      </c>
      <c r="E447" s="227">
        <v>5.5</v>
      </c>
      <c r="F447" s="227"/>
      <c r="G447" s="226"/>
      <c r="H447" s="227"/>
      <c r="I447" s="227"/>
      <c r="J447" s="227"/>
      <c r="K447" s="228"/>
      <c r="O447">
        <f>IF(ISNUMBER(FIND($O$3,$C448)),MAXA($O$4:O446)+1,0)</f>
        <v>0</v>
      </c>
      <c r="P447" t="str">
        <f>IFERROR(INDEX($B$5:$O$625,MATCH(ROWS($P$5:$P447),$O$5:$O$625,0),2),"")</f>
        <v/>
      </c>
      <c r="Q447">
        <f>IF(ISNUMBER(FIND($Q$3,$B448)),MAXA($Q$4:Q446)+1,0)</f>
        <v>443</v>
      </c>
      <c r="R447">
        <f>IFERROR(INDEX($B$5:$Q$625,MATCH(ROWS($R$5:$R447),$Q$5:$Q$625,0),1),"")</f>
        <v>0</v>
      </c>
    </row>
    <row r="448" spans="2:18" x14ac:dyDescent="0.2">
      <c r="B448" s="225" t="s">
        <v>1219</v>
      </c>
      <c r="C448" s="226" t="s">
        <v>1220</v>
      </c>
      <c r="D448" s="227">
        <v>100</v>
      </c>
      <c r="E448" s="227">
        <v>525</v>
      </c>
      <c r="F448" s="227"/>
      <c r="G448" s="226"/>
      <c r="H448" s="227"/>
      <c r="I448" s="227"/>
      <c r="J448" s="227"/>
      <c r="K448" s="228"/>
      <c r="O448">
        <f>IF(ISNUMBER(FIND($O$3,$C449)),MAXA($O$4:O447)+1,0)</f>
        <v>0</v>
      </c>
      <c r="P448" t="str">
        <f>IFERROR(INDEX($B$5:$O$625,MATCH(ROWS($P$5:$P448),$O$5:$O$625,0),2),"")</f>
        <v/>
      </c>
      <c r="Q448">
        <f>IF(ISNUMBER(FIND($Q$3,$B449)),MAXA($Q$4:Q447)+1,0)</f>
        <v>444</v>
      </c>
      <c r="R448" t="str">
        <f>IFERROR(INDEX($B$5:$Q$625,MATCH(ROWS($R$5:$R448),$Q$5:$Q$625,0),1),"")</f>
        <v>111-84-2</v>
      </c>
    </row>
    <row r="449" spans="2:18" x14ac:dyDescent="0.2">
      <c r="B449" s="225" t="s">
        <v>1221</v>
      </c>
      <c r="C449" s="226" t="s">
        <v>1222</v>
      </c>
      <c r="D449" s="227"/>
      <c r="E449" s="227">
        <v>1</v>
      </c>
      <c r="F449" s="227"/>
      <c r="G449" s="226"/>
      <c r="H449" s="227"/>
      <c r="I449" s="227"/>
      <c r="J449" s="227"/>
      <c r="K449" s="228"/>
      <c r="O449">
        <f>IF(ISNUMBER(FIND($O$3,$C450)),MAXA($O$4:O448)+1,0)</f>
        <v>0</v>
      </c>
      <c r="P449" t="str">
        <f>IFERROR(INDEX($B$5:$O$625,MATCH(ROWS($P$5:$P449),$O$5:$O$625,0),2),"")</f>
        <v/>
      </c>
      <c r="Q449">
        <f>IF(ISNUMBER(FIND($Q$3,$B450)),MAXA($Q$4:Q448)+1,0)</f>
        <v>445</v>
      </c>
      <c r="R449" t="str">
        <f>IFERROR(INDEX($B$5:$Q$625,MATCH(ROWS($R$5:$R449),$Q$5:$Q$625,0),1),"")</f>
        <v>144-62-7</v>
      </c>
    </row>
    <row r="450" spans="2:18" x14ac:dyDescent="0.2">
      <c r="B450" s="225">
        <v>123639</v>
      </c>
      <c r="C450" s="226" t="s">
        <v>1223</v>
      </c>
      <c r="D450" s="227"/>
      <c r="E450" s="227"/>
      <c r="F450" s="227"/>
      <c r="G450" s="226"/>
      <c r="H450" s="227"/>
      <c r="I450" s="227">
        <v>0.1</v>
      </c>
      <c r="J450" s="227">
        <v>0.5</v>
      </c>
      <c r="K450" s="228"/>
      <c r="O450">
        <f>IF(ISNUMBER(FIND($O$3,$C451)),MAXA($O$4:O449)+1,0)</f>
        <v>0</v>
      </c>
      <c r="P450" t="str">
        <f>IFERROR(INDEX($B$5:$O$625,MATCH(ROWS($P$5:$P450),$O$5:$O$625,0),2),"")</f>
        <v/>
      </c>
      <c r="Q450">
        <f>IF(ISNUMBER(FIND($Q$3,$B451)),MAXA($Q$4:Q449)+1,0)</f>
        <v>446</v>
      </c>
      <c r="R450">
        <f>IFERROR(INDEX($B$5:$Q$625,MATCH(ROWS($R$5:$R450),$Q$5:$Q$625,0),1),"")</f>
        <v>123639</v>
      </c>
    </row>
    <row r="451" spans="2:18" x14ac:dyDescent="0.2">
      <c r="B451" s="225" t="s">
        <v>1224</v>
      </c>
      <c r="C451" s="226" t="s">
        <v>1225</v>
      </c>
      <c r="D451" s="227">
        <v>0.05</v>
      </c>
      <c r="E451" s="227">
        <v>0.1</v>
      </c>
      <c r="F451" s="227"/>
      <c r="G451" s="226"/>
      <c r="H451" s="227"/>
      <c r="I451" s="227"/>
      <c r="J451" s="227"/>
      <c r="K451" s="228"/>
      <c r="O451">
        <f>IF(ISNUMBER(FIND($O$3,$C452)),MAXA($O$4:O450)+1,0)</f>
        <v>0</v>
      </c>
      <c r="P451" t="str">
        <f>IFERROR(INDEX($B$5:$O$625,MATCH(ROWS($P$5:$P451),$O$5:$O$625,0),2),"")</f>
        <v/>
      </c>
      <c r="Q451">
        <f>IF(ISNUMBER(FIND($Q$3,$B452)),MAXA($Q$4:Q450)+1,0)</f>
        <v>447</v>
      </c>
      <c r="R451" t="str">
        <f>IFERROR(INDEX($B$5:$Q$625,MATCH(ROWS($R$5:$R451),$Q$5:$Q$625,0),1),"")</f>
        <v>7783-41-7</v>
      </c>
    </row>
    <row r="452" spans="2:18" x14ac:dyDescent="0.2">
      <c r="B452" s="225" t="s">
        <v>1226</v>
      </c>
      <c r="C452" s="226" t="s">
        <v>1227</v>
      </c>
      <c r="D452" s="227"/>
      <c r="E452" s="227">
        <v>0.1</v>
      </c>
      <c r="F452" s="227"/>
      <c r="G452" s="226"/>
      <c r="H452" s="227"/>
      <c r="I452" s="227"/>
      <c r="J452" s="227"/>
      <c r="K452" s="228"/>
      <c r="O452">
        <f>IF(ISNUMBER(FIND($O$3,$C453)),MAXA($O$4:O451)+1,0)</f>
        <v>0</v>
      </c>
      <c r="P452" t="str">
        <f>IFERROR(INDEX($B$5:$O$625,MATCH(ROWS($P$5:$P452),$O$5:$O$625,0),2),"")</f>
        <v/>
      </c>
      <c r="Q452">
        <f>IF(ISNUMBER(FIND($Q$3,$B453)),MAXA($Q$4:Q451)+1,0)</f>
        <v>448</v>
      </c>
      <c r="R452" t="str">
        <f>IFERROR(INDEX($B$5:$Q$625,MATCH(ROWS($R$5:$R452),$Q$5:$Q$625,0),1),"")</f>
        <v>2234-13-1</v>
      </c>
    </row>
    <row r="453" spans="2:18" x14ac:dyDescent="0.2">
      <c r="B453" s="225" t="s">
        <v>1228</v>
      </c>
      <c r="C453" s="226" t="s">
        <v>1229</v>
      </c>
      <c r="D453" s="227">
        <v>150</v>
      </c>
      <c r="E453" s="227">
        <v>725</v>
      </c>
      <c r="F453" s="227"/>
      <c r="G453" s="226"/>
      <c r="H453" s="227"/>
      <c r="I453" s="227"/>
      <c r="J453" s="227"/>
      <c r="K453" s="228"/>
      <c r="O453">
        <f>IF(ISNUMBER(FIND($O$3,$C454)),MAXA($O$4:O452)+1,0)</f>
        <v>0</v>
      </c>
      <c r="P453" t="str">
        <f>IFERROR(INDEX($B$5:$O$625,MATCH(ROWS($P$5:$P453),$O$5:$O$625,0),2),"")</f>
        <v/>
      </c>
      <c r="Q453">
        <f>IF(ISNUMBER(FIND($Q$3,$B454)),MAXA($Q$4:Q452)+1,0)</f>
        <v>449</v>
      </c>
      <c r="R453" t="str">
        <f>IFERROR(INDEX($B$5:$Q$625,MATCH(ROWS($R$5:$R453),$Q$5:$Q$625,0),1),"")</f>
        <v>111-65-9</v>
      </c>
    </row>
    <row r="454" spans="2:18" x14ac:dyDescent="0.2">
      <c r="B454" s="225"/>
      <c r="C454" s="230" t="s">
        <v>1230</v>
      </c>
      <c r="D454" s="227"/>
      <c r="E454" s="227">
        <v>50</v>
      </c>
      <c r="F454" s="227"/>
      <c r="G454" s="226"/>
      <c r="H454" s="227"/>
      <c r="I454" s="227"/>
      <c r="J454" s="227"/>
      <c r="K454" s="228"/>
      <c r="O454">
        <f>IF(ISNUMBER(FIND($O$3,$C455)),MAXA($O$4:O453)+1,0)</f>
        <v>0</v>
      </c>
      <c r="P454" t="str">
        <f>IFERROR(INDEX($B$5:$O$625,MATCH(ROWS($P$5:$P454),$O$5:$O$625,0),2),"")</f>
        <v/>
      </c>
      <c r="Q454">
        <f>IF(ISNUMBER(FIND($Q$3,$B455)),MAXA($Q$4:Q453)+1,0)</f>
        <v>450</v>
      </c>
      <c r="R454">
        <f>IFERROR(INDEX($B$5:$Q$625,MATCH(ROWS($R$5:$R454),$Q$5:$Q$625,0),1),"")</f>
        <v>0</v>
      </c>
    </row>
    <row r="455" spans="2:18" x14ac:dyDescent="0.2">
      <c r="B455" s="225"/>
      <c r="C455" s="230" t="s">
        <v>1231</v>
      </c>
      <c r="D455" s="227"/>
      <c r="E455" s="227">
        <v>1</v>
      </c>
      <c r="F455" s="227"/>
      <c r="G455" s="226"/>
      <c r="H455" s="227"/>
      <c r="I455" s="227"/>
      <c r="J455" s="227"/>
      <c r="K455" s="228"/>
      <c r="O455">
        <f>IF(ISNUMBER(FIND($O$3,$C456)),MAXA($O$4:O454)+1,0)</f>
        <v>0</v>
      </c>
      <c r="P455" t="str">
        <f>IFERROR(INDEX($B$5:$O$625,MATCH(ROWS($P$5:$P455),$O$5:$O$625,0),2),"")</f>
        <v/>
      </c>
      <c r="Q455">
        <f>IF(ISNUMBER(FIND($Q$3,$B456)),MAXA($Q$4:Q454)+1,0)</f>
        <v>451</v>
      </c>
      <c r="R455">
        <f>IFERROR(INDEX($B$5:$Q$625,MATCH(ROWS($R$5:$R455),$Q$5:$Q$625,0),1),"")</f>
        <v>0</v>
      </c>
    </row>
    <row r="456" spans="2:18" x14ac:dyDescent="0.2">
      <c r="B456" s="225"/>
      <c r="C456" s="230" t="s">
        <v>1232</v>
      </c>
      <c r="D456" s="227"/>
      <c r="E456" s="227">
        <v>5</v>
      </c>
      <c r="F456" s="227"/>
      <c r="G456" s="226"/>
      <c r="H456" s="227"/>
      <c r="I456" s="227"/>
      <c r="J456" s="227"/>
      <c r="K456" s="228"/>
      <c r="O456">
        <f>IF(ISNUMBER(FIND($O$3,$C457)),MAXA($O$4:O455)+1,0)</f>
        <v>0</v>
      </c>
      <c r="P456" t="str">
        <f>IFERROR(INDEX($B$5:$O$625,MATCH(ROWS($P$5:$P456),$O$5:$O$625,0),2),"")</f>
        <v/>
      </c>
      <c r="Q456">
        <f>IF(ISNUMBER(FIND($Q$3,$B457)),MAXA($Q$4:Q455)+1,0)</f>
        <v>452</v>
      </c>
      <c r="R456">
        <f>IFERROR(INDEX($B$5:$Q$625,MATCH(ROWS($R$5:$R456),$Q$5:$Q$625,0),1),"")</f>
        <v>0</v>
      </c>
    </row>
    <row r="457" spans="2:18" x14ac:dyDescent="0.2">
      <c r="B457" s="225" t="s">
        <v>1233</v>
      </c>
      <c r="C457" s="226" t="s">
        <v>1234</v>
      </c>
      <c r="D457" s="227">
        <v>2.0000000000000001E-4</v>
      </c>
      <c r="E457" s="227">
        <v>2E-3</v>
      </c>
      <c r="F457" s="227"/>
      <c r="G457" s="226"/>
      <c r="H457" s="227"/>
      <c r="I457" s="227"/>
      <c r="J457" s="227"/>
      <c r="K457" s="228"/>
      <c r="O457">
        <f>IF(ISNUMBER(FIND($O$3,$C458)),MAXA($O$4:O456)+1,0)</f>
        <v>0</v>
      </c>
      <c r="P457" t="str">
        <f>IFERROR(INDEX($B$5:$O$625,MATCH(ROWS($P$5:$P457),$O$5:$O$625,0),2),"")</f>
        <v/>
      </c>
      <c r="Q457">
        <f>IF(ISNUMBER(FIND($Q$3,$B458)),MAXA($Q$4:Q456)+1,0)</f>
        <v>453</v>
      </c>
      <c r="R457" t="str">
        <f>IFERROR(INDEX($B$5:$Q$625,MATCH(ROWS($R$5:$R457),$Q$5:$Q$625,0),1),"")</f>
        <v>20816-12-0</v>
      </c>
    </row>
    <row r="458" spans="2:18" x14ac:dyDescent="0.2">
      <c r="B458" s="225" t="s">
        <v>1235</v>
      </c>
      <c r="C458" s="226" t="s">
        <v>1236</v>
      </c>
      <c r="D458" s="227">
        <v>0.1</v>
      </c>
      <c r="E458" s="227">
        <v>0.2</v>
      </c>
      <c r="F458" s="227"/>
      <c r="G458" s="226"/>
      <c r="H458" s="227"/>
      <c r="I458" s="227"/>
      <c r="J458" s="227"/>
      <c r="K458" s="228"/>
      <c r="O458">
        <f>IF(ISNUMBER(FIND($O$3,$C459)),MAXA($O$4:O457)+1,0)</f>
        <v>0</v>
      </c>
      <c r="P458" t="str">
        <f>IFERROR(INDEX($B$5:$O$625,MATCH(ROWS($P$5:$P458),$O$5:$O$625,0),2),"")</f>
        <v/>
      </c>
      <c r="Q458">
        <f>IF(ISNUMBER(FIND($Q$3,$B459)),MAXA($Q$4:Q457)+1,0)</f>
        <v>454</v>
      </c>
      <c r="R458" t="str">
        <f>IFERROR(INDEX($B$5:$Q$625,MATCH(ROWS($R$5:$R458),$Q$5:$Q$625,0),1),"")</f>
        <v>10028-15-6</v>
      </c>
    </row>
    <row r="459" spans="2:18" x14ac:dyDescent="0.2">
      <c r="B459" s="225"/>
      <c r="C459" s="230" t="s">
        <v>1237</v>
      </c>
      <c r="D459" s="226"/>
      <c r="E459" s="227">
        <v>0.04</v>
      </c>
      <c r="F459" s="227"/>
      <c r="G459" s="226"/>
      <c r="H459" s="227"/>
      <c r="I459" s="227"/>
      <c r="J459" s="227"/>
      <c r="K459" s="228"/>
      <c r="O459">
        <f>IF(ISNUMBER(FIND($O$3,$C460)),MAXA($O$4:O458)+1,0)</f>
        <v>0</v>
      </c>
      <c r="P459" t="str">
        <f>IFERROR(INDEX($B$5:$O$625,MATCH(ROWS($P$5:$P459),$O$5:$O$625,0),2),"")</f>
        <v/>
      </c>
      <c r="Q459">
        <f>IF(ISNUMBER(FIND($Q$3,$B460)),MAXA($Q$4:Q458)+1,0)</f>
        <v>455</v>
      </c>
      <c r="R459">
        <f>IFERROR(INDEX($B$5:$Q$625,MATCH(ROWS($R$5:$R459),$Q$5:$Q$625,0),1),"")</f>
        <v>0</v>
      </c>
    </row>
    <row r="460" spans="2:18" x14ac:dyDescent="0.2">
      <c r="B460" s="225" t="s">
        <v>1238</v>
      </c>
      <c r="C460" s="226" t="s">
        <v>1239</v>
      </c>
      <c r="D460" s="227"/>
      <c r="E460" s="227">
        <v>2</v>
      </c>
      <c r="F460" s="227"/>
      <c r="G460" s="226"/>
      <c r="H460" s="227"/>
      <c r="I460" s="227"/>
      <c r="J460" s="227"/>
      <c r="K460" s="228"/>
      <c r="O460">
        <f>IF(ISNUMBER(FIND($O$3,$C461)),MAXA($O$4:O459)+1,0)</f>
        <v>0</v>
      </c>
      <c r="P460" t="str">
        <f>IFERROR(INDEX($B$5:$O$625,MATCH(ROWS($P$5:$P460),$O$5:$O$625,0),2),"")</f>
        <v/>
      </c>
      <c r="Q460">
        <f>IF(ISNUMBER(FIND($Q$3,$B461)),MAXA($Q$4:Q459)+1,0)</f>
        <v>456</v>
      </c>
      <c r="R460" t="str">
        <f>IFERROR(INDEX($B$5:$Q$625,MATCH(ROWS($R$5:$R460),$Q$5:$Q$625,0),1),"")</f>
        <v>8002-74-2</v>
      </c>
    </row>
    <row r="461" spans="2:18" x14ac:dyDescent="0.2">
      <c r="B461" s="225" t="s">
        <v>1240</v>
      </c>
      <c r="C461" s="226" t="s">
        <v>1241</v>
      </c>
      <c r="D461" s="227"/>
      <c r="E461" s="227">
        <v>0.1</v>
      </c>
      <c r="F461" s="227"/>
      <c r="G461" s="226"/>
      <c r="H461" s="227"/>
      <c r="I461" s="227"/>
      <c r="J461" s="227"/>
      <c r="K461" s="228"/>
      <c r="O461">
        <f>IF(ISNUMBER(FIND($O$3,$C462)),MAXA($O$4:O460)+1,0)</f>
        <v>0</v>
      </c>
      <c r="P461" t="str">
        <f>IFERROR(INDEX($B$5:$O$625,MATCH(ROWS($P$5:$P461),$O$5:$O$625,0),2),"")</f>
        <v/>
      </c>
      <c r="Q461">
        <f>IF(ISNUMBER(FIND($Q$3,$B462)),MAXA($Q$4:Q460)+1,0)</f>
        <v>457</v>
      </c>
      <c r="R461" t="str">
        <f>IFERROR(INDEX($B$5:$Q$625,MATCH(ROWS($R$5:$R461),$Q$5:$Q$625,0),1),"")</f>
        <v>4685-14-7</v>
      </c>
    </row>
    <row r="462" spans="2:18" x14ac:dyDescent="0.2">
      <c r="B462" s="225" t="s">
        <v>1242</v>
      </c>
      <c r="C462" s="226" t="s">
        <v>1243</v>
      </c>
      <c r="D462" s="227"/>
      <c r="E462" s="227">
        <v>0.05</v>
      </c>
      <c r="F462" s="227"/>
      <c r="G462" s="226"/>
      <c r="H462" s="227"/>
      <c r="I462" s="227"/>
      <c r="J462" s="227"/>
      <c r="K462" s="228"/>
      <c r="O462">
        <f>IF(ISNUMBER(FIND($O$3,$C463)),MAXA($O$4:O461)+1,0)</f>
        <v>0</v>
      </c>
      <c r="P462" t="str">
        <f>IFERROR(INDEX($B$5:$O$625,MATCH(ROWS($P$5:$P462),$O$5:$O$625,0),2),"")</f>
        <v/>
      </c>
      <c r="Q462">
        <f>IF(ISNUMBER(FIND($Q$3,$B463)),MAXA($Q$4:Q461)+1,0)</f>
        <v>458</v>
      </c>
      <c r="R462" t="str">
        <f>IFERROR(INDEX($B$5:$Q$625,MATCH(ROWS($R$5:$R462),$Q$5:$Q$625,0),1),"")</f>
        <v>56-38-2</v>
      </c>
    </row>
    <row r="463" spans="2:18" x14ac:dyDescent="0.2">
      <c r="B463" s="225" t="s">
        <v>1244</v>
      </c>
      <c r="C463" s="226" t="s">
        <v>1245</v>
      </c>
      <c r="D463" s="227"/>
      <c r="E463" s="227">
        <v>0.2</v>
      </c>
      <c r="F463" s="227"/>
      <c r="G463" s="226"/>
      <c r="H463" s="227"/>
      <c r="I463" s="227"/>
      <c r="J463" s="227"/>
      <c r="K463" s="228"/>
      <c r="O463">
        <f>IF(ISNUMBER(FIND($O$3,$C464)),MAXA($O$4:O462)+1,0)</f>
        <v>0</v>
      </c>
      <c r="P463" t="str">
        <f>IFERROR(INDEX($B$5:$O$625,MATCH(ROWS($P$5:$P463),$O$5:$O$625,0),2),"")</f>
        <v/>
      </c>
      <c r="Q463">
        <f>IF(ISNUMBER(FIND($Q$3,$B464)),MAXA($Q$4:Q462)+1,0)</f>
        <v>459</v>
      </c>
      <c r="R463" t="str">
        <f>IFERROR(INDEX($B$5:$Q$625,MATCH(ROWS($R$5:$R463),$Q$5:$Q$625,0),1),"")</f>
        <v>298-00-0</v>
      </c>
    </row>
    <row r="464" spans="2:18" x14ac:dyDescent="0.2">
      <c r="B464" s="225" t="s">
        <v>1246</v>
      </c>
      <c r="C464" s="226" t="s">
        <v>1247</v>
      </c>
      <c r="D464" s="227"/>
      <c r="E464" s="227">
        <v>0.01</v>
      </c>
      <c r="F464" s="227"/>
      <c r="G464" s="226"/>
      <c r="H464" s="227"/>
      <c r="I464" s="227"/>
      <c r="J464" s="227"/>
      <c r="K464" s="228"/>
      <c r="O464">
        <f>IF(ISNUMBER(FIND($O$3,$C465)),MAXA($O$4:O463)+1,0)</f>
        <v>0</v>
      </c>
      <c r="P464" t="str">
        <f>IFERROR(INDEX($B$5:$O$625,MATCH(ROWS($P$5:$P464),$O$5:$O$625,0),2),"")</f>
        <v/>
      </c>
      <c r="Q464">
        <f>IF(ISNUMBER(FIND($Q$3,$B465)),MAXA($Q$4:Q463)+1,0)</f>
        <v>460</v>
      </c>
      <c r="R464" t="str">
        <f>IFERROR(INDEX($B$5:$Q$625,MATCH(ROWS($R$5:$R464),$Q$5:$Q$625,0),1),"")</f>
        <v>1336-36-3</v>
      </c>
    </row>
    <row r="465" spans="2:18" x14ac:dyDescent="0.2">
      <c r="B465" s="225" t="s">
        <v>1248</v>
      </c>
      <c r="C465" s="226" t="s">
        <v>1249</v>
      </c>
      <c r="D465" s="227">
        <v>5.0000000000000001E-3</v>
      </c>
      <c r="E465" s="227">
        <v>0.01</v>
      </c>
      <c r="F465" s="227"/>
      <c r="G465" s="226"/>
      <c r="H465" s="227"/>
      <c r="I465" s="227"/>
      <c r="J465" s="227"/>
      <c r="K465" s="228"/>
      <c r="O465">
        <f>IF(ISNUMBER(FIND($O$3,$C466)),MAXA($O$4:O464)+1,0)</f>
        <v>0</v>
      </c>
      <c r="P465" t="str">
        <f>IFERROR(INDEX($B$5:$O$625,MATCH(ROWS($P$5:$P465),$O$5:$O$625,0),2),"")</f>
        <v/>
      </c>
      <c r="Q465">
        <f>IF(ISNUMBER(FIND($Q$3,$B466)),MAXA($Q$4:Q464)+1,0)</f>
        <v>461</v>
      </c>
      <c r="R465" t="str">
        <f>IFERROR(INDEX($B$5:$Q$625,MATCH(ROWS($R$5:$R465),$Q$5:$Q$625,0),1),"")</f>
        <v>19624-22-7</v>
      </c>
    </row>
    <row r="466" spans="2:18" x14ac:dyDescent="0.2">
      <c r="B466" s="225" t="s">
        <v>1250</v>
      </c>
      <c r="C466" s="226" t="s">
        <v>1251</v>
      </c>
      <c r="D466" s="227">
        <v>5</v>
      </c>
      <c r="E466" s="227">
        <v>40</v>
      </c>
      <c r="F466" s="227"/>
      <c r="G466" s="226"/>
      <c r="H466" s="227"/>
      <c r="I466" s="227"/>
      <c r="J466" s="227"/>
      <c r="K466" s="228"/>
      <c r="O466">
        <f>IF(ISNUMBER(FIND($O$3,$C467)),MAXA($O$4:O465)+1,0)</f>
        <v>0</v>
      </c>
      <c r="P466" t="str">
        <f>IFERROR(INDEX($B$5:$O$625,MATCH(ROWS($P$5:$P466),$O$5:$O$625,0),2),"")</f>
        <v/>
      </c>
      <c r="Q466">
        <f>IF(ISNUMBER(FIND($Q$3,$B467)),MAXA($Q$4:Q465)+1,0)</f>
        <v>462</v>
      </c>
      <c r="R466" t="str">
        <f>IFERROR(INDEX($B$5:$Q$625,MATCH(ROWS($R$5:$R466),$Q$5:$Q$625,0),1),"")</f>
        <v>76-01-7</v>
      </c>
    </row>
    <row r="467" spans="2:18" x14ac:dyDescent="0.2">
      <c r="B467" s="225" t="s">
        <v>1252</v>
      </c>
      <c r="C467" s="226" t="s">
        <v>1253</v>
      </c>
      <c r="D467" s="227">
        <v>0.05</v>
      </c>
      <c r="E467" s="227">
        <v>0.5</v>
      </c>
      <c r="F467" s="227"/>
      <c r="G467" s="226"/>
      <c r="H467" s="227"/>
      <c r="I467" s="227"/>
      <c r="J467" s="227"/>
      <c r="K467" s="228"/>
      <c r="O467">
        <f>IF(ISNUMBER(FIND($O$3,$C468)),MAXA($O$4:O466)+1,0)</f>
        <v>0</v>
      </c>
      <c r="P467" t="str">
        <f>IFERROR(INDEX($B$5:$O$625,MATCH(ROWS($P$5:$P467),$O$5:$O$625,0),2),"")</f>
        <v/>
      </c>
      <c r="Q467">
        <f>IF(ISNUMBER(FIND($Q$3,$B468)),MAXA($Q$4:Q466)+1,0)</f>
        <v>463</v>
      </c>
      <c r="R467" t="str">
        <f>IFERROR(INDEX($B$5:$Q$625,MATCH(ROWS($R$5:$R467),$Q$5:$Q$625,0),1),"")</f>
        <v>87-86-5</v>
      </c>
    </row>
    <row r="468" spans="2:18" x14ac:dyDescent="0.2">
      <c r="B468" s="225" t="s">
        <v>1254</v>
      </c>
      <c r="C468" s="226" t="s">
        <v>1255</v>
      </c>
      <c r="D468" s="227"/>
      <c r="E468" s="227">
        <v>0.5</v>
      </c>
      <c r="F468" s="227"/>
      <c r="G468" s="226"/>
      <c r="H468" s="227"/>
      <c r="I468" s="227"/>
      <c r="J468" s="227"/>
      <c r="K468" s="228"/>
      <c r="O468">
        <f>IF(ISNUMBER(FIND($O$3,$C469)),MAXA($O$4:O467)+1,0)</f>
        <v>0</v>
      </c>
      <c r="P468" t="str">
        <f>IFERROR(INDEX($B$5:$O$625,MATCH(ROWS($P$5:$P468),$O$5:$O$625,0),2),"")</f>
        <v/>
      </c>
      <c r="Q468">
        <f>IF(ISNUMBER(FIND($Q$3,$B469)),MAXA($Q$4:Q467)+1,0)</f>
        <v>464</v>
      </c>
      <c r="R468" t="str">
        <f>IFERROR(INDEX($B$5:$Q$625,MATCH(ROWS($R$5:$R468),$Q$5:$Q$625,0),1),"")</f>
        <v>1321-64-8</v>
      </c>
    </row>
    <row r="469" spans="2:18" x14ac:dyDescent="0.2">
      <c r="B469" s="225" t="s">
        <v>1256</v>
      </c>
      <c r="C469" s="226" t="s">
        <v>1257</v>
      </c>
      <c r="D469" s="227">
        <v>250</v>
      </c>
      <c r="E469" s="227">
        <v>750</v>
      </c>
      <c r="F469" s="227"/>
      <c r="G469" s="226"/>
      <c r="H469" s="227"/>
      <c r="I469" s="227"/>
      <c r="J469" s="227"/>
      <c r="K469" s="228"/>
      <c r="O469">
        <f>IF(ISNUMBER(FIND($O$3,$C470)),MAXA($O$4:O468)+1,0)</f>
        <v>0</v>
      </c>
      <c r="P469" t="str">
        <f>IFERROR(INDEX($B$5:$O$625,MATCH(ROWS($P$5:$P469),$O$5:$O$625,0),2),"")</f>
        <v/>
      </c>
      <c r="Q469">
        <f>IF(ISNUMBER(FIND($Q$3,$B470)),MAXA($Q$4:Q468)+1,0)</f>
        <v>465</v>
      </c>
      <c r="R469" t="str">
        <f>IFERROR(INDEX($B$5:$Q$625,MATCH(ROWS($R$5:$R469),$Q$5:$Q$625,0),1),"")</f>
        <v>109-66-0</v>
      </c>
    </row>
    <row r="470" spans="2:18" x14ac:dyDescent="0.2">
      <c r="B470" s="225" t="s">
        <v>1258</v>
      </c>
      <c r="C470" s="226" t="s">
        <v>1259</v>
      </c>
      <c r="D470" s="227">
        <v>100</v>
      </c>
      <c r="E470" s="227">
        <v>350</v>
      </c>
      <c r="F470" s="227"/>
      <c r="G470" s="226"/>
      <c r="H470" s="227"/>
      <c r="I470" s="227"/>
      <c r="J470" s="227"/>
      <c r="K470" s="228"/>
      <c r="O470">
        <f>IF(ISNUMBER(FIND($O$3,$C471)),MAXA($O$4:O469)+1,0)</f>
        <v>0</v>
      </c>
      <c r="P470" t="str">
        <f>IFERROR(INDEX($B$5:$O$625,MATCH(ROWS($P$5:$P470),$O$5:$O$625,0),2),"")</f>
        <v/>
      </c>
      <c r="Q470">
        <f>IF(ISNUMBER(FIND($Q$3,$B471)),MAXA($Q$4:Q469)+1,0)</f>
        <v>466</v>
      </c>
      <c r="R470" t="str">
        <f>IFERROR(INDEX($B$5:$Q$625,MATCH(ROWS($R$5:$R470),$Q$5:$Q$625,0),1),"")</f>
        <v>96-22-0</v>
      </c>
    </row>
    <row r="471" spans="2:18" x14ac:dyDescent="0.2">
      <c r="B471" s="225"/>
      <c r="C471" s="230" t="s">
        <v>1260</v>
      </c>
      <c r="D471" s="226">
        <v>50</v>
      </c>
      <c r="E471" s="227">
        <v>180</v>
      </c>
      <c r="F471" s="227"/>
      <c r="G471" s="226"/>
      <c r="H471" s="227"/>
      <c r="I471" s="227"/>
      <c r="J471" s="227"/>
      <c r="K471" s="228"/>
      <c r="O471">
        <f>IF(ISNUMBER(FIND($O$3,$C472)),MAXA($O$4:O470)+1,0)</f>
        <v>0</v>
      </c>
      <c r="P471" t="str">
        <f>IFERROR(INDEX($B$5:$O$625,MATCH(ROWS($P$5:$P471),$O$5:$O$625,0),2),"")</f>
        <v/>
      </c>
      <c r="Q471">
        <f>IF(ISNUMBER(FIND($Q$3,$B472)),MAXA($Q$4:Q470)+1,0)</f>
        <v>467</v>
      </c>
      <c r="R471">
        <f>IFERROR(INDEX($B$5:$Q$625,MATCH(ROWS($R$5:$R471),$Q$5:$Q$625,0),1),"")</f>
        <v>0</v>
      </c>
    </row>
    <row r="472" spans="2:18" x14ac:dyDescent="0.2">
      <c r="B472" s="225" t="s">
        <v>1261</v>
      </c>
      <c r="C472" s="226" t="s">
        <v>1262</v>
      </c>
      <c r="D472" s="227">
        <v>75</v>
      </c>
      <c r="E472" s="227">
        <v>260</v>
      </c>
      <c r="F472" s="227"/>
      <c r="G472" s="226"/>
      <c r="H472" s="227"/>
      <c r="I472" s="227"/>
      <c r="J472" s="227"/>
      <c r="K472" s="228"/>
      <c r="O472">
        <f>IF(ISNUMBER(FIND($O$3,$C473)),MAXA($O$4:O471)+1,0)</f>
        <v>0</v>
      </c>
      <c r="P472" t="str">
        <f>IFERROR(INDEX($B$5:$O$625,MATCH(ROWS($P$5:$P472),$O$5:$O$625,0),2),"")</f>
        <v/>
      </c>
      <c r="Q472">
        <f>IF(ISNUMBER(FIND($Q$3,$B473)),MAXA($Q$4:Q471)+1,0)</f>
        <v>468</v>
      </c>
      <c r="R472" t="str">
        <f>IFERROR(INDEX($B$5:$Q$625,MATCH(ROWS($R$5:$R472),$Q$5:$Q$625,0),1),"")</f>
        <v>107-87-9</v>
      </c>
    </row>
    <row r="473" spans="2:18" x14ac:dyDescent="0.2">
      <c r="B473" s="225" t="s">
        <v>1263</v>
      </c>
      <c r="C473" s="226" t="s">
        <v>1264</v>
      </c>
      <c r="D473" s="227">
        <v>50</v>
      </c>
      <c r="E473" s="227">
        <v>260</v>
      </c>
      <c r="F473" s="227"/>
      <c r="G473" s="226"/>
      <c r="H473" s="227"/>
      <c r="I473" s="227"/>
      <c r="J473" s="227"/>
      <c r="K473" s="228"/>
      <c r="O473">
        <f>IF(ISNUMBER(FIND($O$3,$C474)),MAXA($O$4:O472)+1,0)</f>
        <v>0</v>
      </c>
      <c r="P473" t="str">
        <f>IFERROR(INDEX($B$5:$O$625,MATCH(ROWS($P$5:$P473),$O$5:$O$625,0),2),"")</f>
        <v/>
      </c>
      <c r="Q473">
        <f>IF(ISNUMBER(FIND($Q$3,$B474)),MAXA($Q$4:Q472)+1,0)</f>
        <v>469</v>
      </c>
      <c r="R473" t="str">
        <f>IFERROR(INDEX($B$5:$Q$625,MATCH(ROWS($R$5:$R473),$Q$5:$Q$625,0),1),"")</f>
        <v>620-11-1</v>
      </c>
    </row>
    <row r="474" spans="2:18" x14ac:dyDescent="0.2">
      <c r="B474" s="225" t="s">
        <v>1265</v>
      </c>
      <c r="C474" s="226" t="s">
        <v>1266</v>
      </c>
      <c r="D474" s="227">
        <v>50</v>
      </c>
      <c r="E474" s="227">
        <v>260</v>
      </c>
      <c r="F474" s="227"/>
      <c r="G474" s="226"/>
      <c r="H474" s="227"/>
      <c r="I474" s="227"/>
      <c r="J474" s="227"/>
      <c r="K474" s="228"/>
      <c r="O474">
        <f>IF(ISNUMBER(FIND($O$3,$C475)),MAXA($O$4:O473)+1,0)</f>
        <v>0</v>
      </c>
      <c r="P474" t="str">
        <f>IFERROR(INDEX($B$5:$O$625,MATCH(ROWS($P$5:$P474),$O$5:$O$625,0),2),"")</f>
        <v/>
      </c>
      <c r="Q474">
        <f>IF(ISNUMBER(FIND($Q$3,$B475)),MAXA($Q$4:Q473)+1,0)</f>
        <v>470</v>
      </c>
      <c r="R474" t="str">
        <f>IFERROR(INDEX($B$5:$Q$625,MATCH(ROWS($R$5:$R474),$Q$5:$Q$625,0),1),"")</f>
        <v>628-63-7</v>
      </c>
    </row>
    <row r="475" spans="2:18" x14ac:dyDescent="0.2">
      <c r="B475" s="225"/>
      <c r="C475" s="230" t="s">
        <v>1267</v>
      </c>
      <c r="D475" s="226">
        <v>50</v>
      </c>
      <c r="E475" s="227">
        <v>260</v>
      </c>
      <c r="F475" s="227"/>
      <c r="G475" s="226"/>
      <c r="H475" s="227"/>
      <c r="I475" s="227"/>
      <c r="J475" s="227"/>
      <c r="K475" s="228"/>
      <c r="O475">
        <f>IF(ISNUMBER(FIND($O$3,$C476)),MAXA($O$4:O474)+1,0)</f>
        <v>0</v>
      </c>
      <c r="P475" t="str">
        <f>IFERROR(INDEX($B$5:$O$625,MATCH(ROWS($P$5:$P475),$O$5:$O$625,0),2),"")</f>
        <v/>
      </c>
      <c r="Q475">
        <f>IF(ISNUMBER(FIND($Q$3,$B476)),MAXA($Q$4:Q474)+1,0)</f>
        <v>471</v>
      </c>
      <c r="R475">
        <f>IFERROR(INDEX($B$5:$Q$625,MATCH(ROWS($R$5:$R475),$Q$5:$Q$625,0),1),"")</f>
        <v>0</v>
      </c>
    </row>
    <row r="476" spans="2:18" x14ac:dyDescent="0.2">
      <c r="B476" s="225" t="s">
        <v>1268</v>
      </c>
      <c r="C476" s="226" t="s">
        <v>1269</v>
      </c>
      <c r="D476" s="227"/>
      <c r="E476" s="227">
        <v>1.5</v>
      </c>
      <c r="F476" s="227"/>
      <c r="G476" s="226"/>
      <c r="H476" s="227"/>
      <c r="I476" s="227"/>
      <c r="J476" s="227"/>
      <c r="K476" s="228"/>
      <c r="O476">
        <f>IF(ISNUMBER(FIND($O$3,$C477)),MAXA($O$4:O475)+1,0)</f>
        <v>0</v>
      </c>
      <c r="P476" t="str">
        <f>IFERROR(INDEX($B$5:$O$625,MATCH(ROWS($P$5:$P476),$O$5:$O$625,0),2),"")</f>
        <v/>
      </c>
      <c r="Q476">
        <f>IF(ISNUMBER(FIND($Q$3,$B477)),MAXA($Q$4:Q475)+1,0)</f>
        <v>472</v>
      </c>
      <c r="R476" t="str">
        <f>IFERROR(INDEX($B$5:$Q$625,MATCH(ROWS($R$5:$R476),$Q$5:$Q$625,0),1),"")</f>
        <v>121-82-4</v>
      </c>
    </row>
    <row r="477" spans="2:18" x14ac:dyDescent="0.2">
      <c r="B477" s="225" t="s">
        <v>1270</v>
      </c>
      <c r="C477" s="226" t="s">
        <v>1271</v>
      </c>
      <c r="D477" s="227">
        <v>3</v>
      </c>
      <c r="E477" s="227">
        <v>14</v>
      </c>
      <c r="F477" s="227"/>
      <c r="G477" s="226"/>
      <c r="H477" s="227"/>
      <c r="I477" s="227"/>
      <c r="J477" s="227"/>
      <c r="K477" s="228"/>
      <c r="O477">
        <f>IF(ISNUMBER(FIND($O$3,$C478)),MAXA($O$4:O476)+1,0)</f>
        <v>0</v>
      </c>
      <c r="P477" t="str">
        <f>IFERROR(INDEX($B$5:$O$625,MATCH(ROWS($P$5:$P477),$O$5:$O$625,0),2),"")</f>
        <v/>
      </c>
      <c r="Q477">
        <f>IF(ISNUMBER(FIND($Q$3,$B478)),MAXA($Q$4:Q476)+1,0)</f>
        <v>473</v>
      </c>
      <c r="R477" t="str">
        <f>IFERROR(INDEX($B$5:$Q$625,MATCH(ROWS($R$5:$R477),$Q$5:$Q$625,0),1),"")</f>
        <v>7616-94-6</v>
      </c>
    </row>
    <row r="478" spans="2:18" x14ac:dyDescent="0.2">
      <c r="B478" s="225"/>
      <c r="C478" s="226" t="s">
        <v>1272</v>
      </c>
      <c r="D478" s="227"/>
      <c r="E478" s="227">
        <v>10</v>
      </c>
      <c r="F478" s="227"/>
      <c r="G478" s="226"/>
      <c r="H478" s="227"/>
      <c r="I478" s="227"/>
      <c r="J478" s="227"/>
      <c r="K478" s="228"/>
      <c r="O478">
        <f>IF(ISNUMBER(FIND($O$3,$C479)),MAXA($O$4:O477)+1,0)</f>
        <v>0</v>
      </c>
      <c r="P478" t="str">
        <f>IFERROR(INDEX($B$5:$O$625,MATCH(ROWS($P$5:$P478),$O$5:$O$625,0),2),"")</f>
        <v/>
      </c>
      <c r="Q478">
        <f>IF(ISNUMBER(FIND($Q$3,$B479)),MAXA($Q$4:Q477)+1,0)</f>
        <v>474</v>
      </c>
      <c r="R478">
        <f>IFERROR(INDEX($B$5:$Q$625,MATCH(ROWS($R$5:$R478),$Q$5:$Q$625,0),1),"")</f>
        <v>0</v>
      </c>
    </row>
    <row r="479" spans="2:18" x14ac:dyDescent="0.2">
      <c r="B479" s="225"/>
      <c r="C479" s="226" t="s">
        <v>1273</v>
      </c>
      <c r="D479" s="227"/>
      <c r="E479" s="227">
        <v>4</v>
      </c>
      <c r="F479" s="227"/>
      <c r="G479" s="226"/>
      <c r="H479" s="227"/>
      <c r="I479" s="227"/>
      <c r="J479" s="227"/>
      <c r="K479" s="228"/>
      <c r="O479">
        <f>IF(ISNUMBER(FIND($O$3,$C480)),MAXA($O$4:O478)+1,0)</f>
        <v>0</v>
      </c>
      <c r="P479" t="str">
        <f>IFERROR(INDEX($B$5:$O$625,MATCH(ROWS($P$5:$P479),$O$5:$O$625,0),2),"")</f>
        <v/>
      </c>
      <c r="Q479">
        <f>IF(ISNUMBER(FIND($Q$3,$B480)),MAXA($Q$4:Q478)+1,0)</f>
        <v>475</v>
      </c>
      <c r="R479">
        <f>IFERROR(INDEX($B$5:$Q$625,MATCH(ROWS($R$5:$R479),$Q$5:$Q$625,0),1),"")</f>
        <v>0</v>
      </c>
    </row>
    <row r="480" spans="2:18" x14ac:dyDescent="0.2">
      <c r="B480" s="225"/>
      <c r="C480" s="230" t="s">
        <v>1274</v>
      </c>
      <c r="D480" s="227"/>
      <c r="E480" s="227">
        <v>2</v>
      </c>
      <c r="F480" s="227"/>
      <c r="G480" s="226"/>
      <c r="H480" s="227"/>
      <c r="I480" s="227"/>
      <c r="J480" s="227"/>
      <c r="K480" s="228"/>
      <c r="O480">
        <f>IF(ISNUMBER(FIND($O$3,$C481)),MAXA($O$4:O479)+1,0)</f>
        <v>0</v>
      </c>
      <c r="P480" t="str">
        <f>IFERROR(INDEX($B$5:$O$625,MATCH(ROWS($P$5:$P480),$O$5:$O$625,0),2),"")</f>
        <v/>
      </c>
      <c r="Q480">
        <f>IF(ISNUMBER(FIND($Q$3,$B481)),MAXA($Q$4:Q479)+1,0)</f>
        <v>476</v>
      </c>
      <c r="R480">
        <f>IFERROR(INDEX($B$5:$Q$625,MATCH(ROWS($R$5:$R480),$Q$5:$Q$625,0),1),"")</f>
        <v>0</v>
      </c>
    </row>
    <row r="481" spans="2:18" x14ac:dyDescent="0.2">
      <c r="B481" s="225" t="s">
        <v>1275</v>
      </c>
      <c r="C481" s="226" t="s">
        <v>1276</v>
      </c>
      <c r="D481" s="227"/>
      <c r="E481" s="227">
        <v>0.1</v>
      </c>
      <c r="F481" s="227"/>
      <c r="G481" s="226"/>
      <c r="H481" s="227"/>
      <c r="I481" s="227"/>
      <c r="J481" s="227"/>
      <c r="K481" s="228"/>
      <c r="O481">
        <f>IF(ISNUMBER(FIND($O$3,$C482)),MAXA($O$4:O480)+1,0)</f>
        <v>0</v>
      </c>
      <c r="P481" t="str">
        <f>IFERROR(INDEX($B$5:$O$625,MATCH(ROWS($P$5:$P481),$O$5:$O$625,0),2),"")</f>
        <v/>
      </c>
      <c r="Q481">
        <f>IF(ISNUMBER(FIND($Q$3,$B482)),MAXA($Q$4:Q480)+1,0)</f>
        <v>477</v>
      </c>
      <c r="R481" t="str">
        <f>IFERROR(INDEX($B$5:$Q$625,MATCH(ROWS($R$5:$R481),$Q$5:$Q$625,0),1),"")</f>
        <v>88-89-1</v>
      </c>
    </row>
    <row r="482" spans="2:18" x14ac:dyDescent="0.2">
      <c r="B482" s="225" t="s">
        <v>1277</v>
      </c>
      <c r="C482" s="226" t="s">
        <v>1278</v>
      </c>
      <c r="D482" s="227"/>
      <c r="E482" s="227">
        <v>0.1</v>
      </c>
      <c r="F482" s="227"/>
      <c r="G482" s="226"/>
      <c r="H482" s="227"/>
      <c r="I482" s="227"/>
      <c r="J482" s="227"/>
      <c r="K482" s="228"/>
      <c r="O482">
        <f>IF(ISNUMBER(FIND($O$3,$C483)),MAXA($O$4:O481)+1,0)</f>
        <v>0</v>
      </c>
      <c r="P482" t="str">
        <f>IFERROR(INDEX($B$5:$O$625,MATCH(ROWS($P$5:$P482),$O$5:$O$625,0),2),"")</f>
        <v/>
      </c>
      <c r="Q482">
        <f>IF(ISNUMBER(FIND($Q$3,$B483)),MAXA($Q$4:Q481)+1,0)</f>
        <v>478</v>
      </c>
      <c r="R482" t="str">
        <f>IFERROR(INDEX($B$5:$Q$625,MATCH(ROWS($R$5:$R482),$Q$5:$Q$625,0),1),"")</f>
        <v>83-26-1</v>
      </c>
    </row>
    <row r="483" spans="2:18" x14ac:dyDescent="0.2">
      <c r="B483" s="225" t="s">
        <v>1279</v>
      </c>
      <c r="C483" s="226" t="s">
        <v>1280</v>
      </c>
      <c r="D483" s="227">
        <v>25</v>
      </c>
      <c r="E483" s="227">
        <v>140</v>
      </c>
      <c r="F483" s="227"/>
      <c r="G483" s="226"/>
      <c r="H483" s="227"/>
      <c r="I483" s="227"/>
      <c r="J483" s="227"/>
      <c r="K483" s="228"/>
      <c r="O483">
        <f>IF(ISNUMBER(FIND($O$3,$C484)),MAXA($O$4:O482)+1,0)</f>
        <v>0</v>
      </c>
      <c r="P483" t="str">
        <f>IFERROR(INDEX($B$5:$O$625,MATCH(ROWS($P$5:$P483),$O$5:$O$625,0),2),"")</f>
        <v/>
      </c>
      <c r="Q483">
        <f>IF(ISNUMBER(FIND($Q$3,$B484)),MAXA($Q$4:Q482)+1,0)</f>
        <v>479</v>
      </c>
      <c r="R483" t="str">
        <f>IFERROR(INDEX($B$5:$Q$625,MATCH(ROWS($R$5:$R483),$Q$5:$Q$625,0),1),"")</f>
        <v>80-56-8</v>
      </c>
    </row>
    <row r="484" spans="2:18" x14ac:dyDescent="0.2">
      <c r="B484" s="225" t="s">
        <v>1281</v>
      </c>
      <c r="C484" s="226" t="s">
        <v>1282</v>
      </c>
      <c r="D484" s="227">
        <v>25</v>
      </c>
      <c r="E484" s="227">
        <v>140</v>
      </c>
      <c r="F484" s="227"/>
      <c r="G484" s="226"/>
      <c r="H484" s="227"/>
      <c r="I484" s="227"/>
      <c r="J484" s="227"/>
      <c r="K484" s="228"/>
      <c r="O484">
        <f>IF(ISNUMBER(FIND($O$3,$C485)),MAXA($O$4:O483)+1,0)</f>
        <v>0</v>
      </c>
      <c r="P484" t="str">
        <f>IFERROR(INDEX($B$5:$O$625,MATCH(ROWS($P$5:$P484),$O$5:$O$625,0),2),"")</f>
        <v/>
      </c>
      <c r="Q484">
        <f>IF(ISNUMBER(FIND($Q$3,$B485)),MAXA($Q$4:Q483)+1,0)</f>
        <v>480</v>
      </c>
      <c r="R484" t="str">
        <f>IFERROR(INDEX($B$5:$Q$625,MATCH(ROWS($R$5:$R484),$Q$5:$Q$625,0),1),"")</f>
        <v>127-91-3</v>
      </c>
    </row>
    <row r="485" spans="2:18" x14ac:dyDescent="0.2">
      <c r="B485" s="225" t="s">
        <v>1283</v>
      </c>
      <c r="C485" s="226" t="s">
        <v>1284</v>
      </c>
      <c r="D485" s="227">
        <v>0.1</v>
      </c>
      <c r="E485" s="227"/>
      <c r="F485" s="227"/>
      <c r="G485" s="226">
        <v>0.3</v>
      </c>
      <c r="H485" s="227"/>
      <c r="I485" s="227"/>
      <c r="J485" s="227"/>
      <c r="K485" s="228"/>
      <c r="O485">
        <f>IF(ISNUMBER(FIND($O$3,$C486)),MAXA($O$4:O484)+1,0)</f>
        <v>0</v>
      </c>
      <c r="P485" t="str">
        <f>IFERROR(INDEX($B$5:$O$625,MATCH(ROWS($P$5:$P485),$O$5:$O$625,0),2),"")</f>
        <v/>
      </c>
      <c r="Q485">
        <f>IF(ISNUMBER(FIND($Q$3,$B486)),MAXA($Q$4:Q484)+1,0)</f>
        <v>481</v>
      </c>
      <c r="R485" t="str">
        <f>IFERROR(INDEX($B$5:$Q$625,MATCH(ROWS($R$5:$R485),$Q$5:$Q$625,0),1),"")</f>
        <v>110-85-0</v>
      </c>
    </row>
    <row r="486" spans="2:18" x14ac:dyDescent="0.2">
      <c r="B486" s="225"/>
      <c r="C486" s="230" t="s">
        <v>1285</v>
      </c>
      <c r="D486" s="226"/>
      <c r="E486" s="227">
        <v>2E-3</v>
      </c>
      <c r="F486" s="227"/>
      <c r="G486" s="226"/>
      <c r="H486" s="227"/>
      <c r="I486" s="227"/>
      <c r="J486" s="227"/>
      <c r="K486" s="228"/>
      <c r="O486">
        <f>IF(ISNUMBER(FIND($O$3,$C487)),MAXA($O$4:O485)+1,0)</f>
        <v>0</v>
      </c>
      <c r="P486" t="str">
        <f>IFERROR(INDEX($B$5:$O$625,MATCH(ROWS($P$5:$P486),$O$5:$O$625,0),2),"")</f>
        <v/>
      </c>
      <c r="Q486">
        <f>IF(ISNUMBER(FIND($Q$3,$B487)),MAXA($Q$4:Q485)+1,0)</f>
        <v>482</v>
      </c>
      <c r="R486">
        <f>IFERROR(INDEX($B$5:$Q$625,MATCH(ROWS($R$5:$R486),$Q$5:$Q$625,0),1),"")</f>
        <v>0</v>
      </c>
    </row>
    <row r="487" spans="2:18" x14ac:dyDescent="0.2">
      <c r="B487" s="225"/>
      <c r="C487" s="230" t="s">
        <v>1286</v>
      </c>
      <c r="D487" s="226"/>
      <c r="E487" s="227">
        <v>5</v>
      </c>
      <c r="F487" s="227"/>
      <c r="G487" s="226"/>
      <c r="H487" s="227"/>
      <c r="I487" s="227"/>
      <c r="J487" s="227"/>
      <c r="K487" s="228"/>
      <c r="O487">
        <f>IF(ISNUMBER(FIND($O$3,$C488)),MAXA($O$4:O486)+1,0)</f>
        <v>0</v>
      </c>
      <c r="P487" t="str">
        <f>IFERROR(INDEX($B$5:$O$625,MATCH(ROWS($P$5:$P487),$O$5:$O$625,0),2),"")</f>
        <v/>
      </c>
      <c r="Q487">
        <f>IF(ISNUMBER(FIND($Q$3,$B488)),MAXA($Q$4:Q486)+1,0)</f>
        <v>483</v>
      </c>
      <c r="R487">
        <f>IFERROR(INDEX($B$5:$Q$625,MATCH(ROWS($R$5:$R487),$Q$5:$Q$625,0),1),"")</f>
        <v>0</v>
      </c>
    </row>
    <row r="488" spans="2:18" x14ac:dyDescent="0.2">
      <c r="B488" s="225" t="s">
        <v>1287</v>
      </c>
      <c r="C488" s="226" t="s">
        <v>1288</v>
      </c>
      <c r="D488" s="227">
        <v>500</v>
      </c>
      <c r="E488" s="227">
        <v>900</v>
      </c>
      <c r="F488" s="227"/>
      <c r="G488" s="226"/>
      <c r="H488" s="227"/>
      <c r="I488" s="227"/>
      <c r="J488" s="227"/>
      <c r="K488" s="228"/>
      <c r="O488">
        <f>IF(ISNUMBER(FIND($O$3,$C489)),MAXA($O$4:O487)+1,0)</f>
        <v>0</v>
      </c>
      <c r="P488" t="str">
        <f>IFERROR(INDEX($B$5:$O$625,MATCH(ROWS($P$5:$P488),$O$5:$O$625,0),2),"")</f>
        <v/>
      </c>
      <c r="Q488">
        <f>IF(ISNUMBER(FIND($Q$3,$B489)),MAXA($Q$4:Q487)+1,0)</f>
        <v>484</v>
      </c>
      <c r="R488" t="str">
        <f>IFERROR(INDEX($B$5:$Q$625,MATCH(ROWS($R$5:$R488),$Q$5:$Q$625,0),1),"")</f>
        <v>74-98-6</v>
      </c>
    </row>
    <row r="489" spans="2:18" x14ac:dyDescent="0.2">
      <c r="B489" s="225" t="s">
        <v>1289</v>
      </c>
      <c r="C489" s="226" t="s">
        <v>1290</v>
      </c>
      <c r="D489" s="227">
        <v>25</v>
      </c>
      <c r="E489" s="227">
        <v>79</v>
      </c>
      <c r="F489" s="227"/>
      <c r="G489" s="226"/>
      <c r="H489" s="227"/>
      <c r="I489" s="227"/>
      <c r="J489" s="227"/>
      <c r="K489" s="228"/>
      <c r="O489">
        <f>IF(ISNUMBER(FIND($O$3,$C490)),MAXA($O$4:O488)+1,0)</f>
        <v>0</v>
      </c>
      <c r="P489" t="str">
        <f>IFERROR(INDEX($B$5:$O$625,MATCH(ROWS($P$5:$P489),$O$5:$O$625,0),2),"")</f>
        <v/>
      </c>
      <c r="Q489">
        <f>IF(ISNUMBER(FIND($Q$3,$B490)),MAXA($Q$4:Q488)+1,0)</f>
        <v>485</v>
      </c>
      <c r="R489" t="str">
        <f>IFERROR(INDEX($B$5:$Q$625,MATCH(ROWS($R$5:$R489),$Q$5:$Q$625,0),1),"")</f>
        <v>57-55-6</v>
      </c>
    </row>
    <row r="490" spans="2:18" x14ac:dyDescent="0.2">
      <c r="B490" s="225" t="s">
        <v>1291</v>
      </c>
      <c r="C490" s="226" t="s">
        <v>1292</v>
      </c>
      <c r="D490" s="227">
        <v>0.05</v>
      </c>
      <c r="E490" s="227">
        <v>0.3</v>
      </c>
      <c r="F490" s="227"/>
      <c r="G490" s="226"/>
      <c r="H490" s="227"/>
      <c r="I490" s="227"/>
      <c r="J490" s="227"/>
      <c r="K490" s="228"/>
      <c r="O490">
        <f>IF(ISNUMBER(FIND($O$3,$C491)),MAXA($O$4:O489)+1,0)</f>
        <v>0</v>
      </c>
      <c r="P490" t="str">
        <f>IFERROR(INDEX($B$5:$O$625,MATCH(ROWS($P$5:$P490),$O$5:$O$625,0),2),"")</f>
        <v/>
      </c>
      <c r="Q490">
        <f>IF(ISNUMBER(FIND($Q$3,$B491)),MAXA($Q$4:Q489)+1,0)</f>
        <v>486</v>
      </c>
      <c r="R490" t="str">
        <f>IFERROR(INDEX($B$5:$Q$625,MATCH(ROWS($R$5:$R490),$Q$5:$Q$625,0),1),"")</f>
        <v>6423-43-4</v>
      </c>
    </row>
    <row r="491" spans="2:18" x14ac:dyDescent="0.2">
      <c r="B491" s="225" t="s">
        <v>1293</v>
      </c>
      <c r="C491" s="226" t="s">
        <v>1294</v>
      </c>
      <c r="D491" s="227">
        <v>100</v>
      </c>
      <c r="E491" s="227">
        <v>245</v>
      </c>
      <c r="F491" s="227"/>
      <c r="G491" s="226"/>
      <c r="H491" s="227"/>
      <c r="I491" s="227"/>
      <c r="J491" s="227"/>
      <c r="K491" s="228"/>
      <c r="O491">
        <f>IF(ISNUMBER(FIND($O$3,$C492)),MAXA($O$4:O490)+1,0)</f>
        <v>0</v>
      </c>
      <c r="P491" t="str">
        <f>IFERROR(INDEX($B$5:$O$625,MATCH(ROWS($P$5:$P491),$O$5:$O$625,0),2),"")</f>
        <v/>
      </c>
      <c r="Q491">
        <f>IF(ISNUMBER(FIND($Q$3,$B492)),MAXA($Q$4:Q490)+1,0)</f>
        <v>487</v>
      </c>
      <c r="R491" t="str">
        <f>IFERROR(INDEX($B$5:$Q$625,MATCH(ROWS($R$5:$R491),$Q$5:$Q$625,0),1),"")</f>
        <v>71-23-8</v>
      </c>
    </row>
    <row r="492" spans="2:18" x14ac:dyDescent="0.2">
      <c r="B492" s="225" t="s">
        <v>1295</v>
      </c>
      <c r="C492" s="226" t="s">
        <v>1296</v>
      </c>
      <c r="D492" s="227">
        <v>100</v>
      </c>
      <c r="E492" s="227">
        <v>245</v>
      </c>
      <c r="F492" s="227"/>
      <c r="G492" s="226"/>
      <c r="H492" s="227"/>
      <c r="I492" s="227"/>
      <c r="J492" s="227"/>
      <c r="K492" s="228"/>
      <c r="O492">
        <f>IF(ISNUMBER(FIND($O$3,$C493)),MAXA($O$4:O491)+1,0)</f>
        <v>0</v>
      </c>
      <c r="P492" t="str">
        <f>IFERROR(INDEX($B$5:$O$625,MATCH(ROWS($P$5:$P492),$O$5:$O$625,0),2),"")</f>
        <v/>
      </c>
      <c r="Q492">
        <f>IF(ISNUMBER(FIND($Q$3,$B493)),MAXA($Q$4:Q491)+1,0)</f>
        <v>488</v>
      </c>
      <c r="R492" t="str">
        <f>IFERROR(INDEX($B$5:$Q$625,MATCH(ROWS($R$5:$R492),$Q$5:$Q$625,0),1),"")</f>
        <v>67-63-0</v>
      </c>
    </row>
    <row r="493" spans="2:18" x14ac:dyDescent="0.2">
      <c r="B493" s="225" t="s">
        <v>1297</v>
      </c>
      <c r="C493" s="226" t="s">
        <v>1298</v>
      </c>
      <c r="D493" s="227">
        <v>2</v>
      </c>
      <c r="E493" s="227">
        <v>5</v>
      </c>
      <c r="F493" s="227"/>
      <c r="G493" s="226"/>
      <c r="H493" s="227"/>
      <c r="I493" s="227"/>
      <c r="J493" s="227"/>
      <c r="K493" s="228"/>
      <c r="O493">
        <f>IF(ISNUMBER(FIND($O$3,$C494)),MAXA($O$4:O492)+1,0)</f>
        <v>0</v>
      </c>
      <c r="P493" t="str">
        <f>IFERROR(INDEX($B$5:$O$625,MATCH(ROWS($P$5:$P493),$O$5:$O$625,0),2),"")</f>
        <v/>
      </c>
      <c r="Q493">
        <f>IF(ISNUMBER(FIND($Q$3,$B494)),MAXA($Q$4:Q492)+1,0)</f>
        <v>489</v>
      </c>
      <c r="R493" t="str">
        <f>IFERROR(INDEX($B$5:$Q$625,MATCH(ROWS($R$5:$R493),$Q$5:$Q$625,0),1),"")</f>
        <v>107-18-6</v>
      </c>
    </row>
    <row r="494" spans="2:18" x14ac:dyDescent="0.2">
      <c r="B494" s="225" t="s">
        <v>1299</v>
      </c>
      <c r="C494" s="226" t="s">
        <v>1300</v>
      </c>
      <c r="D494" s="227">
        <v>10</v>
      </c>
      <c r="E494" s="227">
        <v>30</v>
      </c>
      <c r="F494" s="227"/>
      <c r="G494" s="226"/>
      <c r="H494" s="227"/>
      <c r="I494" s="227"/>
      <c r="J494" s="227"/>
      <c r="K494" s="228"/>
      <c r="O494">
        <f>IF(ISNUMBER(FIND($O$3,$C495)),MAXA($O$4:O493)+1,0)</f>
        <v>0</v>
      </c>
      <c r="P494" t="str">
        <f>IFERROR(INDEX($B$5:$O$625,MATCH(ROWS($P$5:$P494),$O$5:$O$625,0),2),"")</f>
        <v/>
      </c>
      <c r="Q494">
        <f>IF(ISNUMBER(FIND($Q$3,$B495)),MAXA($Q$4:Q493)+1,0)</f>
        <v>490</v>
      </c>
      <c r="R494" t="str">
        <f>IFERROR(INDEX($B$5:$Q$625,MATCH(ROWS($R$5:$R494),$Q$5:$Q$625,0),1),"")</f>
        <v>79-09-4</v>
      </c>
    </row>
    <row r="495" spans="2:18" x14ac:dyDescent="0.2">
      <c r="B495" s="225" t="s">
        <v>1301</v>
      </c>
      <c r="C495" s="226" t="s">
        <v>1302</v>
      </c>
      <c r="D495" s="227">
        <v>0.5</v>
      </c>
      <c r="E495" s="227">
        <v>1.5</v>
      </c>
      <c r="F495" s="227"/>
      <c r="G495" s="226"/>
      <c r="H495" s="227"/>
      <c r="I495" s="227"/>
      <c r="J495" s="227"/>
      <c r="K495" s="228"/>
      <c r="O495">
        <f>IF(ISNUMBER(FIND($O$3,$C496)),MAXA($O$4:O494)+1,0)</f>
        <v>0</v>
      </c>
      <c r="P495" t="str">
        <f>IFERROR(INDEX($B$5:$O$625,MATCH(ROWS($P$5:$P495),$O$5:$O$625,0),2),"")</f>
        <v/>
      </c>
      <c r="Q495">
        <f>IF(ISNUMBER(FIND($Q$3,$B496)),MAXA($Q$4:Q494)+1,0)</f>
        <v>491</v>
      </c>
      <c r="R495" t="str">
        <f>IFERROR(INDEX($B$5:$Q$625,MATCH(ROWS($R$5:$R495),$Q$5:$Q$625,0),1),"")</f>
        <v>57-57-8</v>
      </c>
    </row>
    <row r="496" spans="2:18" x14ac:dyDescent="0.2">
      <c r="B496" s="225" t="s">
        <v>1303</v>
      </c>
      <c r="C496" s="226" t="s">
        <v>1304</v>
      </c>
      <c r="D496" s="227"/>
      <c r="E496" s="227">
        <v>0.5</v>
      </c>
      <c r="F496" s="227"/>
      <c r="G496" s="226"/>
      <c r="H496" s="227"/>
      <c r="I496" s="227"/>
      <c r="J496" s="227"/>
      <c r="K496" s="228"/>
      <c r="O496">
        <f>IF(ISNUMBER(FIND($O$3,$C497)),MAXA($O$4:O495)+1,0)</f>
        <v>0</v>
      </c>
      <c r="P496" t="str">
        <f>IFERROR(INDEX($B$5:$O$625,MATCH(ROWS($P$5:$P496),$O$5:$O$625,0),2),"")</f>
        <v/>
      </c>
      <c r="Q496">
        <f>IF(ISNUMBER(FIND($Q$3,$B497)),MAXA($Q$4:Q495)+1,0)</f>
        <v>492</v>
      </c>
      <c r="R496" t="str">
        <f>IFERROR(INDEX($B$5:$Q$625,MATCH(ROWS($R$5:$R496),$Q$5:$Q$625,0),1),"")</f>
        <v>114-26-1</v>
      </c>
    </row>
    <row r="497" spans="2:18" x14ac:dyDescent="0.2">
      <c r="B497" s="225" t="s">
        <v>1305</v>
      </c>
      <c r="C497" s="226" t="s">
        <v>1306</v>
      </c>
      <c r="D497" s="227">
        <v>100</v>
      </c>
      <c r="E497" s="227">
        <v>420</v>
      </c>
      <c r="F497" s="227"/>
      <c r="G497" s="226"/>
      <c r="H497" s="227"/>
      <c r="I497" s="227"/>
      <c r="J497" s="227"/>
      <c r="K497" s="228"/>
      <c r="O497">
        <f>IF(ISNUMBER(FIND($O$3,$C498)),MAXA($O$4:O496)+1,0)</f>
        <v>0</v>
      </c>
      <c r="P497" t="str">
        <f>IFERROR(INDEX($B$5:$O$625,MATCH(ROWS($P$5:$P497),$O$5:$O$625,0),2),"")</f>
        <v/>
      </c>
      <c r="Q497">
        <f>IF(ISNUMBER(FIND($Q$3,$B498)),MAXA($Q$4:Q496)+1,0)</f>
        <v>493</v>
      </c>
      <c r="R497" t="str">
        <f>IFERROR(INDEX($B$5:$Q$625,MATCH(ROWS($R$5:$R497),$Q$5:$Q$625,0),1),"")</f>
        <v>109-60-4</v>
      </c>
    </row>
    <row r="498" spans="2:18" x14ac:dyDescent="0.2">
      <c r="B498" s="225" t="s">
        <v>1307</v>
      </c>
      <c r="C498" s="226" t="s">
        <v>1308</v>
      </c>
      <c r="D498" s="227">
        <v>5</v>
      </c>
      <c r="E498" s="227">
        <v>12</v>
      </c>
      <c r="F498" s="227"/>
      <c r="G498" s="226"/>
      <c r="H498" s="227"/>
      <c r="I498" s="227"/>
      <c r="J498" s="227"/>
      <c r="K498" s="228"/>
      <c r="O498">
        <f>IF(ISNUMBER(FIND($O$3,$C499)),MAXA($O$4:O497)+1,0)</f>
        <v>0</v>
      </c>
      <c r="P498" t="str">
        <f>IFERROR(INDEX($B$5:$O$625,MATCH(ROWS($P$5:$P498),$O$5:$O$625,0),2),"")</f>
        <v/>
      </c>
      <c r="Q498">
        <f>IF(ISNUMBER(FIND($Q$3,$B499)),MAXA($Q$4:Q497)+1,0)</f>
        <v>494</v>
      </c>
      <c r="R498" t="str">
        <f>IFERROR(INDEX($B$5:$Q$625,MATCH(ROWS($R$5:$R498),$Q$5:$Q$625,0),1),"")</f>
        <v>75-31-0</v>
      </c>
    </row>
    <row r="499" spans="2:18" x14ac:dyDescent="0.2">
      <c r="B499" s="225" t="s">
        <v>1309</v>
      </c>
      <c r="C499" s="226" t="s">
        <v>1310</v>
      </c>
      <c r="D499" s="227">
        <v>1</v>
      </c>
      <c r="E499" s="227">
        <v>2</v>
      </c>
      <c r="F499" s="227"/>
      <c r="G499" s="226"/>
      <c r="H499" s="227"/>
      <c r="I499" s="227"/>
      <c r="J499" s="227"/>
      <c r="K499" s="228"/>
      <c r="O499">
        <f>IF(ISNUMBER(FIND($O$3,$C500)),MAXA($O$4:O498)+1,0)</f>
        <v>0</v>
      </c>
      <c r="P499" t="str">
        <f>IFERROR(INDEX($B$5:$O$625,MATCH(ROWS($P$5:$P499),$O$5:$O$625,0),2),"")</f>
        <v/>
      </c>
      <c r="Q499">
        <f>IF(ISNUMBER(FIND($Q$3,$B500)),MAXA($Q$4:Q498)+1,0)</f>
        <v>495</v>
      </c>
      <c r="R499" t="str">
        <f>IFERROR(INDEX($B$5:$Q$625,MATCH(ROWS($R$5:$R499),$Q$5:$Q$625,0),1),"")</f>
        <v>75-56-9</v>
      </c>
    </row>
    <row r="500" spans="2:18" x14ac:dyDescent="0.2">
      <c r="B500" s="225" t="s">
        <v>1311</v>
      </c>
      <c r="C500" s="226" t="s">
        <v>1312</v>
      </c>
      <c r="D500" s="227">
        <v>20</v>
      </c>
      <c r="E500" s="227">
        <v>90</v>
      </c>
      <c r="F500" s="227"/>
      <c r="G500" s="226"/>
      <c r="H500" s="227"/>
      <c r="I500" s="227"/>
      <c r="J500" s="227"/>
      <c r="K500" s="228"/>
      <c r="O500">
        <f>IF(ISNUMBER(FIND($O$3,$C501)),MAXA($O$4:O499)+1,0)</f>
        <v>0</v>
      </c>
      <c r="P500" t="str">
        <f>IFERROR(INDEX($B$5:$O$625,MATCH(ROWS($P$5:$P500),$O$5:$O$625,0),2),"")</f>
        <v/>
      </c>
      <c r="Q500">
        <f>IF(ISNUMBER(FIND($Q$3,$B501)),MAXA($Q$4:Q499)+1,0)</f>
        <v>496</v>
      </c>
      <c r="R500" t="str">
        <f>IFERROR(INDEX($B$5:$Q$625,MATCH(ROWS($R$5:$R500),$Q$5:$Q$625,0),1),"")</f>
        <v>627-13-4</v>
      </c>
    </row>
    <row r="501" spans="2:18" x14ac:dyDescent="0.2">
      <c r="B501" s="225" t="s">
        <v>1313</v>
      </c>
      <c r="C501" s="226" t="s">
        <v>1314</v>
      </c>
      <c r="D501" s="227">
        <v>500</v>
      </c>
      <c r="E501" s="227">
        <v>825</v>
      </c>
      <c r="F501" s="227"/>
      <c r="G501" s="226"/>
      <c r="H501" s="227"/>
      <c r="I501" s="227"/>
      <c r="J501" s="227"/>
      <c r="K501" s="228"/>
      <c r="O501">
        <f>IF(ISNUMBER(FIND($O$3,$C502)),MAXA($O$4:O500)+1,0)</f>
        <v>0</v>
      </c>
      <c r="P501" t="str">
        <f>IFERROR(INDEX($B$5:$O$625,MATCH(ROWS($P$5:$P501),$O$5:$O$625,0),2),"")</f>
        <v/>
      </c>
      <c r="Q501">
        <f>IF(ISNUMBER(FIND($Q$3,$B502)),MAXA($Q$4:Q500)+1,0)</f>
        <v>497</v>
      </c>
      <c r="R501" t="str">
        <f>IFERROR(INDEX($B$5:$Q$625,MATCH(ROWS($R$5:$R501),$Q$5:$Q$625,0),1),"")</f>
        <v>74-99-7</v>
      </c>
    </row>
    <row r="502" spans="2:18" x14ac:dyDescent="0.2">
      <c r="B502" s="225" t="s">
        <v>1315</v>
      </c>
      <c r="C502" s="226" t="s">
        <v>1316</v>
      </c>
      <c r="D502" s="227">
        <v>1</v>
      </c>
      <c r="E502" s="227">
        <v>2.5</v>
      </c>
      <c r="F502" s="227"/>
      <c r="G502" s="226"/>
      <c r="H502" s="227"/>
      <c r="I502" s="227"/>
      <c r="J502" s="227"/>
      <c r="K502" s="228"/>
      <c r="O502">
        <f>IF(ISNUMBER(FIND($O$3,$C503)),MAXA($O$4:O501)+1,0)</f>
        <v>0</v>
      </c>
      <c r="P502" t="str">
        <f>IFERROR(INDEX($B$5:$O$625,MATCH(ROWS($P$5:$P502),$O$5:$O$625,0),2),"")</f>
        <v/>
      </c>
      <c r="Q502">
        <f>IF(ISNUMBER(FIND($Q$3,$B503)),MAXA($Q$4:Q501)+1,0)</f>
        <v>498</v>
      </c>
      <c r="R502" t="str">
        <f>IFERROR(INDEX($B$5:$Q$625,MATCH(ROWS($R$5:$R502),$Q$5:$Q$625,0),1),"")</f>
        <v>107-19-7</v>
      </c>
    </row>
    <row r="503" spans="2:18" x14ac:dyDescent="0.2">
      <c r="B503" s="225" t="s">
        <v>1317</v>
      </c>
      <c r="C503" s="226" t="s">
        <v>1318</v>
      </c>
      <c r="D503" s="227"/>
      <c r="E503" s="227">
        <v>1</v>
      </c>
      <c r="F503" s="227"/>
      <c r="G503" s="226"/>
      <c r="H503" s="227"/>
      <c r="I503" s="227"/>
      <c r="J503" s="227"/>
      <c r="K503" s="228"/>
      <c r="O503">
        <f>IF(ISNUMBER(FIND($O$3,$C504)),MAXA($O$4:O502)+1,0)</f>
        <v>0</v>
      </c>
      <c r="P503" t="str">
        <f>IFERROR(INDEX($B$5:$O$625,MATCH(ROWS($P$5:$P503),$O$5:$O$625,0),2),"")</f>
        <v/>
      </c>
      <c r="Q503">
        <f>IF(ISNUMBER(FIND($Q$3,$B504)),MAXA($Q$4:Q502)+1,0)</f>
        <v>499</v>
      </c>
      <c r="R503" t="str">
        <f>IFERROR(INDEX($B$5:$Q$625,MATCH(ROWS($R$5:$R503),$Q$5:$Q$625,0),1),"")</f>
        <v>8003-34-7</v>
      </c>
    </row>
    <row r="504" spans="2:18" x14ac:dyDescent="0.2">
      <c r="B504" s="225" t="s">
        <v>1319</v>
      </c>
      <c r="C504" s="226" t="s">
        <v>1320</v>
      </c>
      <c r="D504" s="227">
        <v>5</v>
      </c>
      <c r="E504" s="227">
        <v>15</v>
      </c>
      <c r="F504" s="227"/>
      <c r="G504" s="226"/>
      <c r="H504" s="227"/>
      <c r="I504" s="227"/>
      <c r="J504" s="227"/>
      <c r="K504" s="228"/>
      <c r="O504">
        <f>IF(ISNUMBER(FIND($O$3,$C505)),MAXA($O$4:O503)+1,0)</f>
        <v>0</v>
      </c>
      <c r="P504" t="str">
        <f>IFERROR(INDEX($B$5:$O$625,MATCH(ROWS($P$5:$P504),$O$5:$O$625,0),2),"")</f>
        <v/>
      </c>
      <c r="Q504">
        <f>IF(ISNUMBER(FIND($Q$3,$B505)),MAXA($Q$4:Q503)+1,0)</f>
        <v>500</v>
      </c>
      <c r="R504" t="str">
        <f>IFERROR(INDEX($B$5:$Q$625,MATCH(ROWS($R$5:$R504),$Q$5:$Q$625,0),1),"")</f>
        <v>110-86-1</v>
      </c>
    </row>
    <row r="505" spans="2:18" ht="29" x14ac:dyDescent="0.2">
      <c r="B505" s="225"/>
      <c r="C505" s="231" t="s">
        <v>1321</v>
      </c>
      <c r="D505" s="227"/>
      <c r="E505" s="227">
        <v>0.5</v>
      </c>
      <c r="F505" s="227"/>
      <c r="G505" s="226"/>
      <c r="H505" s="227"/>
      <c r="I505" s="227"/>
      <c r="J505" s="227"/>
      <c r="K505" s="228"/>
      <c r="O505">
        <f>IF(ISNUMBER(FIND($O$3,$C506)),MAXA($O$4:O504)+1,0)</f>
        <v>0</v>
      </c>
      <c r="P505" t="str">
        <f>IFERROR(INDEX($B$5:$O$625,MATCH(ROWS($P$5:$P505),$O$5:$O$625,0),2),"")</f>
        <v/>
      </c>
      <c r="Q505">
        <f>IF(ISNUMBER(FIND($Q$3,$B506)),MAXA($Q$4:Q504)+1,0)</f>
        <v>501</v>
      </c>
      <c r="R505">
        <f>IFERROR(INDEX($B$5:$Q$625,MATCH(ROWS($R$5:$R505),$Q$5:$Q$625,0),1),"")</f>
        <v>0</v>
      </c>
    </row>
    <row r="506" spans="2:18" x14ac:dyDescent="0.2">
      <c r="B506" s="225" t="s">
        <v>1322</v>
      </c>
      <c r="C506" s="226" t="s">
        <v>1323</v>
      </c>
      <c r="D506" s="227"/>
      <c r="E506" s="227">
        <v>0.1</v>
      </c>
      <c r="F506" s="227"/>
      <c r="G506" s="226"/>
      <c r="H506" s="227"/>
      <c r="I506" s="227"/>
      <c r="J506" s="227"/>
      <c r="K506" s="228"/>
      <c r="O506">
        <f>IF(ISNUMBER(FIND($O$3,$C507)),MAXA($O$4:O505)+1,0)</f>
        <v>0</v>
      </c>
      <c r="P506" t="str">
        <f>IFERROR(INDEX($B$5:$O$625,MATCH(ROWS($P$5:$P506),$O$5:$O$625,0),2),"")</f>
        <v/>
      </c>
      <c r="Q506">
        <f>IF(ISNUMBER(FIND($Q$3,$B507)),MAXA($Q$4:Q505)+1,0)</f>
        <v>502</v>
      </c>
      <c r="R506" t="str">
        <f>IFERROR(INDEX($B$5:$Q$625,MATCH(ROWS($R$5:$R506),$Q$5:$Q$625,0),1),"")</f>
        <v>7440-16-6</v>
      </c>
    </row>
    <row r="507" spans="2:18" x14ac:dyDescent="0.2">
      <c r="B507" s="225"/>
      <c r="C507" s="230" t="s">
        <v>1324</v>
      </c>
      <c r="D507" s="226"/>
      <c r="E507" s="227">
        <v>1E-3</v>
      </c>
      <c r="F507" s="227"/>
      <c r="G507" s="226"/>
      <c r="H507" s="227"/>
      <c r="I507" s="227"/>
      <c r="J507" s="227"/>
      <c r="K507" s="228"/>
      <c r="O507">
        <f>IF(ISNUMBER(FIND($O$3,$C508)),MAXA($O$4:O506)+1,0)</f>
        <v>0</v>
      </c>
      <c r="P507" t="str">
        <f>IFERROR(INDEX($B$5:$O$625,MATCH(ROWS($P$5:$P507),$O$5:$O$625,0),2),"")</f>
        <v/>
      </c>
      <c r="Q507">
        <f>IF(ISNUMBER(FIND($Q$3,$B508)),MAXA($Q$4:Q506)+1,0)</f>
        <v>503</v>
      </c>
      <c r="R507">
        <f>IFERROR(INDEX($B$5:$Q$625,MATCH(ROWS($R$5:$R507),$Q$5:$Q$625,0),1),"")</f>
        <v>0</v>
      </c>
    </row>
    <row r="508" spans="2:18" x14ac:dyDescent="0.2">
      <c r="B508" s="225" t="s">
        <v>1325</v>
      </c>
      <c r="C508" s="226" t="s">
        <v>1326</v>
      </c>
      <c r="D508" s="227"/>
      <c r="E508" s="227">
        <v>5</v>
      </c>
      <c r="F508" s="227"/>
      <c r="G508" s="226"/>
      <c r="H508" s="227"/>
      <c r="I508" s="227"/>
      <c r="J508" s="227"/>
      <c r="K508" s="228"/>
      <c r="O508">
        <f>IF(ISNUMBER(FIND($O$3,$C509)),MAXA($O$4:O507)+1,0)</f>
        <v>0</v>
      </c>
      <c r="P508" t="str">
        <f>IFERROR(INDEX($B$5:$O$625,MATCH(ROWS($P$5:$P508),$O$5:$O$625,0),2),"")</f>
        <v/>
      </c>
      <c r="Q508">
        <f>IF(ISNUMBER(FIND($Q$3,$B509)),MAXA($Q$4:Q507)+1,0)</f>
        <v>504</v>
      </c>
      <c r="R508" t="str">
        <f>IFERROR(INDEX($B$5:$Q$625,MATCH(ROWS($R$5:$R508),$Q$5:$Q$625,0),1),"")</f>
        <v>299-84-3</v>
      </c>
    </row>
    <row r="509" spans="2:18" x14ac:dyDescent="0.2">
      <c r="B509" s="225" t="s">
        <v>1327</v>
      </c>
      <c r="C509" s="226" t="s">
        <v>1328</v>
      </c>
      <c r="D509" s="227"/>
      <c r="E509" s="227">
        <v>5</v>
      </c>
      <c r="F509" s="227"/>
      <c r="G509" s="226"/>
      <c r="H509" s="227"/>
      <c r="I509" s="227"/>
      <c r="J509" s="227"/>
      <c r="K509" s="228"/>
      <c r="O509">
        <f>IF(ISNUMBER(FIND($O$3,$C510)),MAXA($O$4:O508)+1,0)</f>
        <v>0</v>
      </c>
      <c r="P509" t="str">
        <f>IFERROR(INDEX($B$5:$O$625,MATCH(ROWS($P$5:$P509),$O$5:$O$625,0),2),"")</f>
        <v/>
      </c>
      <c r="Q509">
        <f>IF(ISNUMBER(FIND($Q$3,$B510)),MAXA($Q$4:Q508)+1,0)</f>
        <v>505</v>
      </c>
      <c r="R509" t="str">
        <f>IFERROR(INDEX($B$5:$Q$625,MATCH(ROWS($R$5:$R509),$Q$5:$Q$625,0),1),"")</f>
        <v>83-79-4</v>
      </c>
    </row>
    <row r="510" spans="2:18" x14ac:dyDescent="0.2">
      <c r="B510" s="225" t="s">
        <v>1329</v>
      </c>
      <c r="C510" s="226" t="s">
        <v>1330</v>
      </c>
      <c r="D510" s="227">
        <v>2</v>
      </c>
      <c r="E510" s="227">
        <v>5</v>
      </c>
      <c r="F510" s="227"/>
      <c r="G510" s="226"/>
      <c r="H510" s="227"/>
      <c r="I510" s="227"/>
      <c r="J510" s="227"/>
      <c r="K510" s="228"/>
      <c r="O510">
        <f>IF(ISNUMBER(FIND($O$3,$C511)),MAXA($O$4:O509)+1,0)</f>
        <v>0</v>
      </c>
      <c r="P510" t="str">
        <f>IFERROR(INDEX($B$5:$O$625,MATCH(ROWS($P$5:$P510),$O$5:$O$625,0),2),"")</f>
        <v/>
      </c>
      <c r="Q510">
        <f>IF(ISNUMBER(FIND($Q$3,$B511)),MAXA($Q$4:Q509)+1,0)</f>
        <v>506</v>
      </c>
      <c r="R510" t="str">
        <f>IFERROR(INDEX($B$5:$Q$625,MATCH(ROWS($R$5:$R510),$Q$5:$Q$625,0),1),"")</f>
        <v>7697-37-2</v>
      </c>
    </row>
    <row r="511" spans="2:18" ht="29" x14ac:dyDescent="0.2">
      <c r="B511" s="225"/>
      <c r="C511" s="231" t="s">
        <v>1331</v>
      </c>
      <c r="D511" s="226"/>
      <c r="E511" s="227">
        <v>0.05</v>
      </c>
      <c r="F511" s="227"/>
      <c r="G511" s="226"/>
      <c r="H511" s="227"/>
      <c r="I511" s="227"/>
      <c r="J511" s="227"/>
      <c r="K511" s="228"/>
      <c r="O511">
        <f>IF(ISNUMBER(FIND($O$3,$C512)),MAXA($O$4:O510)+1,0)</f>
        <v>0</v>
      </c>
      <c r="P511" t="str">
        <f>IFERROR(INDEX($B$5:$O$625,MATCH(ROWS($P$5:$P511),$O$5:$O$625,0),2),"")</f>
        <v/>
      </c>
      <c r="Q511">
        <f>IF(ISNUMBER(FIND($Q$3,$B512)),MAXA($Q$4:Q510)+1,0)</f>
        <v>507</v>
      </c>
      <c r="R511">
        <f>IFERROR(INDEX($B$5:$Q$625,MATCH(ROWS($R$5:$R511),$Q$5:$Q$625,0),1),"")</f>
        <v>0</v>
      </c>
    </row>
    <row r="512" spans="2:18" x14ac:dyDescent="0.2">
      <c r="B512" s="225" t="s">
        <v>1332</v>
      </c>
      <c r="C512" s="226" t="s">
        <v>1333</v>
      </c>
      <c r="D512" s="227">
        <v>0.05</v>
      </c>
      <c r="E512" s="227">
        <v>0.4</v>
      </c>
      <c r="F512" s="227"/>
      <c r="G512" s="226"/>
      <c r="H512" s="227"/>
      <c r="I512" s="227"/>
      <c r="J512" s="227"/>
      <c r="K512" s="228"/>
      <c r="O512">
        <f>IF(ISNUMBER(FIND($O$3,$C513)),MAXA($O$4:O511)+1,0)</f>
        <v>0</v>
      </c>
      <c r="P512" t="str">
        <f>IFERROR(INDEX($B$5:$O$625,MATCH(ROWS($P$5:$P512),$O$5:$O$625,0),2),"")</f>
        <v/>
      </c>
      <c r="Q512">
        <f>IF(ISNUMBER(FIND($Q$3,$B513)),MAXA($Q$4:Q511)+1,0)</f>
        <v>508</v>
      </c>
      <c r="R512" t="str">
        <f>IFERROR(INDEX($B$5:$Q$625,MATCH(ROWS($R$5:$R512),$Q$5:$Q$625,0),1),"")</f>
        <v>7783-79-1</v>
      </c>
    </row>
    <row r="513" spans="2:18" x14ac:dyDescent="0.2">
      <c r="B513" s="225" t="s">
        <v>1334</v>
      </c>
      <c r="C513" s="226" t="s">
        <v>1335</v>
      </c>
      <c r="D513" s="227"/>
      <c r="E513" s="227">
        <v>0.05</v>
      </c>
      <c r="F513" s="227"/>
      <c r="G513" s="226"/>
      <c r="H513" s="227"/>
      <c r="I513" s="227"/>
      <c r="J513" s="227"/>
      <c r="K513" s="228"/>
      <c r="O513">
        <f>IF(ISNUMBER(FIND($O$3,$C514)),MAXA($O$4:O512)+1,0)</f>
        <v>0</v>
      </c>
      <c r="P513" t="str">
        <f>IFERROR(INDEX($B$5:$O$625,MATCH(ROWS($P$5:$P513),$O$5:$O$625,0),2),"")</f>
        <v/>
      </c>
      <c r="Q513">
        <f>IF(ISNUMBER(FIND($Q$3,$B514)),MAXA($Q$4:Q512)+1,0)</f>
        <v>509</v>
      </c>
      <c r="R513" t="str">
        <f>IFERROR(INDEX($B$5:$Q$625,MATCH(ROWS($R$5:$R513),$Q$5:$Q$625,0),1),"")</f>
        <v>7446-34-6</v>
      </c>
    </row>
    <row r="514" spans="2:18" x14ac:dyDescent="0.2">
      <c r="B514" s="225" t="s">
        <v>1336</v>
      </c>
      <c r="C514" s="226" t="s">
        <v>1337</v>
      </c>
      <c r="D514" s="227">
        <v>5</v>
      </c>
      <c r="E514" s="227">
        <v>35</v>
      </c>
      <c r="F514" s="227"/>
      <c r="G514" s="226"/>
      <c r="H514" s="227"/>
      <c r="I514" s="227"/>
      <c r="J514" s="227"/>
      <c r="K514" s="228"/>
      <c r="O514">
        <f>IF(ISNUMBER(FIND($O$3,$C515)),MAXA($O$4:O513)+1,0)</f>
        <v>0</v>
      </c>
      <c r="P514" t="str">
        <f>IFERROR(INDEX($B$5:$O$625,MATCH(ROWS($P$5:$P514),$O$5:$O$625,0),2),"")</f>
        <v/>
      </c>
      <c r="Q514">
        <f>IF(ISNUMBER(FIND($Q$3,$B515)),MAXA($Q$4:Q513)+1,0)</f>
        <v>510</v>
      </c>
      <c r="R514" t="str">
        <f>IFERROR(INDEX($B$5:$Q$625,MATCH(ROWS($R$5:$R514),$Q$5:$Q$625,0),1),"")</f>
        <v>28523-86-6</v>
      </c>
    </row>
    <row r="515" spans="2:18" x14ac:dyDescent="0.2">
      <c r="B515" s="225" t="s">
        <v>1338</v>
      </c>
      <c r="C515" s="226" t="s">
        <v>1339</v>
      </c>
      <c r="D515" s="227">
        <v>0.5</v>
      </c>
      <c r="E515" s="227">
        <v>0.7</v>
      </c>
      <c r="F515" s="227"/>
      <c r="G515" s="226"/>
      <c r="H515" s="227"/>
      <c r="I515" s="227"/>
      <c r="J515" s="227"/>
      <c r="K515" s="228"/>
      <c r="O515">
        <f>IF(ISNUMBER(FIND($O$3,$C516)),MAXA($O$4:O514)+1,0)</f>
        <v>0</v>
      </c>
      <c r="P515" t="str">
        <f>IFERROR(INDEX($B$5:$O$625,MATCH(ROWS($P$5:$P515),$O$5:$O$625,0),2),"")</f>
        <v/>
      </c>
      <c r="Q515">
        <f>IF(ISNUMBER(FIND($Q$3,$B516)),MAXA($Q$4:Q514)+1,0)</f>
        <v>511</v>
      </c>
      <c r="R515" t="str">
        <f>IFERROR(INDEX($B$5:$Q$625,MATCH(ROWS($R$5:$R515),$Q$5:$Q$625,0),1),"")</f>
        <v>7803-62-5</v>
      </c>
    </row>
    <row r="516" spans="2:18" x14ac:dyDescent="0.2">
      <c r="B516" s="225" t="s">
        <v>1340</v>
      </c>
      <c r="C516" s="226" t="s">
        <v>1341</v>
      </c>
      <c r="D516" s="227"/>
      <c r="E516" s="227">
        <v>10</v>
      </c>
      <c r="F516" s="227"/>
      <c r="G516" s="226"/>
      <c r="H516" s="227"/>
      <c r="I516" s="227"/>
      <c r="J516" s="227"/>
      <c r="K516" s="228"/>
      <c r="O516">
        <f>IF(ISNUMBER(FIND($O$3,$C517)),MAXA($O$4:O515)+1,0)</f>
        <v>0</v>
      </c>
      <c r="P516" t="str">
        <f>IFERROR(INDEX($B$5:$O$625,MATCH(ROWS($P$5:$P516),$O$5:$O$625,0),2),"")</f>
        <v/>
      </c>
      <c r="Q516">
        <f>IF(ISNUMBER(FIND($Q$3,$B517)),MAXA($Q$4:Q515)+1,0)</f>
        <v>512</v>
      </c>
      <c r="R516" t="str">
        <f>IFERROR(INDEX($B$5:$Q$625,MATCH(ROWS($R$5:$R516),$Q$5:$Q$625,0),1),"")</f>
        <v>7440-21-3</v>
      </c>
    </row>
    <row r="517" spans="2:18" x14ac:dyDescent="0.2">
      <c r="B517" s="225"/>
      <c r="C517" s="230" t="s">
        <v>1342</v>
      </c>
      <c r="D517" s="227"/>
      <c r="E517" s="227"/>
      <c r="F517" s="227">
        <v>0.1</v>
      </c>
      <c r="G517" s="226"/>
      <c r="H517" s="227"/>
      <c r="I517" s="227"/>
      <c r="J517" s="227"/>
      <c r="K517" s="228"/>
      <c r="O517">
        <f>IF(ISNUMBER(FIND($O$3,$C518)),MAXA($O$4:O516)+1,0)</f>
        <v>0</v>
      </c>
      <c r="P517" t="str">
        <f>IFERROR(INDEX($B$5:$O$625,MATCH(ROWS($P$5:$P517),$O$5:$O$625,0),2),"")</f>
        <v/>
      </c>
      <c r="Q517">
        <f>IF(ISNUMBER(FIND($Q$3,$B518)),MAXA($Q$4:Q516)+1,0)</f>
        <v>513</v>
      </c>
      <c r="R517">
        <f>IFERROR(INDEX($B$5:$Q$625,MATCH(ROWS($R$5:$R517),$Q$5:$Q$625,0),1),"")</f>
        <v>0</v>
      </c>
    </row>
    <row r="518" spans="2:18" x14ac:dyDescent="0.2">
      <c r="B518" s="225" t="s">
        <v>1343</v>
      </c>
      <c r="C518" s="226" t="s">
        <v>1344</v>
      </c>
      <c r="D518" s="227"/>
      <c r="E518" s="227">
        <v>1</v>
      </c>
      <c r="F518" s="227"/>
      <c r="G518" s="226"/>
      <c r="H518" s="227"/>
      <c r="I518" s="227"/>
      <c r="J518" s="227"/>
      <c r="K518" s="228"/>
      <c r="O518">
        <f>IF(ISNUMBER(FIND($O$3,$C519)),MAXA($O$4:O517)+1,0)</f>
        <v>0</v>
      </c>
      <c r="P518" t="str">
        <f>IFERROR(INDEX($B$5:$O$625,MATCH(ROWS($P$5:$P518),$O$5:$O$625,0),2),"")</f>
        <v/>
      </c>
      <c r="Q518">
        <f>IF(ISNUMBER(FIND($Q$3,$B519)),MAXA($Q$4:Q517)+1,0)</f>
        <v>514</v>
      </c>
      <c r="R518" t="str">
        <f>IFERROR(INDEX($B$5:$Q$625,MATCH(ROWS($R$5:$R518),$Q$5:$Q$625,0),1),"")</f>
        <v>7646-85-7</v>
      </c>
    </row>
    <row r="519" spans="2:18" x14ac:dyDescent="0.2">
      <c r="B519" s="225" t="s">
        <v>1345</v>
      </c>
      <c r="C519" s="226" t="s">
        <v>1346</v>
      </c>
      <c r="D519" s="227"/>
      <c r="E519" s="227">
        <v>5</v>
      </c>
      <c r="F519" s="227"/>
      <c r="G519" s="226"/>
      <c r="H519" s="227"/>
      <c r="I519" s="227"/>
      <c r="J519" s="227"/>
      <c r="K519" s="228"/>
      <c r="O519">
        <f>IF(ISNUMBER(FIND($O$3,$C520)),MAXA($O$4:O518)+1,0)</f>
        <v>0</v>
      </c>
      <c r="P519" t="str">
        <f>IFERROR(INDEX($B$5:$O$625,MATCH(ROWS($P$5:$P519),$O$5:$O$625,0),2),"")</f>
        <v/>
      </c>
      <c r="Q519">
        <f>IF(ISNUMBER(FIND($Q$3,$B520)),MAXA($Q$4:Q518)+1,0)</f>
        <v>515</v>
      </c>
      <c r="R519" t="str">
        <f>IFERROR(INDEX($B$5:$Q$625,MATCH(ROWS($R$5:$R519),$Q$5:$Q$625,0),1),"")</f>
        <v>1314-13-2</v>
      </c>
    </row>
    <row r="520" spans="2:18" x14ac:dyDescent="0.2">
      <c r="B520" s="225"/>
      <c r="C520" s="226" t="s">
        <v>1347</v>
      </c>
      <c r="D520" s="227"/>
      <c r="E520" s="227">
        <v>10</v>
      </c>
      <c r="F520" s="227"/>
      <c r="G520" s="226"/>
      <c r="H520" s="227"/>
      <c r="I520" s="227"/>
      <c r="J520" s="227"/>
      <c r="K520" s="228"/>
      <c r="O520">
        <f>IF(ISNUMBER(FIND($O$3,$C521)),MAXA($O$4:O519)+1,0)</f>
        <v>0</v>
      </c>
      <c r="P520" t="str">
        <f>IFERROR(INDEX($B$5:$O$625,MATCH(ROWS($P$5:$P520),$O$5:$O$625,0),2),"")</f>
        <v/>
      </c>
      <c r="Q520">
        <f>IF(ISNUMBER(FIND($Q$3,$B521)),MAXA($Q$4:Q519)+1,0)</f>
        <v>516</v>
      </c>
      <c r="R520">
        <f>IFERROR(INDEX($B$5:$Q$625,MATCH(ROWS($R$5:$R520),$Q$5:$Q$625,0),1),"")</f>
        <v>0</v>
      </c>
    </row>
    <row r="521" spans="2:18" x14ac:dyDescent="0.2">
      <c r="B521" s="225"/>
      <c r="C521" s="226" t="s">
        <v>1348</v>
      </c>
      <c r="D521" s="227"/>
      <c r="E521" s="227">
        <v>5</v>
      </c>
      <c r="F521" s="227"/>
      <c r="G521" s="226"/>
      <c r="H521" s="227"/>
      <c r="I521" s="227"/>
      <c r="J521" s="227"/>
      <c r="K521" s="228"/>
      <c r="O521">
        <f>IF(ISNUMBER(FIND($O$3,$C522)),MAXA($O$4:O520)+1,0)</f>
        <v>0</v>
      </c>
      <c r="P521" t="str">
        <f>IFERROR(INDEX($B$5:$O$625,MATCH(ROWS($P$5:$P521),$O$5:$O$625,0),2),"")</f>
        <v/>
      </c>
      <c r="Q521">
        <f>IF(ISNUMBER(FIND($Q$3,$B522)),MAXA($Q$4:Q520)+1,0)</f>
        <v>517</v>
      </c>
      <c r="R521">
        <f>IFERROR(INDEX($B$5:$Q$625,MATCH(ROWS($R$5:$R521),$Q$5:$Q$625,0),1),"")</f>
        <v>0</v>
      </c>
    </row>
    <row r="522" spans="2:18" x14ac:dyDescent="0.2">
      <c r="B522" s="225" t="s">
        <v>1349</v>
      </c>
      <c r="C522" s="226" t="s">
        <v>1350</v>
      </c>
      <c r="D522" s="227"/>
      <c r="E522" s="227"/>
      <c r="F522" s="227"/>
      <c r="G522" s="226"/>
      <c r="H522" s="227"/>
      <c r="I522" s="227"/>
      <c r="J522" s="227">
        <v>0.15</v>
      </c>
      <c r="K522" s="228"/>
      <c r="O522">
        <f>IF(ISNUMBER(FIND($O$3,$C523)),MAXA($O$4:O521)+1,0)</f>
        <v>0</v>
      </c>
      <c r="P522" t="str">
        <f>IFERROR(INDEX($B$5:$O$625,MATCH(ROWS($P$5:$P522),$O$5:$O$625,0),2),"")</f>
        <v/>
      </c>
      <c r="Q522">
        <f>IF(ISNUMBER(FIND($Q$3,$B523)),MAXA($Q$4:Q521)+1,0)</f>
        <v>518</v>
      </c>
      <c r="R522" t="str">
        <f>IFERROR(INDEX($B$5:$Q$625,MATCH(ROWS($R$5:$R522),$Q$5:$Q$625,0),1),"")</f>
        <v>57-24-9</v>
      </c>
    </row>
    <row r="523" spans="2:18" x14ac:dyDescent="0.2">
      <c r="B523" s="225" t="s">
        <v>1351</v>
      </c>
      <c r="C523" s="226" t="s">
        <v>1352</v>
      </c>
      <c r="D523" s="227">
        <v>25</v>
      </c>
      <c r="E523" s="227">
        <v>105</v>
      </c>
      <c r="F523" s="227"/>
      <c r="G523" s="226"/>
      <c r="H523" s="227"/>
      <c r="I523" s="227"/>
      <c r="J523" s="227"/>
      <c r="K523" s="228"/>
      <c r="O523">
        <f>IF(ISNUMBER(FIND($O$3,$C524)),MAXA($O$4:O522)+1,0)</f>
        <v>0</v>
      </c>
      <c r="P523" t="str">
        <f>IFERROR(INDEX($B$5:$O$625,MATCH(ROWS($P$5:$P523),$O$5:$O$625,0),2),"")</f>
        <v/>
      </c>
      <c r="Q523">
        <f>IF(ISNUMBER(FIND($Q$3,$B524)),MAXA($Q$4:Q522)+1,0)</f>
        <v>519</v>
      </c>
      <c r="R523" t="str">
        <f>IFERROR(INDEX($B$5:$Q$625,MATCH(ROWS($R$5:$R523),$Q$5:$Q$625,0),1),"")</f>
        <v>100-42-5</v>
      </c>
    </row>
    <row r="524" spans="2:18" x14ac:dyDescent="0.2">
      <c r="B524" s="225" t="s">
        <v>1353</v>
      </c>
      <c r="C524" s="226" t="s">
        <v>1354</v>
      </c>
      <c r="D524" s="227"/>
      <c r="E524" s="227"/>
      <c r="F524" s="227"/>
      <c r="G524" s="226"/>
      <c r="H524" s="227"/>
      <c r="I524" s="227"/>
      <c r="J524" s="227">
        <v>6.0000000000000002E-5</v>
      </c>
      <c r="K524" s="228"/>
      <c r="O524">
        <f>IF(ISNUMBER(FIND($O$3,$C525)),MAXA($O$4:O523)+1,0)</f>
        <v>0</v>
      </c>
      <c r="P524" t="str">
        <f>IFERROR(INDEX($B$5:$O$625,MATCH(ROWS($P$5:$P524),$O$5:$O$625,0),2),"")</f>
        <v/>
      </c>
      <c r="Q524">
        <f>IF(ISNUMBER(FIND($Q$3,$B525)),MAXA($Q$4:Q523)+1,0)</f>
        <v>520</v>
      </c>
      <c r="R524" t="str">
        <f>IFERROR(INDEX($B$5:$Q$625,MATCH(ROWS($R$5:$R524),$Q$5:$Q$625,0),1),"")</f>
        <v>1395-21-7</v>
      </c>
    </row>
    <row r="525" spans="2:18" x14ac:dyDescent="0.2">
      <c r="B525" s="225" t="s">
        <v>1355</v>
      </c>
      <c r="C525" s="226" t="s">
        <v>1356</v>
      </c>
      <c r="D525" s="227"/>
      <c r="E525" s="227">
        <v>0.1</v>
      </c>
      <c r="F525" s="227"/>
      <c r="G525" s="226"/>
      <c r="H525" s="227"/>
      <c r="I525" s="227"/>
      <c r="J525" s="227"/>
      <c r="K525" s="228"/>
      <c r="O525">
        <f>IF(ISNUMBER(FIND($O$3,$C526)),MAXA($O$4:O524)+1,0)</f>
        <v>0</v>
      </c>
      <c r="P525" t="str">
        <f>IFERROR(INDEX($B$5:$O$625,MATCH(ROWS($P$5:$P525),$O$5:$O$625,0),2),"")</f>
        <v/>
      </c>
      <c r="Q525">
        <f>IF(ISNUMBER(FIND($Q$3,$B526)),MAXA($Q$4:Q524)+1,0)</f>
        <v>521</v>
      </c>
      <c r="R525" t="str">
        <f>IFERROR(INDEX($B$5:$Q$625,MATCH(ROWS($R$5:$R525),$Q$5:$Q$625,0),1),"")</f>
        <v>3689-24-5</v>
      </c>
    </row>
    <row r="526" spans="2:18" x14ac:dyDescent="0.2">
      <c r="B526" s="225" t="s">
        <v>1357</v>
      </c>
      <c r="C526" s="226" t="s">
        <v>1358</v>
      </c>
      <c r="D526" s="227">
        <v>5</v>
      </c>
      <c r="E526" s="227">
        <v>20</v>
      </c>
      <c r="F526" s="227"/>
      <c r="G526" s="226"/>
      <c r="H526" s="227"/>
      <c r="I526" s="227"/>
      <c r="J526" s="227"/>
      <c r="K526" s="228"/>
      <c r="O526">
        <f>IF(ISNUMBER(FIND($O$3,$C527)),MAXA($O$4:O525)+1,0)</f>
        <v>0</v>
      </c>
      <c r="P526" t="str">
        <f>IFERROR(INDEX($B$5:$O$625,MATCH(ROWS($P$5:$P526),$O$5:$O$625,0),2),"")</f>
        <v/>
      </c>
      <c r="Q526">
        <f>IF(ISNUMBER(FIND($Q$3,$B527)),MAXA($Q$4:Q525)+1,0)</f>
        <v>522</v>
      </c>
      <c r="R526" t="str">
        <f>IFERROR(INDEX($B$5:$Q$625,MATCH(ROWS($R$5:$R526),$Q$5:$Q$625,0),1),"")</f>
        <v>2699-79-8</v>
      </c>
    </row>
    <row r="527" spans="2:18" x14ac:dyDescent="0.2">
      <c r="B527" s="225"/>
      <c r="C527" s="230" t="s">
        <v>1359</v>
      </c>
      <c r="D527" s="227"/>
      <c r="E527" s="227">
        <v>5</v>
      </c>
      <c r="F527" s="227"/>
      <c r="G527" s="226"/>
      <c r="H527" s="227"/>
      <c r="I527" s="227"/>
      <c r="J527" s="227"/>
      <c r="K527" s="228"/>
      <c r="O527">
        <f>IF(ISNUMBER(FIND($O$3,$C528)),MAXA($O$4:O526)+1,0)</f>
        <v>0</v>
      </c>
      <c r="P527" t="str">
        <f>IFERROR(INDEX($B$5:$O$625,MATCH(ROWS($P$5:$P527),$O$5:$O$625,0),2),"")</f>
        <v/>
      </c>
      <c r="Q527">
        <f>IF(ISNUMBER(FIND($Q$3,$B528)),MAXA($Q$4:Q526)+1,0)</f>
        <v>523</v>
      </c>
      <c r="R527">
        <f>IFERROR(INDEX($B$5:$Q$625,MATCH(ROWS($R$5:$R527),$Q$5:$Q$625,0),1),"")</f>
        <v>0</v>
      </c>
    </row>
    <row r="528" spans="2:18" x14ac:dyDescent="0.2">
      <c r="B528" s="225">
        <v>2025884</v>
      </c>
      <c r="C528" s="226" t="s">
        <v>1360</v>
      </c>
      <c r="D528" s="227">
        <v>0.8</v>
      </c>
      <c r="E528" s="227">
        <v>2</v>
      </c>
      <c r="F528" s="227"/>
      <c r="G528" s="226"/>
      <c r="H528" s="227"/>
      <c r="I528" s="227"/>
      <c r="J528" s="227"/>
      <c r="K528" s="228"/>
      <c r="O528">
        <f>IF(ISNUMBER(FIND($O$3,$C529)),MAXA($O$4:O527)+1,0)</f>
        <v>0</v>
      </c>
      <c r="P528" t="str">
        <f>IFERROR(INDEX($B$5:$O$625,MATCH(ROWS($P$5:$P528),$O$5:$O$625,0),2),"")</f>
        <v/>
      </c>
      <c r="Q528">
        <f>IF(ISNUMBER(FIND($Q$3,$B529)),MAXA($Q$4:Q527)+1,0)</f>
        <v>524</v>
      </c>
      <c r="R528">
        <f>IFERROR(INDEX($B$5:$Q$625,MATCH(ROWS($R$5:$R528),$Q$5:$Q$625,0),1),"")</f>
        <v>2025884</v>
      </c>
    </row>
    <row r="529" spans="2:18" x14ac:dyDescent="0.2">
      <c r="B529" s="225" t="s">
        <v>1361</v>
      </c>
      <c r="C529" s="226" t="s">
        <v>1362</v>
      </c>
      <c r="D529" s="227">
        <v>1000</v>
      </c>
      <c r="E529" s="227">
        <v>6000</v>
      </c>
      <c r="F529" s="227"/>
      <c r="G529" s="226"/>
      <c r="H529" s="227"/>
      <c r="I529" s="227"/>
      <c r="J529" s="227"/>
      <c r="K529" s="228"/>
      <c r="O529">
        <f>IF(ISNUMBER(FIND($O$3,$C530)),MAXA($O$4:O528)+1,0)</f>
        <v>0</v>
      </c>
      <c r="P529" t="str">
        <f>IFERROR(INDEX($B$5:$O$625,MATCH(ROWS($P$5:$P529),$O$5:$O$625,0),2),"")</f>
        <v/>
      </c>
      <c r="Q529">
        <f>IF(ISNUMBER(FIND($Q$3,$B530)),MAXA($Q$4:Q528)+1,0)</f>
        <v>525</v>
      </c>
      <c r="R529" t="str">
        <f>IFERROR(INDEX($B$5:$Q$625,MATCH(ROWS($R$5:$R529),$Q$5:$Q$625,0),1),"")</f>
        <v>2551-62-4</v>
      </c>
    </row>
    <row r="530" spans="2:18" x14ac:dyDescent="0.2">
      <c r="B530" s="225" t="s">
        <v>1363</v>
      </c>
      <c r="C530" s="226" t="s">
        <v>1364</v>
      </c>
      <c r="D530" s="227"/>
      <c r="E530" s="227"/>
      <c r="F530" s="227"/>
      <c r="G530" s="226"/>
      <c r="H530" s="227"/>
      <c r="I530" s="227">
        <v>0.01</v>
      </c>
      <c r="J530" s="227">
        <v>0.1</v>
      </c>
      <c r="K530" s="228"/>
      <c r="O530">
        <f>IF(ISNUMBER(FIND($O$3,$C531)),MAXA($O$4:O529)+1,0)</f>
        <v>0</v>
      </c>
      <c r="P530" t="str">
        <f>IFERROR(INDEX($B$5:$O$625,MATCH(ROWS($P$5:$P530),$O$5:$O$625,0),2),"")</f>
        <v/>
      </c>
      <c r="Q530">
        <f>IF(ISNUMBER(FIND($Q$3,$B531)),MAXA($Q$4:Q529)+1,0)</f>
        <v>526</v>
      </c>
      <c r="R530" t="str">
        <f>IFERROR(INDEX($B$5:$Q$625,MATCH(ROWS($R$5:$R530),$Q$5:$Q$625,0),1),"")</f>
        <v>5714-22-7</v>
      </c>
    </row>
    <row r="531" spans="2:18" x14ac:dyDescent="0.2">
      <c r="B531" s="225" t="s">
        <v>1365</v>
      </c>
      <c r="C531" s="226" t="s">
        <v>1366</v>
      </c>
      <c r="D531" s="227"/>
      <c r="E531" s="227">
        <v>0.1</v>
      </c>
      <c r="F531" s="227"/>
      <c r="G531" s="226"/>
      <c r="H531" s="227"/>
      <c r="I531" s="227"/>
      <c r="J531" s="227"/>
      <c r="K531" s="228"/>
      <c r="O531">
        <f>IF(ISNUMBER(FIND($O$3,$C532)),MAXA($O$4:O530)+1,0)</f>
        <v>0</v>
      </c>
      <c r="P531" t="str">
        <f>IFERROR(INDEX($B$5:$O$625,MATCH(ROWS($P$5:$P531),$O$5:$O$625,0),2),"")</f>
        <v/>
      </c>
      <c r="Q531">
        <f>IF(ISNUMBER(FIND($Q$3,$B532)),MAXA($Q$4:Q530)+1,0)</f>
        <v>527</v>
      </c>
      <c r="R531" t="str">
        <f>IFERROR(INDEX($B$5:$Q$625,MATCH(ROWS($R$5:$R531),$Q$5:$Q$625,0),1),"")</f>
        <v>7664-93-9</v>
      </c>
    </row>
    <row r="532" spans="2:18" x14ac:dyDescent="0.2">
      <c r="B532" s="225" t="s">
        <v>1367</v>
      </c>
      <c r="C532" s="226" t="s">
        <v>1368</v>
      </c>
      <c r="D532" s="227">
        <v>0.1</v>
      </c>
      <c r="E532" s="227">
        <v>0.4</v>
      </c>
      <c r="F532" s="227"/>
      <c r="G532" s="226"/>
      <c r="H532" s="227"/>
      <c r="I532" s="227"/>
      <c r="J532" s="227"/>
      <c r="K532" s="228"/>
      <c r="O532">
        <f>IF(ISNUMBER(FIND($O$3,$C533)),MAXA($O$4:O531)+1,0)</f>
        <v>0</v>
      </c>
      <c r="P532" t="str">
        <f>IFERROR(INDEX($B$5:$O$625,MATCH(ROWS($P$5:$P532),$O$5:$O$625,0),2),"")</f>
        <v/>
      </c>
      <c r="Q532">
        <f>IF(ISNUMBER(FIND($Q$3,$B533)),MAXA($Q$4:Q531)+1,0)</f>
        <v>528</v>
      </c>
      <c r="R532" t="str">
        <f>IFERROR(INDEX($B$5:$Q$625,MATCH(ROWS($R$5:$R532),$Q$5:$Q$625,0),1),"")</f>
        <v>7783-60-0</v>
      </c>
    </row>
    <row r="533" spans="2:18" x14ac:dyDescent="0.2">
      <c r="B533" s="225" t="s">
        <v>1369</v>
      </c>
      <c r="C533" s="226" t="s">
        <v>1370</v>
      </c>
      <c r="D533" s="227">
        <v>150</v>
      </c>
      <c r="E533" s="227">
        <v>525</v>
      </c>
      <c r="F533" s="227"/>
      <c r="G533" s="226"/>
      <c r="H533" s="227"/>
      <c r="I533" s="227"/>
      <c r="J533" s="227"/>
      <c r="K533" s="228"/>
      <c r="O533">
        <f>IF(ISNUMBER(FIND($O$3,$C534)),MAXA($O$4:O532)+1,0)</f>
        <v>0</v>
      </c>
      <c r="P533" t="str">
        <f>IFERROR(INDEX($B$5:$O$625,MATCH(ROWS($P$5:$P533),$O$5:$O$625,0),2),"")</f>
        <v/>
      </c>
      <c r="Q533">
        <f>IF(ISNUMBER(FIND($Q$3,$B534)),MAXA($Q$4:Q532)+1,0)</f>
        <v>529</v>
      </c>
      <c r="R533" t="str">
        <f>IFERROR(INDEX($B$5:$Q$625,MATCH(ROWS($R$5:$R533),$Q$5:$Q$625,0),1),"")</f>
        <v>110-82-7</v>
      </c>
    </row>
    <row r="534" spans="2:18" x14ac:dyDescent="0.2">
      <c r="B534" s="225" t="s">
        <v>1371</v>
      </c>
      <c r="C534" s="226" t="s">
        <v>1372</v>
      </c>
      <c r="D534" s="227">
        <v>25</v>
      </c>
      <c r="E534" s="227">
        <v>100</v>
      </c>
      <c r="F534" s="227"/>
      <c r="G534" s="226"/>
      <c r="H534" s="227"/>
      <c r="I534" s="227"/>
      <c r="J534" s="227"/>
      <c r="K534" s="228"/>
      <c r="O534">
        <f>IF(ISNUMBER(FIND($O$3,$C535)),MAXA($O$4:O533)+1,0)</f>
        <v>0</v>
      </c>
      <c r="P534" t="str">
        <f>IFERROR(INDEX($B$5:$O$625,MATCH(ROWS($P$5:$P534),$O$5:$O$625,0),2),"")</f>
        <v/>
      </c>
      <c r="Q534">
        <f>IF(ISNUMBER(FIND($Q$3,$B535)),MAXA($Q$4:Q533)+1,0)</f>
        <v>530</v>
      </c>
      <c r="R534" t="str">
        <f>IFERROR(INDEX($B$5:$Q$625,MATCH(ROWS($R$5:$R534),$Q$5:$Q$625,0),1),"")</f>
        <v>108-93-0</v>
      </c>
    </row>
    <row r="535" spans="2:18" x14ac:dyDescent="0.2">
      <c r="B535" s="225" t="s">
        <v>1373</v>
      </c>
      <c r="C535" s="226" t="s">
        <v>1374</v>
      </c>
      <c r="D535" s="227">
        <v>10</v>
      </c>
      <c r="E535" s="227">
        <v>40</v>
      </c>
      <c r="F535" s="227"/>
      <c r="G535" s="226">
        <v>20</v>
      </c>
      <c r="H535" s="227">
        <v>80</v>
      </c>
      <c r="I535" s="227"/>
      <c r="J535" s="227"/>
      <c r="K535" s="228"/>
      <c r="O535">
        <f>IF(ISNUMBER(FIND($O$3,$C536)),MAXA($O$4:O534)+1,0)</f>
        <v>0</v>
      </c>
      <c r="P535" t="str">
        <f>IFERROR(INDEX($B$5:$O$625,MATCH(ROWS($P$5:$P535),$O$5:$O$625,0),2),"")</f>
        <v/>
      </c>
      <c r="Q535">
        <f>IF(ISNUMBER(FIND($Q$3,$B536)),MAXA($Q$4:Q534)+1,0)</f>
        <v>531</v>
      </c>
      <c r="R535" t="str">
        <f>IFERROR(INDEX($B$5:$Q$625,MATCH(ROWS($R$5:$R535),$Q$5:$Q$625,0),1),"")</f>
        <v>108-94-1</v>
      </c>
    </row>
    <row r="536" spans="2:18" x14ac:dyDescent="0.2">
      <c r="B536" s="225" t="s">
        <v>1375</v>
      </c>
      <c r="C536" s="226" t="s">
        <v>1376</v>
      </c>
      <c r="D536" s="227">
        <v>150</v>
      </c>
      <c r="E536" s="227">
        <v>510</v>
      </c>
      <c r="F536" s="227"/>
      <c r="G536" s="226"/>
      <c r="H536" s="227"/>
      <c r="I536" s="227"/>
      <c r="J536" s="227"/>
      <c r="K536" s="228"/>
      <c r="O536">
        <f>IF(ISNUMBER(FIND($O$3,$C537)),MAXA($O$4:O535)+1,0)</f>
        <v>0</v>
      </c>
      <c r="P536" t="str">
        <f>IFERROR(INDEX($B$5:$O$625,MATCH(ROWS($P$5:$P536),$O$5:$O$625,0),2),"")</f>
        <v/>
      </c>
      <c r="Q536">
        <f>IF(ISNUMBER(FIND($Q$3,$B537)),MAXA($Q$4:Q535)+1,0)</f>
        <v>532</v>
      </c>
      <c r="R536" t="str">
        <f>IFERROR(INDEX($B$5:$Q$625,MATCH(ROWS($R$5:$R536),$Q$5:$Q$625,0),1),"")</f>
        <v>110-83-8</v>
      </c>
    </row>
    <row r="537" spans="2:18" x14ac:dyDescent="0.2">
      <c r="B537" s="225" t="s">
        <v>1377</v>
      </c>
      <c r="C537" s="226" t="s">
        <v>1378</v>
      </c>
      <c r="D537" s="227">
        <v>10</v>
      </c>
      <c r="E537" s="227">
        <v>40</v>
      </c>
      <c r="F537" s="227"/>
      <c r="G537" s="226"/>
      <c r="H537" s="227"/>
      <c r="I537" s="227"/>
      <c r="J537" s="227"/>
      <c r="K537" s="228"/>
      <c r="O537">
        <f>IF(ISNUMBER(FIND($O$3,$C538)),MAXA($O$4:O536)+1,0)</f>
        <v>0</v>
      </c>
      <c r="P537" t="str">
        <f>IFERROR(INDEX($B$5:$O$625,MATCH(ROWS($P$5:$P537),$O$5:$O$625,0),2),"")</f>
        <v/>
      </c>
      <c r="Q537">
        <f>IF(ISNUMBER(FIND($Q$3,$B538)),MAXA($Q$4:Q536)+1,0)</f>
        <v>533</v>
      </c>
      <c r="R537" t="str">
        <f>IFERROR(INDEX($B$5:$Q$625,MATCH(ROWS($R$5:$R537),$Q$5:$Q$625,0),1),"")</f>
        <v>108-91-8</v>
      </c>
    </row>
    <row r="538" spans="2:18" x14ac:dyDescent="0.2">
      <c r="B538" s="225" t="s">
        <v>1379</v>
      </c>
      <c r="C538" s="226" t="s">
        <v>1380</v>
      </c>
      <c r="D538" s="227">
        <v>40</v>
      </c>
      <c r="E538" s="227">
        <v>110</v>
      </c>
      <c r="F538" s="227"/>
      <c r="G538" s="226"/>
      <c r="H538" s="227"/>
      <c r="I538" s="227"/>
      <c r="J538" s="227"/>
      <c r="K538" s="228"/>
      <c r="O538">
        <f>IF(ISNUMBER(FIND($O$3,$C539)),MAXA($O$4:O537)+1,0)</f>
        <v>0</v>
      </c>
      <c r="P538" t="str">
        <f>IFERROR(INDEX($B$5:$O$625,MATCH(ROWS($P$5:$P538),$O$5:$O$625,0),2),"")</f>
        <v/>
      </c>
      <c r="Q538">
        <f>IF(ISNUMBER(FIND($Q$3,$B539)),MAXA($Q$4:Q537)+1,0)</f>
        <v>534</v>
      </c>
      <c r="R538" t="str">
        <f>IFERROR(INDEX($B$5:$Q$625,MATCH(ROWS($R$5:$R538),$Q$5:$Q$625,0),1),"")</f>
        <v>542-92-7</v>
      </c>
    </row>
    <row r="539" spans="2:18" x14ac:dyDescent="0.2">
      <c r="B539" s="225" t="s">
        <v>1381</v>
      </c>
      <c r="C539" s="226" t="s">
        <v>1382</v>
      </c>
      <c r="D539" s="227"/>
      <c r="E539" s="227">
        <v>0.1</v>
      </c>
      <c r="F539" s="227"/>
      <c r="G539" s="226"/>
      <c r="H539" s="227"/>
      <c r="I539" s="227"/>
      <c r="J539" s="227"/>
      <c r="K539" s="228"/>
      <c r="O539">
        <f>IF(ISNUMBER(FIND($O$3,$C540)),MAXA($O$4:O538)+1,0)</f>
        <v>0</v>
      </c>
      <c r="P539" t="str">
        <f>IFERROR(INDEX($B$5:$O$625,MATCH(ROWS($P$5:$P539),$O$5:$O$625,0),2),"")</f>
        <v/>
      </c>
      <c r="Q539">
        <f>IF(ISNUMBER(FIND($Q$3,$B540)),MAXA($Q$4:Q538)+1,0)</f>
        <v>535</v>
      </c>
      <c r="R539" t="str">
        <f>IFERROR(INDEX($B$5:$Q$625,MATCH(ROWS($R$5:$R539),$Q$5:$Q$625,0),1),"")</f>
        <v>7440-22-4</v>
      </c>
    </row>
    <row r="540" spans="2:18" x14ac:dyDescent="0.2">
      <c r="B540" s="225"/>
      <c r="C540" s="230" t="s">
        <v>1383</v>
      </c>
      <c r="D540" s="227"/>
      <c r="E540" s="227">
        <v>0.01</v>
      </c>
      <c r="F540" s="227"/>
      <c r="G540" s="226"/>
      <c r="H540" s="227"/>
      <c r="I540" s="227"/>
      <c r="J540" s="227"/>
      <c r="K540" s="228"/>
      <c r="O540">
        <f>IF(ISNUMBER(FIND($O$3,$C541)),MAXA($O$4:O539)+1,0)</f>
        <v>0</v>
      </c>
      <c r="P540" t="str">
        <f>IFERROR(INDEX($B$5:$O$625,MATCH(ROWS($P$5:$P540),$O$5:$O$625,0),2),"")</f>
        <v/>
      </c>
      <c r="Q540">
        <f>IF(ISNUMBER(FIND($Q$3,$B541)),MAXA($Q$4:Q539)+1,0)</f>
        <v>536</v>
      </c>
      <c r="R540">
        <f>IFERROR(INDEX($B$5:$Q$625,MATCH(ROWS($R$5:$R540),$Q$5:$Q$625,0),1),"")</f>
        <v>0</v>
      </c>
    </row>
    <row r="541" spans="2:18" x14ac:dyDescent="0.2">
      <c r="B541" s="225"/>
      <c r="C541" s="226" t="s">
        <v>1384</v>
      </c>
      <c r="D541" s="227"/>
      <c r="E541" s="227">
        <v>6</v>
      </c>
      <c r="F541" s="227"/>
      <c r="G541" s="226"/>
      <c r="H541" s="227"/>
      <c r="I541" s="227"/>
      <c r="J541" s="227"/>
      <c r="K541" s="228"/>
      <c r="O541">
        <f>IF(ISNUMBER(FIND($O$3,$C542)),MAXA($O$4:O540)+1,0)</f>
        <v>0</v>
      </c>
      <c r="P541" t="str">
        <f>IFERROR(INDEX($B$5:$O$625,MATCH(ROWS($P$5:$P541),$O$5:$O$625,0),2),"")</f>
        <v/>
      </c>
      <c r="Q541">
        <f>IF(ISNUMBER(FIND($Q$3,$B542)),MAXA($Q$4:Q540)+1,0)</f>
        <v>537</v>
      </c>
      <c r="R541">
        <f>IFERROR(INDEX($B$5:$Q$625,MATCH(ROWS($R$5:$R541),$Q$5:$Q$625,0),1),"")</f>
        <v>0</v>
      </c>
    </row>
    <row r="542" spans="2:18" x14ac:dyDescent="0.2">
      <c r="B542" s="225"/>
      <c r="C542" s="226" t="s">
        <v>1385</v>
      </c>
      <c r="D542" s="227"/>
      <c r="E542" s="227">
        <v>2</v>
      </c>
      <c r="F542" s="227"/>
      <c r="G542" s="226"/>
      <c r="H542" s="227"/>
      <c r="I542" s="227"/>
      <c r="J542" s="227"/>
      <c r="K542" s="228"/>
      <c r="O542">
        <f>IF(ISNUMBER(FIND($O$3,$C543)),MAXA($O$4:O541)+1,0)</f>
        <v>0</v>
      </c>
      <c r="P542" t="str">
        <f>IFERROR(INDEX($B$5:$O$625,MATCH(ROWS($P$5:$P542),$O$5:$O$625,0),2),"")</f>
        <v/>
      </c>
      <c r="Q542">
        <f>IF(ISNUMBER(FIND($Q$3,$B543)),MAXA($Q$4:Q541)+1,0)</f>
        <v>538</v>
      </c>
      <c r="R542">
        <f>IFERROR(INDEX($B$5:$Q$625,MATCH(ROWS($R$5:$R542),$Q$5:$Q$625,0),1),"")</f>
        <v>0</v>
      </c>
    </row>
    <row r="543" spans="2:18" x14ac:dyDescent="0.2">
      <c r="B543" s="225" t="s">
        <v>1386</v>
      </c>
      <c r="C543" s="226" t="s">
        <v>1387</v>
      </c>
      <c r="D543" s="227"/>
      <c r="E543" s="227">
        <v>0.1</v>
      </c>
      <c r="F543" s="227"/>
      <c r="G543" s="226"/>
      <c r="H543" s="227"/>
      <c r="I543" s="227"/>
      <c r="J543" s="227"/>
      <c r="K543" s="228"/>
      <c r="O543">
        <f>IF(ISNUMBER(FIND($O$3,$C544)),MAXA($O$4:O542)+1,0)</f>
        <v>0</v>
      </c>
      <c r="P543" t="str">
        <f>IFERROR(INDEX($B$5:$O$625,MATCH(ROWS($P$5:$P543),$O$5:$O$625,0),2),"")</f>
        <v/>
      </c>
      <c r="Q543">
        <f>IF(ISNUMBER(FIND($Q$3,$B544)),MAXA($Q$4:Q542)+1,0)</f>
        <v>539</v>
      </c>
      <c r="R543" t="str">
        <f>IFERROR(INDEX($B$5:$Q$625,MATCH(ROWS($R$5:$R543),$Q$5:$Q$625,0),1),"")</f>
        <v>13494-80-9</v>
      </c>
    </row>
    <row r="544" spans="2:18" x14ac:dyDescent="0.2">
      <c r="B544" s="225" t="s">
        <v>1388</v>
      </c>
      <c r="C544" s="226" t="s">
        <v>1389</v>
      </c>
      <c r="D544" s="227">
        <v>0.02</v>
      </c>
      <c r="E544" s="227">
        <v>0.2</v>
      </c>
      <c r="F544" s="227"/>
      <c r="G544" s="226"/>
      <c r="H544" s="227"/>
      <c r="I544" s="227"/>
      <c r="J544" s="227"/>
      <c r="K544" s="228"/>
      <c r="O544">
        <f>IF(ISNUMBER(FIND($O$3,$C545)),MAXA($O$4:O543)+1,0)</f>
        <v>0</v>
      </c>
      <c r="P544" t="str">
        <f>IFERROR(INDEX($B$5:$O$625,MATCH(ROWS($P$5:$P544),$O$5:$O$625,0),2),"")</f>
        <v/>
      </c>
      <c r="Q544">
        <f>IF(ISNUMBER(FIND($Q$3,$B545)),MAXA($Q$4:Q543)+1,0)</f>
        <v>540</v>
      </c>
      <c r="R544" t="str">
        <f>IFERROR(INDEX($B$5:$Q$625,MATCH(ROWS($R$5:$R544),$Q$5:$Q$625,0),1),"")</f>
        <v>7783-80-4</v>
      </c>
    </row>
    <row r="545" spans="2:18" x14ac:dyDescent="0.2">
      <c r="B545" s="225"/>
      <c r="C545" s="230" t="s">
        <v>1390</v>
      </c>
      <c r="D545" s="227"/>
      <c r="E545" s="227"/>
      <c r="F545" s="227"/>
      <c r="G545" s="226"/>
      <c r="H545" s="227"/>
      <c r="I545" s="226">
        <v>0.5</v>
      </c>
      <c r="J545" s="227">
        <v>4.5</v>
      </c>
      <c r="K545" s="228"/>
      <c r="O545">
        <f>IF(ISNUMBER(FIND($O$3,$C546)),MAXA($O$4:O544)+1,0)</f>
        <v>0</v>
      </c>
      <c r="P545" t="str">
        <f>IFERROR(INDEX($B$5:$O$625,MATCH(ROWS($P$5:$P545),$O$5:$O$625,0),2),"")</f>
        <v/>
      </c>
      <c r="Q545">
        <f>IF(ISNUMBER(FIND($Q$3,$B546)),MAXA($Q$4:Q544)+1,0)</f>
        <v>541</v>
      </c>
      <c r="R545">
        <f>IFERROR(INDEX($B$5:$Q$625,MATCH(ROWS($R$5:$R545),$Q$5:$Q$625,0),1),"")</f>
        <v>0</v>
      </c>
    </row>
    <row r="546" spans="2:18" x14ac:dyDescent="0.2">
      <c r="B546" s="225" t="s">
        <v>1391</v>
      </c>
      <c r="C546" s="226" t="s">
        <v>1392</v>
      </c>
      <c r="D546" s="227">
        <v>25</v>
      </c>
      <c r="E546" s="227">
        <v>140</v>
      </c>
      <c r="F546" s="227"/>
      <c r="G546" s="226"/>
      <c r="H546" s="227"/>
      <c r="I546" s="227"/>
      <c r="J546" s="227"/>
      <c r="K546" s="228"/>
      <c r="O546">
        <f>IF(ISNUMBER(FIND($O$3,$C547)),MAXA($O$4:O545)+1,0)</f>
        <v>0</v>
      </c>
      <c r="P546" t="str">
        <f>IFERROR(INDEX($B$5:$O$625,MATCH(ROWS($P$5:$P546),$O$5:$O$625,0),2),"")</f>
        <v/>
      </c>
      <c r="Q546">
        <f>IF(ISNUMBER(FIND($Q$3,$B547)),MAXA($Q$4:Q545)+1,0)</f>
        <v>542</v>
      </c>
      <c r="R546" t="str">
        <f>IFERROR(INDEX($B$5:$Q$625,MATCH(ROWS($R$5:$R546),$Q$5:$Q$625,0),1),"")</f>
        <v>8006-64-2</v>
      </c>
    </row>
    <row r="547" spans="2:18" x14ac:dyDescent="0.2">
      <c r="B547" s="225" t="s">
        <v>1393</v>
      </c>
      <c r="C547" s="226" t="s">
        <v>1394</v>
      </c>
      <c r="D547" s="227">
        <v>1</v>
      </c>
      <c r="E547" s="227">
        <v>14</v>
      </c>
      <c r="F547" s="227"/>
      <c r="G547" s="226"/>
      <c r="H547" s="227"/>
      <c r="I547" s="227"/>
      <c r="J547" s="227"/>
      <c r="K547" s="228"/>
      <c r="O547">
        <f>IF(ISNUMBER(FIND($O$3,$C548)),MAXA($O$4:O546)+1,0)</f>
        <v>0</v>
      </c>
      <c r="P547" t="str">
        <f>IFERROR(INDEX($B$5:$O$625,MATCH(ROWS($P$5:$P547),$O$5:$O$625,0),2),"")</f>
        <v/>
      </c>
      <c r="Q547">
        <f>IF(ISNUMBER(FIND($Q$3,$B548)),MAXA($Q$4:Q546)+1,0)</f>
        <v>543</v>
      </c>
      <c r="R547" t="str">
        <f>IFERROR(INDEX($B$5:$Q$625,MATCH(ROWS($R$5:$R547),$Q$5:$Q$625,0),1),"")</f>
        <v>79-27-6</v>
      </c>
    </row>
    <row r="548" spans="2:18" x14ac:dyDescent="0.2">
      <c r="B548" s="225" t="s">
        <v>1395</v>
      </c>
      <c r="C548" s="226" t="s">
        <v>1396</v>
      </c>
      <c r="D548" s="227">
        <v>0.01</v>
      </c>
      <c r="E548" s="227">
        <v>7.4999999999999997E-2</v>
      </c>
      <c r="F548" s="227"/>
      <c r="G548" s="226"/>
      <c r="H548" s="227"/>
      <c r="I548" s="227"/>
      <c r="J548" s="227"/>
      <c r="K548" s="228"/>
      <c r="O548">
        <f>IF(ISNUMBER(FIND($O$3,$C549)),MAXA($O$4:O547)+1,0)</f>
        <v>0</v>
      </c>
      <c r="P548" t="str">
        <f>IFERROR(INDEX($B$5:$O$625,MATCH(ROWS($P$5:$P548),$O$5:$O$625,0),2),"")</f>
        <v/>
      </c>
      <c r="Q548">
        <f>IF(ISNUMBER(FIND($Q$3,$B549)),MAXA($Q$4:Q547)+1,0)</f>
        <v>544</v>
      </c>
      <c r="R548" t="str">
        <f>IFERROR(INDEX($B$5:$Q$625,MATCH(ROWS($R$5:$R548),$Q$5:$Q$625,0),1),"")</f>
        <v>78-00-2</v>
      </c>
    </row>
    <row r="549" spans="2:18" x14ac:dyDescent="0.2">
      <c r="B549" s="225" t="s">
        <v>1397</v>
      </c>
      <c r="C549" s="226" t="s">
        <v>1398</v>
      </c>
      <c r="D549" s="227">
        <v>4.0000000000000001E-3</v>
      </c>
      <c r="E549" s="227">
        <v>0.05</v>
      </c>
      <c r="F549" s="227"/>
      <c r="G549" s="226"/>
      <c r="H549" s="227"/>
      <c r="I549" s="227"/>
      <c r="J549" s="227"/>
      <c r="K549" s="228"/>
      <c r="O549">
        <f>IF(ISNUMBER(FIND($O$3,$C550)),MAXA($O$4:O548)+1,0)</f>
        <v>0</v>
      </c>
      <c r="P549" t="str">
        <f>IFERROR(INDEX($B$5:$O$625,MATCH(ROWS($P$5:$P549),$O$5:$O$625,0),2),"")</f>
        <v/>
      </c>
      <c r="Q549">
        <f>IF(ISNUMBER(FIND($Q$3,$B550)),MAXA($Q$4:Q548)+1,0)</f>
        <v>545</v>
      </c>
      <c r="R549" t="str">
        <f>IFERROR(INDEX($B$5:$Q$625,MATCH(ROWS($R$5:$R549),$Q$5:$Q$625,0),1),"")</f>
        <v>107-49-3</v>
      </c>
    </row>
    <row r="550" spans="2:18" x14ac:dyDescent="0.2">
      <c r="B550" s="225" t="s">
        <v>1399</v>
      </c>
      <c r="C550" s="226" t="s">
        <v>1400</v>
      </c>
      <c r="D550" s="227">
        <v>500</v>
      </c>
      <c r="E550" s="227">
        <v>3500</v>
      </c>
      <c r="F550" s="227"/>
      <c r="G550" s="226"/>
      <c r="H550" s="227"/>
      <c r="I550" s="227"/>
      <c r="J550" s="227"/>
      <c r="K550" s="228"/>
      <c r="O550">
        <f>IF(ISNUMBER(FIND($O$3,$C551)),MAXA($O$4:O549)+1,0)</f>
        <v>0</v>
      </c>
      <c r="P550" t="str">
        <f>IFERROR(INDEX($B$5:$O$625,MATCH(ROWS($P$5:$P550),$O$5:$O$625,0),2),"")</f>
        <v/>
      </c>
      <c r="Q550">
        <f>IF(ISNUMBER(FIND($Q$3,$B551)),MAXA($Q$4:Q549)+1,0)</f>
        <v>546</v>
      </c>
      <c r="R550" t="str">
        <f>IFERROR(INDEX($B$5:$Q$625,MATCH(ROWS($R$5:$R550),$Q$5:$Q$625,0),1),"")</f>
        <v>76-14-2</v>
      </c>
    </row>
    <row r="551" spans="2:18" x14ac:dyDescent="0.2">
      <c r="B551" s="225" t="s">
        <v>1401</v>
      </c>
      <c r="C551" s="226" t="s">
        <v>1402</v>
      </c>
      <c r="D551" s="227">
        <v>50</v>
      </c>
      <c r="E551" s="227">
        <v>150</v>
      </c>
      <c r="F551" s="227"/>
      <c r="G551" s="226"/>
      <c r="H551" s="227"/>
      <c r="I551" s="227"/>
      <c r="J551" s="227"/>
      <c r="K551" s="228"/>
      <c r="O551">
        <f>IF(ISNUMBER(FIND($O$3,$C552)),MAXA($O$4:O550)+1,0)</f>
        <v>0</v>
      </c>
      <c r="P551" t="str">
        <f>IFERROR(INDEX($B$5:$O$625,MATCH(ROWS($P$5:$P551),$O$5:$O$625,0),2),"")</f>
        <v/>
      </c>
      <c r="Q551">
        <f>IF(ISNUMBER(FIND($Q$3,$B552)),MAXA($Q$4:Q550)+1,0)</f>
        <v>547</v>
      </c>
      <c r="R551" t="str">
        <f>IFERROR(INDEX($B$5:$Q$625,MATCH(ROWS($R$5:$R551),$Q$5:$Q$625,0),1),"")</f>
        <v>109-99-9</v>
      </c>
    </row>
    <row r="552" spans="2:18" x14ac:dyDescent="0.2">
      <c r="B552" s="225" t="s">
        <v>1403</v>
      </c>
      <c r="C552" s="226" t="s">
        <v>1404</v>
      </c>
      <c r="D552" s="227">
        <v>1</v>
      </c>
      <c r="E552" s="227">
        <v>7</v>
      </c>
      <c r="F552" s="227"/>
      <c r="G552" s="226"/>
      <c r="H552" s="227"/>
      <c r="I552" s="227"/>
      <c r="J552" s="227"/>
      <c r="K552" s="228"/>
      <c r="O552">
        <f>IF(ISNUMBER(FIND($O$3,$C553)),MAXA($O$4:O551)+1,0)</f>
        <v>0</v>
      </c>
      <c r="P552" t="str">
        <f>IFERROR(INDEX($B$5:$O$625,MATCH(ROWS($P$5:$P552),$O$5:$O$625,0),2),"")</f>
        <v/>
      </c>
      <c r="Q552">
        <f>IF(ISNUMBER(FIND($Q$3,$B553)),MAXA($Q$4:Q551)+1,0)</f>
        <v>548</v>
      </c>
      <c r="R552" t="str">
        <f>IFERROR(INDEX($B$5:$Q$625,MATCH(ROWS($R$5:$R552),$Q$5:$Q$625,0),1),"")</f>
        <v>79-34-5</v>
      </c>
    </row>
    <row r="553" spans="2:18" x14ac:dyDescent="0.2">
      <c r="B553" s="225" t="s">
        <v>1405</v>
      </c>
      <c r="C553" s="226" t="s">
        <v>1406</v>
      </c>
      <c r="D553" s="227">
        <v>6</v>
      </c>
      <c r="E553" s="227">
        <v>40</v>
      </c>
      <c r="F553" s="227"/>
      <c r="G553" s="226"/>
      <c r="H553" s="227"/>
      <c r="I553" s="227"/>
      <c r="J553" s="227"/>
      <c r="K553" s="228"/>
      <c r="O553">
        <f>IF(ISNUMBER(FIND($O$3,$C554)),MAXA($O$4:O552)+1,0)</f>
        <v>0</v>
      </c>
      <c r="P553" t="str">
        <f>IFERROR(INDEX($B$5:$O$625,MATCH(ROWS($P$5:$P553),$O$5:$O$625,0),2),"")</f>
        <v/>
      </c>
      <c r="Q553">
        <f>IF(ISNUMBER(FIND($Q$3,$B554)),MAXA($Q$4:Q552)+1,0)</f>
        <v>549</v>
      </c>
      <c r="R553" t="str">
        <f>IFERROR(INDEX($B$5:$Q$625,MATCH(ROWS($R$5:$R553),$Q$5:$Q$625,0),1),"")</f>
        <v>127-18-4</v>
      </c>
    </row>
    <row r="554" spans="2:18" x14ac:dyDescent="0.2">
      <c r="B554" s="225" t="s">
        <v>1407</v>
      </c>
      <c r="C554" s="226" t="s">
        <v>1408</v>
      </c>
      <c r="D554" s="227">
        <v>2</v>
      </c>
      <c r="E554" s="227">
        <v>13</v>
      </c>
      <c r="F554" s="227"/>
      <c r="G554" s="226"/>
      <c r="H554" s="227"/>
      <c r="I554" s="227"/>
      <c r="J554" s="227"/>
      <c r="K554" s="228"/>
      <c r="O554">
        <f>IF(ISNUMBER(FIND($O$3,$C555)),MAXA($O$4:O553)+1,0)</f>
        <v>0</v>
      </c>
      <c r="P554" t="str">
        <f>IFERROR(INDEX($B$5:$O$625,MATCH(ROWS($P$5:$P554),$O$5:$O$625,0),2),"")</f>
        <v/>
      </c>
      <c r="Q554">
        <f>IF(ISNUMBER(FIND($Q$3,$B555)),MAXA($Q$4:Q553)+1,0)</f>
        <v>550</v>
      </c>
      <c r="R554" t="str">
        <f>IFERROR(INDEX($B$5:$Q$625,MATCH(ROWS($R$5:$R554),$Q$5:$Q$625,0),1),"")</f>
        <v>56-23-5</v>
      </c>
    </row>
    <row r="555" spans="2:18" x14ac:dyDescent="0.2">
      <c r="B555" s="225" t="s">
        <v>1409</v>
      </c>
      <c r="C555" s="226" t="s">
        <v>1410</v>
      </c>
      <c r="D555" s="227"/>
      <c r="E555" s="227">
        <v>2</v>
      </c>
      <c r="F555" s="227"/>
      <c r="G555" s="226"/>
      <c r="H555" s="227"/>
      <c r="I555" s="227"/>
      <c r="J555" s="227"/>
      <c r="K555" s="228"/>
      <c r="O555">
        <f>IF(ISNUMBER(FIND($O$3,$C556)),MAXA($O$4:O554)+1,0)</f>
        <v>0</v>
      </c>
      <c r="P555" t="str">
        <f>IFERROR(INDEX($B$5:$O$625,MATCH(ROWS($P$5:$P555),$O$5:$O$625,0),2),"")</f>
        <v/>
      </c>
      <c r="Q555">
        <f>IF(ISNUMBER(FIND($Q$3,$B556)),MAXA($Q$4:Q554)+1,0)</f>
        <v>551</v>
      </c>
      <c r="R555" t="str">
        <f>IFERROR(INDEX($B$5:$Q$625,MATCH(ROWS($R$5:$R555),$Q$5:$Q$625,0),1),"")</f>
        <v>1335-88-2</v>
      </c>
    </row>
    <row r="556" spans="2:18" x14ac:dyDescent="0.2">
      <c r="B556" s="225" t="s">
        <v>1411</v>
      </c>
      <c r="C556" s="226" t="s">
        <v>1412</v>
      </c>
      <c r="D556" s="227">
        <v>0.01</v>
      </c>
      <c r="E556" s="227">
        <v>7.4999999999999997E-2</v>
      </c>
      <c r="F556" s="227"/>
      <c r="G556" s="226"/>
      <c r="H556" s="227"/>
      <c r="I556" s="227"/>
      <c r="J556" s="227"/>
      <c r="K556" s="228"/>
      <c r="O556">
        <f>IF(ISNUMBER(FIND($O$3,$C557)),MAXA($O$4:O555)+1,0)</f>
        <v>0</v>
      </c>
      <c r="P556" t="str">
        <f>IFERROR(INDEX($B$5:$O$625,MATCH(ROWS($P$5:$P556),$O$5:$O$625,0),2),"")</f>
        <v/>
      </c>
      <c r="Q556">
        <f>IF(ISNUMBER(FIND($Q$3,$B557)),MAXA($Q$4:Q555)+1,0)</f>
        <v>552</v>
      </c>
      <c r="R556" t="str">
        <f>IFERROR(INDEX($B$5:$Q$625,MATCH(ROWS($R$5:$R556),$Q$5:$Q$625,0),1),"")</f>
        <v>75-74-1</v>
      </c>
    </row>
    <row r="557" spans="2:18" x14ac:dyDescent="0.2">
      <c r="B557" s="225" t="s">
        <v>1413</v>
      </c>
      <c r="C557" s="226" t="s">
        <v>1414</v>
      </c>
      <c r="D557" s="227">
        <v>0.5</v>
      </c>
      <c r="E557" s="227">
        <v>3</v>
      </c>
      <c r="F557" s="227"/>
      <c r="G557" s="226"/>
      <c r="H557" s="227"/>
      <c r="I557" s="227"/>
      <c r="J557" s="227"/>
      <c r="K557" s="228"/>
      <c r="O557">
        <f>IF(ISNUMBER(FIND($O$3,$C558)),MAXA($O$4:O556)+1,0)</f>
        <v>0</v>
      </c>
      <c r="P557" t="str">
        <f>IFERROR(INDEX($B$5:$O$625,MATCH(ROWS($P$5:$P557),$O$5:$O$625,0),2),"")</f>
        <v/>
      </c>
      <c r="Q557">
        <f>IF(ISNUMBER(FIND($Q$3,$B558)),MAXA($Q$4:Q556)+1,0)</f>
        <v>553</v>
      </c>
      <c r="R557" t="str">
        <f>IFERROR(INDEX($B$5:$Q$625,MATCH(ROWS($R$5:$R557),$Q$5:$Q$625,0),1),"")</f>
        <v>3333-52-6</v>
      </c>
    </row>
    <row r="558" spans="2:18" x14ac:dyDescent="0.2">
      <c r="B558" s="225" t="s">
        <v>1415</v>
      </c>
      <c r="C558" s="226" t="s">
        <v>1416</v>
      </c>
      <c r="D558" s="227"/>
      <c r="E558" s="227">
        <v>5</v>
      </c>
      <c r="F558" s="227"/>
      <c r="G558" s="226"/>
      <c r="H558" s="227"/>
      <c r="I558" s="227"/>
      <c r="J558" s="227"/>
      <c r="K558" s="228"/>
      <c r="O558">
        <f>IF(ISNUMBER(FIND($O$3,$C559)),MAXA($O$4:O557)+1,0)</f>
        <v>0</v>
      </c>
      <c r="P558" t="str">
        <f>IFERROR(INDEX($B$5:$O$625,MATCH(ROWS($P$5:$P558),$O$5:$O$625,0),2),"")</f>
        <v/>
      </c>
      <c r="Q558">
        <f>IF(ISNUMBER(FIND($Q$3,$B559)),MAXA($Q$4:Q557)+1,0)</f>
        <v>554</v>
      </c>
      <c r="R558" t="str">
        <f>IFERROR(INDEX($B$5:$Q$625,MATCH(ROWS($R$5:$R558),$Q$5:$Q$625,0),1),"")</f>
        <v>7722-88-5</v>
      </c>
    </row>
    <row r="559" spans="2:18" x14ac:dyDescent="0.2">
      <c r="B559" s="225" t="s">
        <v>1417</v>
      </c>
      <c r="C559" s="226" t="s">
        <v>1418</v>
      </c>
      <c r="D559" s="227">
        <v>5.0000000000000001E-3</v>
      </c>
      <c r="E559" s="227">
        <v>0.04</v>
      </c>
      <c r="F559" s="227"/>
      <c r="G559" s="226"/>
      <c r="H559" s="227"/>
      <c r="I559" s="227"/>
      <c r="J559" s="227"/>
      <c r="K559" s="228"/>
      <c r="O559">
        <f>IF(ISNUMBER(FIND($O$3,$C560)),MAXA($O$4:O558)+1,0)</f>
        <v>0</v>
      </c>
      <c r="P559" t="str">
        <f>IFERROR(INDEX($B$5:$O$625,MATCH(ROWS($P$5:$P559),$O$5:$O$625,0),2),"")</f>
        <v/>
      </c>
      <c r="Q559">
        <f>IF(ISNUMBER(FIND($Q$3,$B560)),MAXA($Q$4:Q558)+1,0)</f>
        <v>555</v>
      </c>
      <c r="R559" t="str">
        <f>IFERROR(INDEX($B$5:$Q$625,MATCH(ROWS($R$5:$R559),$Q$5:$Q$625,0),1),"")</f>
        <v>509-14-8</v>
      </c>
    </row>
    <row r="560" spans="2:18" x14ac:dyDescent="0.2">
      <c r="B560" s="225"/>
      <c r="C560" s="230" t="s">
        <v>1419</v>
      </c>
      <c r="D560" s="226"/>
      <c r="E560" s="227">
        <v>0.1</v>
      </c>
      <c r="F560" s="227"/>
      <c r="G560" s="226"/>
      <c r="H560" s="227"/>
      <c r="I560" s="227"/>
      <c r="J560" s="227"/>
      <c r="K560" s="228"/>
      <c r="O560">
        <f>IF(ISNUMBER(FIND($O$3,$C561)),MAXA($O$4:O559)+1,0)</f>
        <v>0</v>
      </c>
      <c r="P560" t="str">
        <f>IFERROR(INDEX($B$5:$O$625,MATCH(ROWS($P$5:$P560),$O$5:$O$625,0),2),"")</f>
        <v/>
      </c>
      <c r="Q560">
        <f>IF(ISNUMBER(FIND($Q$3,$B561)),MAXA($Q$4:Q559)+1,0)</f>
        <v>556</v>
      </c>
      <c r="R560">
        <f>IFERROR(INDEX($B$5:$Q$625,MATCH(ROWS($R$5:$R560),$Q$5:$Q$625,0),1),"")</f>
        <v>0</v>
      </c>
    </row>
    <row r="561" spans="2:18" x14ac:dyDescent="0.2">
      <c r="B561" s="225">
        <v>2125597</v>
      </c>
      <c r="C561" s="226" t="s">
        <v>1420</v>
      </c>
      <c r="D561" s="227"/>
      <c r="E561" s="227"/>
      <c r="F561" s="227"/>
      <c r="G561" s="226"/>
      <c r="H561" s="227"/>
      <c r="I561" s="227">
        <v>1</v>
      </c>
      <c r="J561" s="227">
        <v>5</v>
      </c>
      <c r="K561" s="228"/>
      <c r="O561">
        <f>IF(ISNUMBER(FIND($O$3,$C562)),MAXA($O$4:O560)+1,0)</f>
        <v>0</v>
      </c>
      <c r="P561" t="str">
        <f>IFERROR(INDEX($B$5:$O$625,MATCH(ROWS($P$5:$P561),$O$5:$O$625,0),2),"")</f>
        <v/>
      </c>
      <c r="Q561">
        <f>IF(ISNUMBER(FIND($Q$3,$B562)),MAXA($Q$4:Q560)+1,0)</f>
        <v>557</v>
      </c>
      <c r="R561">
        <f>IFERROR(INDEX($B$5:$Q$625,MATCH(ROWS($R$5:$R561),$Q$5:$Q$625,0),1),"")</f>
        <v>2125597</v>
      </c>
    </row>
    <row r="562" spans="2:18" x14ac:dyDescent="0.2">
      <c r="B562" s="225"/>
      <c r="C562" s="230" t="s">
        <v>1421</v>
      </c>
      <c r="D562" s="226"/>
      <c r="E562" s="227">
        <v>0.1</v>
      </c>
      <c r="F562" s="227"/>
      <c r="G562" s="226"/>
      <c r="H562" s="227"/>
      <c r="I562" s="227"/>
      <c r="J562" s="227"/>
      <c r="K562" s="228"/>
      <c r="O562">
        <f>IF(ISNUMBER(FIND($O$3,$C563)),MAXA($O$4:O561)+1,0)</f>
        <v>0</v>
      </c>
      <c r="P562" t="str">
        <f>IFERROR(INDEX($B$5:$O$625,MATCH(ROWS($P$5:$P562),$O$5:$O$625,0),2),"")</f>
        <v/>
      </c>
      <c r="Q562">
        <f>IF(ISNUMBER(FIND($Q$3,$B563)),MAXA($Q$4:Q561)+1,0)</f>
        <v>558</v>
      </c>
      <c r="R562">
        <f>IFERROR(INDEX($B$5:$Q$625,MATCH(ROWS($R$5:$R562),$Q$5:$Q$625,0),1),"")</f>
        <v>0</v>
      </c>
    </row>
    <row r="563" spans="2:18" x14ac:dyDescent="0.2">
      <c r="B563" s="225"/>
      <c r="C563" s="230" t="s">
        <v>1422</v>
      </c>
      <c r="D563" s="226"/>
      <c r="E563" s="227">
        <v>2</v>
      </c>
      <c r="F563" s="227"/>
      <c r="G563" s="226"/>
      <c r="H563" s="227"/>
      <c r="I563" s="227"/>
      <c r="J563" s="227"/>
      <c r="K563" s="228"/>
      <c r="O563">
        <f>IF(ISNUMBER(FIND($O$3,$C564)),MAXA($O$4:O562)+1,0)</f>
        <v>0</v>
      </c>
      <c r="P563" t="str">
        <f>IFERROR(INDEX($B$5:$O$625,MATCH(ROWS($P$5:$P563),$O$5:$O$625,0),2),"")</f>
        <v/>
      </c>
      <c r="Q563">
        <f>IF(ISNUMBER(FIND($Q$3,$B564)),MAXA($Q$4:Q562)+1,0)</f>
        <v>559</v>
      </c>
      <c r="R563">
        <f>IFERROR(INDEX($B$5:$Q$625,MATCH(ROWS($R$5:$R563),$Q$5:$Q$625,0),1),"")</f>
        <v>0</v>
      </c>
    </row>
    <row r="564" spans="2:18" x14ac:dyDescent="0.2">
      <c r="B564" s="225" t="s">
        <v>1423</v>
      </c>
      <c r="C564" s="226" t="s">
        <v>1424</v>
      </c>
      <c r="D564" s="227">
        <v>1</v>
      </c>
      <c r="E564" s="227">
        <v>5</v>
      </c>
      <c r="F564" s="227"/>
      <c r="G564" s="226"/>
      <c r="H564" s="227"/>
      <c r="I564" s="227"/>
      <c r="J564" s="227"/>
      <c r="K564" s="228"/>
      <c r="O564">
        <f>IF(ISNUMBER(FIND($O$3,$C565)),MAXA($O$4:O563)+1,0)</f>
        <v>0</v>
      </c>
      <c r="P564" t="str">
        <f>IFERROR(INDEX($B$5:$O$625,MATCH(ROWS($P$5:$P564),$O$5:$O$625,0),2),"")</f>
        <v/>
      </c>
      <c r="Q564">
        <f>IF(ISNUMBER(FIND($Q$3,$B565)),MAXA($Q$4:Q563)+1,0)</f>
        <v>560</v>
      </c>
      <c r="R564" t="str">
        <f>IFERROR(INDEX($B$5:$Q$625,MATCH(ROWS($R$5:$R564),$Q$5:$Q$625,0),1),"")</f>
        <v>68-11-1</v>
      </c>
    </row>
    <row r="565" spans="2:18" x14ac:dyDescent="0.2">
      <c r="B565" s="225" t="s">
        <v>1425</v>
      </c>
      <c r="C565" s="226" t="s">
        <v>1426</v>
      </c>
      <c r="D565" s="227"/>
      <c r="E565" s="227">
        <v>5</v>
      </c>
      <c r="F565" s="227"/>
      <c r="G565" s="226"/>
      <c r="H565" s="227"/>
      <c r="I565" s="227"/>
      <c r="J565" s="227"/>
      <c r="K565" s="228"/>
      <c r="O565">
        <f>IF(ISNUMBER(FIND($O$3,$C566)),MAXA($O$4:O564)+1,0)</f>
        <v>0</v>
      </c>
      <c r="P565" t="str">
        <f>IFERROR(INDEX($B$5:$O$625,MATCH(ROWS($P$5:$P565),$O$5:$O$625,0),2),"")</f>
        <v/>
      </c>
      <c r="Q565">
        <f>IF(ISNUMBER(FIND($Q$3,$B566)),MAXA($Q$4:Q564)+1,0)</f>
        <v>561</v>
      </c>
      <c r="R565" t="str">
        <f>IFERROR(INDEX($B$5:$Q$625,MATCH(ROWS($R$5:$R565),$Q$5:$Q$625,0),1),"")</f>
        <v>137-26-8</v>
      </c>
    </row>
    <row r="566" spans="2:18" x14ac:dyDescent="0.2">
      <c r="B566" s="225" t="s">
        <v>1427</v>
      </c>
      <c r="C566" s="226" t="s">
        <v>1428</v>
      </c>
      <c r="D566" s="227"/>
      <c r="E566" s="227">
        <v>5</v>
      </c>
      <c r="F566" s="227"/>
      <c r="G566" s="226"/>
      <c r="H566" s="227"/>
      <c r="I566" s="227"/>
      <c r="J566" s="227"/>
      <c r="K566" s="228"/>
      <c r="O566">
        <f>IF(ISNUMBER(FIND($O$3,$C567)),MAXA($O$4:O565)+1,0)</f>
        <v>0</v>
      </c>
      <c r="P566" t="str">
        <f>IFERROR(INDEX($B$5:$O$625,MATCH(ROWS($P$5:$P566),$O$5:$O$625,0),2),"")</f>
        <v/>
      </c>
      <c r="Q566">
        <f>IF(ISNUMBER(FIND($Q$3,$B567)),MAXA($Q$4:Q565)+1,0)</f>
        <v>562</v>
      </c>
      <c r="R566" t="str">
        <f>IFERROR(INDEX($B$5:$Q$625,MATCH(ROWS($R$5:$R566),$Q$5:$Q$625,0),1),"")</f>
        <v>13463-67-7</v>
      </c>
    </row>
    <row r="567" spans="2:18" x14ac:dyDescent="0.2">
      <c r="B567" s="225" t="s">
        <v>1429</v>
      </c>
      <c r="C567" s="226" t="s">
        <v>1430</v>
      </c>
      <c r="D567" s="227">
        <v>25</v>
      </c>
      <c r="E567" s="227">
        <v>94</v>
      </c>
      <c r="F567" s="227"/>
      <c r="G567" s="226"/>
      <c r="H567" s="227"/>
      <c r="I567" s="227"/>
      <c r="J567" s="227"/>
      <c r="K567" s="228"/>
      <c r="O567">
        <f>IF(ISNUMBER(FIND($O$3,$C568)),MAXA($O$4:O566)+1,0)</f>
        <v>0</v>
      </c>
      <c r="P567" t="str">
        <f>IFERROR(INDEX($B$5:$O$625,MATCH(ROWS($P$5:$P567),$O$5:$O$625,0),2),"")</f>
        <v/>
      </c>
      <c r="Q567">
        <f>IF(ISNUMBER(FIND($Q$3,$B568)),MAXA($Q$4:Q566)+1,0)</f>
        <v>563</v>
      </c>
      <c r="R567" t="str">
        <f>IFERROR(INDEX($B$5:$Q$625,MATCH(ROWS($R$5:$R567),$Q$5:$Q$625,0),1),"")</f>
        <v>108-88-3</v>
      </c>
    </row>
    <row r="568" spans="2:18" x14ac:dyDescent="0.2">
      <c r="B568" s="225" t="s">
        <v>1431</v>
      </c>
      <c r="C568" s="226" t="s">
        <v>1432</v>
      </c>
      <c r="D568" s="227">
        <v>5.0000000000000001E-3</v>
      </c>
      <c r="E568" s="227">
        <v>3.5000000000000003E-2</v>
      </c>
      <c r="F568" s="227"/>
      <c r="G568" s="226"/>
      <c r="H568" s="227"/>
      <c r="I568" s="227">
        <v>0.01</v>
      </c>
      <c r="J568" s="227"/>
      <c r="K568" s="228"/>
      <c r="O568">
        <f>IF(ISNUMBER(FIND($O$3,$C569)),MAXA($O$4:O567)+1,0)</f>
        <v>0</v>
      </c>
      <c r="P568" t="str">
        <f>IFERROR(INDEX($B$5:$O$625,MATCH(ROWS($P$5:$P568),$O$5:$O$625,0),2),"")</f>
        <v/>
      </c>
      <c r="Q568">
        <f>IF(ISNUMBER(FIND($Q$3,$B569)),MAXA($Q$4:Q567)+1,0)</f>
        <v>564</v>
      </c>
      <c r="R568" t="str">
        <f>IFERROR(INDEX($B$5:$Q$625,MATCH(ROWS($R$5:$R568),$Q$5:$Q$625,0),1),"")</f>
        <v>584-84-9</v>
      </c>
    </row>
    <row r="569" spans="2:18" x14ac:dyDescent="0.2">
      <c r="B569" s="225" t="s">
        <v>1433</v>
      </c>
      <c r="C569" s="226" t="s">
        <v>1434</v>
      </c>
      <c r="D569" s="227">
        <v>5.0000000000000001E-3</v>
      </c>
      <c r="E569" s="227">
        <v>3.5000000000000003E-2</v>
      </c>
      <c r="F569" s="227"/>
      <c r="G569" s="226"/>
      <c r="H569" s="227"/>
      <c r="I569" s="227">
        <v>0.01</v>
      </c>
      <c r="J569" s="227"/>
      <c r="K569" s="228"/>
      <c r="O569">
        <f>IF(ISNUMBER(FIND($O$3,$C570)),MAXA($O$4:O568)+1,0)</f>
        <v>0</v>
      </c>
      <c r="P569" t="str">
        <f>IFERROR(INDEX($B$5:$O$625,MATCH(ROWS($P$5:$P569),$O$5:$O$625,0),2),"")</f>
        <v/>
      </c>
      <c r="Q569">
        <f>IF(ISNUMBER(FIND($Q$3,$B570)),MAXA($Q$4:Q568)+1,0)</f>
        <v>565</v>
      </c>
      <c r="R569" t="str">
        <f>IFERROR(INDEX($B$5:$Q$625,MATCH(ROWS($R$5:$R569),$Q$5:$Q$625,0),1),"")</f>
        <v>91-08-7</v>
      </c>
    </row>
    <row r="570" spans="2:18" x14ac:dyDescent="0.2">
      <c r="B570" s="225" t="s">
        <v>1435</v>
      </c>
      <c r="C570" s="226" t="s">
        <v>1436</v>
      </c>
      <c r="D570" s="227">
        <v>1</v>
      </c>
      <c r="E570" s="227">
        <v>4.5</v>
      </c>
      <c r="F570" s="227"/>
      <c r="G570" s="226"/>
      <c r="H570" s="227"/>
      <c r="I570" s="227"/>
      <c r="J570" s="227"/>
      <c r="K570" s="228"/>
      <c r="O570">
        <f>IF(ISNUMBER(FIND($O$3,$C571)),MAXA($O$4:O569)+1,0)</f>
        <v>0</v>
      </c>
      <c r="P570" t="str">
        <f>IFERROR(INDEX($B$5:$O$625,MATCH(ROWS($P$5:$P570),$O$5:$O$625,0),2),"")</f>
        <v/>
      </c>
      <c r="Q570">
        <f>IF(ISNUMBER(FIND($Q$3,$B571)),MAXA($Q$4:Q569)+1,0)</f>
        <v>566</v>
      </c>
      <c r="R570" t="str">
        <f>IFERROR(INDEX($B$5:$Q$625,MATCH(ROWS($R$5:$R570),$Q$5:$Q$625,0),1),"")</f>
        <v>95-53-4</v>
      </c>
    </row>
    <row r="571" spans="2:18" x14ac:dyDescent="0.2">
      <c r="B571" s="225"/>
      <c r="C571" s="226" t="s">
        <v>1437</v>
      </c>
      <c r="D571" s="227"/>
      <c r="E571" s="227">
        <v>1</v>
      </c>
      <c r="F571" s="227"/>
      <c r="G571" s="226"/>
      <c r="H571" s="227"/>
      <c r="I571" s="227"/>
      <c r="J571" s="227"/>
      <c r="K571" s="228"/>
      <c r="O571">
        <f>IF(ISNUMBER(FIND($O$3,$C572)),MAXA($O$4:O570)+1,0)</f>
        <v>0</v>
      </c>
      <c r="P571" t="str">
        <f>IFERROR(INDEX($B$5:$O$625,MATCH(ROWS($P$5:$P571),$O$5:$O$625,0),2),"")</f>
        <v/>
      </c>
      <c r="Q571">
        <f>IF(ISNUMBER(FIND($Q$3,$B572)),MAXA($Q$4:Q570)+1,0)</f>
        <v>567</v>
      </c>
      <c r="R571">
        <f>IFERROR(INDEX($B$5:$Q$625,MATCH(ROWS($R$5:$R571),$Q$5:$Q$625,0),1),"")</f>
        <v>0</v>
      </c>
    </row>
    <row r="572" spans="2:18" x14ac:dyDescent="0.2">
      <c r="B572" s="225"/>
      <c r="C572" s="230" t="s">
        <v>1438</v>
      </c>
      <c r="D572" s="227"/>
      <c r="E572" s="227">
        <v>2</v>
      </c>
      <c r="F572" s="227"/>
      <c r="G572" s="226"/>
      <c r="H572" s="227"/>
      <c r="I572" s="227"/>
      <c r="J572" s="227"/>
      <c r="K572" s="228"/>
      <c r="O572">
        <f>IF(ISNUMBER(FIND($O$3,$C573)),MAXA($O$4:O571)+1,0)</f>
        <v>0</v>
      </c>
      <c r="P572" t="str">
        <f>IFERROR(INDEX($B$5:$O$625,MATCH(ROWS($P$5:$P572),$O$5:$O$625,0),2),"")</f>
        <v/>
      </c>
      <c r="Q572">
        <f>IF(ISNUMBER(FIND($Q$3,$B573)),MAXA($Q$4:Q571)+1,0)</f>
        <v>568</v>
      </c>
      <c r="R572">
        <f>IFERROR(INDEX($B$5:$Q$625,MATCH(ROWS($R$5:$R572),$Q$5:$Q$625,0),1),"")</f>
        <v>0</v>
      </c>
    </row>
    <row r="573" spans="2:18" x14ac:dyDescent="0.2">
      <c r="B573" s="225" t="s">
        <v>1439</v>
      </c>
      <c r="C573" s="226" t="s">
        <v>1440</v>
      </c>
      <c r="D573" s="227">
        <v>0.5</v>
      </c>
      <c r="E573" s="227">
        <v>5</v>
      </c>
      <c r="F573" s="227"/>
      <c r="G573" s="226"/>
      <c r="H573" s="227"/>
      <c r="I573" s="227"/>
      <c r="J573" s="227"/>
      <c r="K573" s="228"/>
      <c r="O573">
        <f>IF(ISNUMBER(FIND($O$3,$C574)),MAXA($O$4:O572)+1,0)</f>
        <v>0</v>
      </c>
      <c r="P573" t="str">
        <f>IFERROR(INDEX($B$5:$O$625,MATCH(ROWS($P$5:$P573),$O$5:$O$625,0),2),"")</f>
        <v/>
      </c>
      <c r="Q573">
        <f>IF(ISNUMBER(FIND($Q$3,$B574)),MAXA($Q$4:Q572)+1,0)</f>
        <v>569</v>
      </c>
      <c r="R573" t="str">
        <f>IFERROR(INDEX($B$5:$Q$625,MATCH(ROWS($R$5:$R573),$Q$5:$Q$625,0),1),"")</f>
        <v>75-25-2</v>
      </c>
    </row>
    <row r="574" spans="2:18" x14ac:dyDescent="0.2">
      <c r="B574" s="225" t="s">
        <v>1441</v>
      </c>
      <c r="C574" s="226" t="s">
        <v>1442</v>
      </c>
      <c r="D574" s="227">
        <v>0.2</v>
      </c>
      <c r="E574" s="227">
        <v>2.5</v>
      </c>
      <c r="F574" s="227"/>
      <c r="G574" s="226"/>
      <c r="H574" s="227"/>
      <c r="I574" s="227"/>
      <c r="J574" s="227"/>
      <c r="K574" s="228"/>
      <c r="O574">
        <f>IF(ISNUMBER(FIND($O$3,$C575)),MAXA($O$4:O573)+1,0)</f>
        <v>0</v>
      </c>
      <c r="P574" t="str">
        <f>IFERROR(INDEX($B$5:$O$625,MATCH(ROWS($P$5:$P574),$O$5:$O$625,0),2),"")</f>
        <v/>
      </c>
      <c r="Q574">
        <f>IF(ISNUMBER(FIND($Q$3,$B575)),MAXA($Q$4:Q573)+1,0)</f>
        <v>570</v>
      </c>
      <c r="R574" t="str">
        <f>IFERROR(INDEX($B$5:$Q$625,MATCH(ROWS($R$5:$R574),$Q$5:$Q$625,0),1),"")</f>
        <v>126-73-8</v>
      </c>
    </row>
    <row r="575" spans="2:18" x14ac:dyDescent="0.2">
      <c r="B575" s="225" t="s">
        <v>1443</v>
      </c>
      <c r="C575" s="226" t="s">
        <v>1444</v>
      </c>
      <c r="D575" s="227"/>
      <c r="E575" s="227">
        <v>0.15</v>
      </c>
      <c r="F575" s="227"/>
      <c r="G575" s="226"/>
      <c r="H575" s="227"/>
      <c r="I575" s="227"/>
      <c r="J575" s="227"/>
      <c r="K575" s="228"/>
      <c r="O575">
        <f>IF(ISNUMBER(FIND($O$3,$C576)),MAXA($O$4:O574)+1,0)</f>
        <v>0</v>
      </c>
      <c r="P575" t="str">
        <f>IFERROR(INDEX($B$5:$O$625,MATCH(ROWS($P$5:$P575),$O$5:$O$625,0),2),"")</f>
        <v/>
      </c>
      <c r="Q575">
        <f>IF(ISNUMBER(FIND($Q$3,$B576)),MAXA($Q$4:Q574)+1,0)</f>
        <v>571</v>
      </c>
      <c r="R575" t="str">
        <f>IFERROR(INDEX($B$5:$Q$625,MATCH(ROWS($R$5:$R575),$Q$5:$Q$625,0),1),"")</f>
        <v>15468-32-3</v>
      </c>
    </row>
    <row r="576" spans="2:18" x14ac:dyDescent="0.2">
      <c r="B576" s="225" t="s">
        <v>1443</v>
      </c>
      <c r="C576" s="226" t="s">
        <v>1445</v>
      </c>
      <c r="D576" s="227"/>
      <c r="E576" s="227">
        <v>0.05</v>
      </c>
      <c r="F576" s="227"/>
      <c r="G576" s="226"/>
      <c r="H576" s="227"/>
      <c r="I576" s="227"/>
      <c r="J576" s="227"/>
      <c r="K576" s="228"/>
      <c r="O576">
        <f>IF(ISNUMBER(FIND($O$3,$C577)),MAXA($O$4:O575)+1,0)</f>
        <v>0</v>
      </c>
      <c r="P576" t="str">
        <f>IFERROR(INDEX($B$5:$O$625,MATCH(ROWS($P$5:$P576),$O$5:$O$625,0),2),"")</f>
        <v/>
      </c>
      <c r="Q576">
        <f>IF(ISNUMBER(FIND($Q$3,$B577)),MAXA($Q$4:Q575)+1,0)</f>
        <v>572</v>
      </c>
      <c r="R576" t="str">
        <f>IFERROR(INDEX($B$5:$Q$625,MATCH(ROWS($R$5:$R576),$Q$5:$Q$625,0),1),"")</f>
        <v>15468-32-3</v>
      </c>
    </row>
    <row r="577" spans="2:18" x14ac:dyDescent="0.2">
      <c r="B577" s="225" t="s">
        <v>1446</v>
      </c>
      <c r="C577" s="226" t="s">
        <v>1447</v>
      </c>
      <c r="D577" s="227"/>
      <c r="E577" s="227">
        <v>5</v>
      </c>
      <c r="F577" s="227"/>
      <c r="G577" s="226"/>
      <c r="H577" s="227"/>
      <c r="I577" s="227"/>
      <c r="J577" s="227"/>
      <c r="K577" s="228"/>
      <c r="O577">
        <f>IF(ISNUMBER(FIND($O$3,$C578)),MAXA($O$4:O576)+1,0)</f>
        <v>0</v>
      </c>
      <c r="P577" t="str">
        <f>IFERROR(INDEX($B$5:$O$625,MATCH(ROWS($P$5:$P577),$O$5:$O$625,0),2),"")</f>
        <v/>
      </c>
      <c r="Q577">
        <f>IF(ISNUMBER(FIND($Q$3,$B578)),MAXA($Q$4:Q576)+1,0)</f>
        <v>573</v>
      </c>
      <c r="R577" t="str">
        <f>IFERROR(INDEX($B$5:$Q$625,MATCH(ROWS($R$5:$R577),$Q$5:$Q$625,0),1),"")</f>
        <v>102-71-6</v>
      </c>
    </row>
    <row r="578" spans="2:18" x14ac:dyDescent="0.2">
      <c r="B578" s="225" t="s">
        <v>1448</v>
      </c>
      <c r="C578" s="226" t="s">
        <v>1449</v>
      </c>
      <c r="D578" s="227">
        <v>2</v>
      </c>
      <c r="E578" s="227">
        <v>8</v>
      </c>
      <c r="F578" s="227"/>
      <c r="G578" s="226"/>
      <c r="H578" s="227"/>
      <c r="I578" s="227"/>
      <c r="J578" s="227"/>
      <c r="K578" s="228"/>
      <c r="O578">
        <f>IF(ISNUMBER(FIND($O$3,$C579)),MAXA($O$4:O577)+1,0)</f>
        <v>0</v>
      </c>
      <c r="P578" t="str">
        <f>IFERROR(INDEX($B$5:$O$625,MATCH(ROWS($P$5:$P578),$O$5:$O$625,0),2),"")</f>
        <v/>
      </c>
      <c r="Q578">
        <f>IF(ISNUMBER(FIND($Q$3,$B579)),MAXA($Q$4:Q577)+1,0)</f>
        <v>574</v>
      </c>
      <c r="R578" t="str">
        <f>IFERROR(INDEX($B$5:$Q$625,MATCH(ROWS($R$5:$R578),$Q$5:$Q$625,0),1),"")</f>
        <v>121-44-8</v>
      </c>
    </row>
    <row r="579" spans="2:18" x14ac:dyDescent="0.2">
      <c r="B579" s="225" t="s">
        <v>1450</v>
      </c>
      <c r="C579" s="226" t="s">
        <v>1451</v>
      </c>
      <c r="D579" s="227">
        <v>1</v>
      </c>
      <c r="E579" s="227">
        <v>6</v>
      </c>
      <c r="F579" s="227"/>
      <c r="G579" s="226"/>
      <c r="H579" s="227"/>
      <c r="I579" s="227"/>
      <c r="J579" s="227"/>
      <c r="K579" s="228"/>
      <c r="O579">
        <f>IF(ISNUMBER(FIND($O$3,$C580)),MAXA($O$4:O578)+1,0)</f>
        <v>0</v>
      </c>
      <c r="P579" t="str">
        <f>IFERROR(INDEX($B$5:$O$625,MATCH(ROWS($P$5:$P579),$O$5:$O$625,0),2),"")</f>
        <v/>
      </c>
      <c r="Q579">
        <f>IF(ISNUMBER(FIND($Q$3,$B580)),MAXA($Q$4:Q578)+1,0)</f>
        <v>575</v>
      </c>
      <c r="R579" t="str">
        <f>IFERROR(INDEX($B$5:$Q$625,MATCH(ROWS($R$5:$R579),$Q$5:$Q$625,0),1),"")</f>
        <v>112-24-3</v>
      </c>
    </row>
    <row r="580" spans="2:18" x14ac:dyDescent="0.2">
      <c r="B580" s="225" t="s">
        <v>1452</v>
      </c>
      <c r="C580" s="226" t="s">
        <v>1453</v>
      </c>
      <c r="D580" s="227"/>
      <c r="E580" s="227">
        <v>5</v>
      </c>
      <c r="F580" s="227"/>
      <c r="G580" s="226"/>
      <c r="H580" s="227"/>
      <c r="I580" s="227"/>
      <c r="J580" s="227"/>
      <c r="K580" s="228"/>
      <c r="O580">
        <f>IF(ISNUMBER(FIND($O$3,$C581)),MAXA($O$4:O579)+1,0)</f>
        <v>0</v>
      </c>
      <c r="P580" t="str">
        <f>IFERROR(INDEX($B$5:$O$625,MATCH(ROWS($P$5:$P580),$O$5:$O$625,0),2),"")</f>
        <v/>
      </c>
      <c r="Q580">
        <f>IF(ISNUMBER(FIND($Q$3,$B581)),MAXA($Q$4:Q579)+1,0)</f>
        <v>576</v>
      </c>
      <c r="R580" t="str">
        <f>IFERROR(INDEX($B$5:$Q$625,MATCH(ROWS($R$5:$R580),$Q$5:$Q$625,0),1),"")</f>
        <v>603-34-9</v>
      </c>
    </row>
    <row r="581" spans="2:18" x14ac:dyDescent="0.2">
      <c r="B581" s="225" t="s">
        <v>1454</v>
      </c>
      <c r="C581" s="226" t="s">
        <v>1455</v>
      </c>
      <c r="D581" s="227"/>
      <c r="E581" s="227">
        <v>3</v>
      </c>
      <c r="F581" s="227"/>
      <c r="G581" s="226"/>
      <c r="H581" s="227"/>
      <c r="I581" s="227"/>
      <c r="J581" s="227"/>
      <c r="K581" s="228"/>
      <c r="O581">
        <f>IF(ISNUMBER(FIND($O$3,$C582)),MAXA($O$4:O580)+1,0)</f>
        <v>0</v>
      </c>
      <c r="P581" t="str">
        <f>IFERROR(INDEX($B$5:$O$625,MATCH(ROWS($P$5:$P581),$O$5:$O$625,0),2),"")</f>
        <v/>
      </c>
      <c r="Q581">
        <f>IF(ISNUMBER(FIND($Q$3,$B582)),MAXA($Q$4:Q580)+1,0)</f>
        <v>577</v>
      </c>
      <c r="R581" t="str">
        <f>IFERROR(INDEX($B$5:$Q$625,MATCH(ROWS($R$5:$R581),$Q$5:$Q$625,0),1),"")</f>
        <v>115-86-6</v>
      </c>
    </row>
    <row r="582" spans="2:18" x14ac:dyDescent="0.2">
      <c r="B582" s="225" t="s">
        <v>1456</v>
      </c>
      <c r="C582" s="226" t="s">
        <v>1457</v>
      </c>
      <c r="D582" s="227">
        <v>500</v>
      </c>
      <c r="E582" s="227">
        <v>3800</v>
      </c>
      <c r="F582" s="227"/>
      <c r="G582" s="226"/>
      <c r="H582" s="227"/>
      <c r="I582" s="227"/>
      <c r="J582" s="227"/>
      <c r="K582" s="228"/>
      <c r="O582">
        <f>IF(ISNUMBER(FIND($O$3,$C583)),MAXA($O$4:O581)+1,0)</f>
        <v>0</v>
      </c>
      <c r="P582" t="str">
        <f>IFERROR(INDEX($B$5:$O$625,MATCH(ROWS($P$5:$P582),$O$5:$O$625,0),2),"")</f>
        <v/>
      </c>
      <c r="Q582">
        <f>IF(ISNUMBER(FIND($Q$3,$B583)),MAXA($Q$4:Q581)+1,0)</f>
        <v>578</v>
      </c>
      <c r="R582" t="str">
        <f>IFERROR(INDEX($B$5:$Q$625,MATCH(ROWS($R$5:$R582),$Q$5:$Q$625,0),1),"")</f>
        <v>76-13-1</v>
      </c>
    </row>
    <row r="583" spans="2:18" x14ac:dyDescent="0.2">
      <c r="B583" s="225" t="s">
        <v>1458</v>
      </c>
      <c r="C583" s="226" t="s">
        <v>1459</v>
      </c>
      <c r="D583" s="227">
        <v>0.2</v>
      </c>
      <c r="E583" s="227">
        <v>3</v>
      </c>
      <c r="F583" s="227"/>
      <c r="G583" s="226"/>
      <c r="H583" s="227"/>
      <c r="I583" s="227"/>
      <c r="J583" s="227"/>
      <c r="K583" s="228"/>
      <c r="O583">
        <f>IF(ISNUMBER(FIND($O$3,$C584)),MAXA($O$4:O582)+1,0)</f>
        <v>0</v>
      </c>
      <c r="P583" t="str">
        <f>IFERROR(INDEX($B$5:$O$625,MATCH(ROWS($P$5:$P583),$O$5:$O$625,0),2),"")</f>
        <v/>
      </c>
      <c r="Q583">
        <f>IF(ISNUMBER(FIND($Q$3,$B584)),MAXA($Q$4:Q582)+1,0)</f>
        <v>579</v>
      </c>
      <c r="R583" t="str">
        <f>IFERROR(INDEX($B$5:$Q$625,MATCH(ROWS($R$5:$R583),$Q$5:$Q$625,0),1),"")</f>
        <v>75-47-8</v>
      </c>
    </row>
    <row r="584" spans="2:18" x14ac:dyDescent="0.2">
      <c r="B584" s="225" t="s">
        <v>1460</v>
      </c>
      <c r="C584" s="226" t="s">
        <v>1461</v>
      </c>
      <c r="D584" s="227">
        <v>2</v>
      </c>
      <c r="E584" s="227">
        <v>15</v>
      </c>
      <c r="F584" s="227"/>
      <c r="G584" s="226"/>
      <c r="H584" s="227"/>
      <c r="I584" s="227"/>
      <c r="J584" s="227"/>
      <c r="K584" s="228"/>
      <c r="O584">
        <f>IF(ISNUMBER(FIND($O$3,$C585)),MAXA($O$4:O583)+1,0)</f>
        <v>0</v>
      </c>
      <c r="P584" t="str">
        <f>IFERROR(INDEX($B$5:$O$625,MATCH(ROWS($P$5:$P584),$O$5:$O$625,0),2),"")</f>
        <v/>
      </c>
      <c r="Q584">
        <f>IF(ISNUMBER(FIND($Q$3,$B585)),MAXA($Q$4:Q583)+1,0)</f>
        <v>580</v>
      </c>
      <c r="R584" t="str">
        <f>IFERROR(INDEX($B$5:$Q$625,MATCH(ROWS($R$5:$R584),$Q$5:$Q$625,0),1),"")</f>
        <v>120-82-1</v>
      </c>
    </row>
    <row r="585" spans="2:18" x14ac:dyDescent="0.2">
      <c r="B585" s="225" t="s">
        <v>1462</v>
      </c>
      <c r="C585" s="226" t="s">
        <v>1463</v>
      </c>
      <c r="D585" s="227">
        <v>0.75</v>
      </c>
      <c r="E585" s="227">
        <v>5</v>
      </c>
      <c r="F585" s="227"/>
      <c r="G585" s="226"/>
      <c r="H585" s="227"/>
      <c r="I585" s="227"/>
      <c r="J585" s="227"/>
      <c r="K585" s="228"/>
      <c r="O585">
        <f>IF(ISNUMBER(FIND($O$3,$C586)),MAXA($O$4:O584)+1,0)</f>
        <v>0</v>
      </c>
      <c r="P585" t="str">
        <f>IFERROR(INDEX($B$5:$O$625,MATCH(ROWS($P$5:$P585),$O$5:$O$625,0),2),"")</f>
        <v/>
      </c>
      <c r="Q585">
        <f>IF(ISNUMBER(FIND($Q$3,$B586)),MAXA($Q$4:Q584)+1,0)</f>
        <v>581</v>
      </c>
      <c r="R585" t="str">
        <f>IFERROR(INDEX($B$5:$Q$625,MATCH(ROWS($R$5:$R585),$Q$5:$Q$625,0),1),"")</f>
        <v>76-03-9</v>
      </c>
    </row>
    <row r="586" spans="2:18" x14ac:dyDescent="0.2">
      <c r="B586" s="225" t="s">
        <v>1464</v>
      </c>
      <c r="C586" s="226" t="s">
        <v>1465</v>
      </c>
      <c r="D586" s="227">
        <v>50</v>
      </c>
      <c r="E586" s="227">
        <v>270</v>
      </c>
      <c r="F586" s="227"/>
      <c r="G586" s="226"/>
      <c r="H586" s="227"/>
      <c r="I586" s="227"/>
      <c r="J586" s="227"/>
      <c r="K586" s="228"/>
      <c r="O586">
        <f>IF(ISNUMBER(FIND($O$3,$C587)),MAXA($O$4:O585)+1,0)</f>
        <v>0</v>
      </c>
      <c r="P586" t="str">
        <f>IFERROR(INDEX($B$5:$O$625,MATCH(ROWS($P$5:$P586),$O$5:$O$625,0),2),"")</f>
        <v/>
      </c>
      <c r="Q586">
        <f>IF(ISNUMBER(FIND($Q$3,$B587)),MAXA($Q$4:Q585)+1,0)</f>
        <v>582</v>
      </c>
      <c r="R586" t="str">
        <f>IFERROR(INDEX($B$5:$Q$625,MATCH(ROWS($R$5:$R586),$Q$5:$Q$625,0),1),"")</f>
        <v>71-55-6</v>
      </c>
    </row>
    <row r="587" spans="2:18" x14ac:dyDescent="0.2">
      <c r="B587" s="225" t="s">
        <v>1466</v>
      </c>
      <c r="C587" s="226" t="s">
        <v>1467</v>
      </c>
      <c r="D587" s="227">
        <v>10</v>
      </c>
      <c r="E587" s="227">
        <v>54</v>
      </c>
      <c r="F587" s="227"/>
      <c r="G587" s="226"/>
      <c r="H587" s="227"/>
      <c r="I587" s="227"/>
      <c r="J587" s="227"/>
      <c r="K587" s="228"/>
      <c r="O587">
        <f>IF(ISNUMBER(FIND($O$3,$C588)),MAXA($O$4:O586)+1,0)</f>
        <v>0</v>
      </c>
      <c r="P587" t="str">
        <f>IFERROR(INDEX($B$5:$O$625,MATCH(ROWS($P$5:$P587),$O$5:$O$625,0),2),"")</f>
        <v/>
      </c>
      <c r="Q587">
        <f>IF(ISNUMBER(FIND($Q$3,$B588)),MAXA($Q$4:Q586)+1,0)</f>
        <v>583</v>
      </c>
      <c r="R587" t="str">
        <f>IFERROR(INDEX($B$5:$Q$625,MATCH(ROWS($R$5:$R587),$Q$5:$Q$625,0),1),"")</f>
        <v>79-00-5</v>
      </c>
    </row>
    <row r="588" spans="2:18" x14ac:dyDescent="0.2">
      <c r="B588" s="225" t="s">
        <v>1468</v>
      </c>
      <c r="C588" s="226" t="s">
        <v>1469</v>
      </c>
      <c r="D588" s="227">
        <v>6</v>
      </c>
      <c r="E588" s="227">
        <v>33</v>
      </c>
      <c r="F588" s="227"/>
      <c r="G588" s="226"/>
      <c r="H588" s="227"/>
      <c r="I588" s="227"/>
      <c r="J588" s="227"/>
      <c r="K588" s="228"/>
      <c r="O588">
        <f>IF(ISNUMBER(FIND($O$3,$C589)),MAXA($O$4:O587)+1,0)</f>
        <v>0</v>
      </c>
      <c r="P588" t="str">
        <f>IFERROR(INDEX($B$5:$O$625,MATCH(ROWS($P$5:$P588),$O$5:$O$625,0),2),"")</f>
        <v/>
      </c>
      <c r="Q588">
        <f>IF(ISNUMBER(FIND($Q$3,$B589)),MAXA($Q$4:Q587)+1,0)</f>
        <v>584</v>
      </c>
      <c r="R588" t="str">
        <f>IFERROR(INDEX($B$5:$Q$625,MATCH(ROWS($R$5:$R588),$Q$5:$Q$625,0),1),"")</f>
        <v>79-01-6</v>
      </c>
    </row>
    <row r="589" spans="2:18" x14ac:dyDescent="0.2">
      <c r="B589" s="225" t="s">
        <v>1470</v>
      </c>
      <c r="C589" s="226" t="s">
        <v>1471</v>
      </c>
      <c r="D589" s="227"/>
      <c r="E589" s="227">
        <v>5</v>
      </c>
      <c r="F589" s="227"/>
      <c r="G589" s="226"/>
      <c r="H589" s="227"/>
      <c r="I589" s="227"/>
      <c r="J589" s="227"/>
      <c r="K589" s="228"/>
      <c r="O589">
        <f>IF(ISNUMBER(FIND($O$3,$C590)),MAXA($O$4:O588)+1,0)</f>
        <v>0</v>
      </c>
      <c r="P589" t="str">
        <f>IFERROR(INDEX($B$5:$O$625,MATCH(ROWS($P$5:$P589),$O$5:$O$625,0),2),"")</f>
        <v/>
      </c>
      <c r="Q589">
        <f>IF(ISNUMBER(FIND($Q$3,$B590)),MAXA($Q$4:Q588)+1,0)</f>
        <v>585</v>
      </c>
      <c r="R589" t="str">
        <f>IFERROR(INDEX($B$5:$Q$625,MATCH(ROWS($R$5:$R589),$Q$5:$Q$625,0),1),"")</f>
        <v>93-76-5</v>
      </c>
    </row>
    <row r="590" spans="2:18" x14ac:dyDescent="0.2">
      <c r="B590" s="225" t="s">
        <v>1472</v>
      </c>
      <c r="C590" s="226" t="s">
        <v>1473</v>
      </c>
      <c r="D590" s="227">
        <v>2</v>
      </c>
      <c r="E590" s="227">
        <v>10</v>
      </c>
      <c r="F590" s="227"/>
      <c r="G590" s="226"/>
      <c r="H590" s="227"/>
      <c r="I590" s="227"/>
      <c r="J590" s="227"/>
      <c r="K590" s="228"/>
      <c r="O590">
        <f>IF(ISNUMBER(FIND($O$3,$C591)),MAXA($O$4:O589)+1,0)</f>
        <v>0</v>
      </c>
      <c r="P590" t="str">
        <f>IFERROR(INDEX($B$5:$O$625,MATCH(ROWS($P$5:$P590),$O$5:$O$625,0),2),"")</f>
        <v/>
      </c>
      <c r="Q590">
        <f>IF(ISNUMBER(FIND($Q$3,$B591)),MAXA($Q$4:Q589)+1,0)</f>
        <v>586</v>
      </c>
      <c r="R590" t="str">
        <f>IFERROR(INDEX($B$5:$Q$625,MATCH(ROWS($R$5:$R590),$Q$5:$Q$625,0),1),"")</f>
        <v>67-66-3</v>
      </c>
    </row>
    <row r="591" spans="2:18" x14ac:dyDescent="0.2">
      <c r="B591" s="225" t="s">
        <v>1474</v>
      </c>
      <c r="C591" s="226" t="s">
        <v>1475</v>
      </c>
      <c r="D591" s="227">
        <v>0.1</v>
      </c>
      <c r="E591" s="227">
        <v>0.8</v>
      </c>
      <c r="F591" s="227"/>
      <c r="G591" s="226"/>
      <c r="H591" s="227"/>
      <c r="I591" s="227"/>
      <c r="J591" s="227"/>
      <c r="K591" s="228"/>
      <c r="O591">
        <f>IF(ISNUMBER(FIND($O$3,$C592)),MAXA($O$4:O590)+1,0)</f>
        <v>0</v>
      </c>
      <c r="P591" t="str">
        <f>IFERROR(INDEX($B$5:$O$625,MATCH(ROWS($P$5:$P591),$O$5:$O$625,0),2),"")</f>
        <v/>
      </c>
      <c r="Q591">
        <f>IF(ISNUMBER(FIND($Q$3,$B592)),MAXA($Q$4:Q590)+1,0)</f>
        <v>587</v>
      </c>
      <c r="R591" t="str">
        <f>IFERROR(INDEX($B$5:$Q$625,MATCH(ROWS($R$5:$R591),$Q$5:$Q$625,0),1),"")</f>
        <v>594-42-3</v>
      </c>
    </row>
    <row r="592" spans="2:18" x14ac:dyDescent="0.2">
      <c r="B592" s="225" t="s">
        <v>1476</v>
      </c>
      <c r="C592" s="226" t="s">
        <v>1477</v>
      </c>
      <c r="D592" s="227"/>
      <c r="E592" s="227">
        <v>5</v>
      </c>
      <c r="F592" s="227"/>
      <c r="G592" s="226"/>
      <c r="H592" s="227"/>
      <c r="I592" s="227"/>
      <c r="J592" s="227"/>
      <c r="K592" s="228"/>
      <c r="O592">
        <f>IF(ISNUMBER(FIND($O$3,$C593)),MAXA($O$4:O591)+1,0)</f>
        <v>0</v>
      </c>
      <c r="P592" t="str">
        <f>IFERROR(INDEX($B$5:$O$625,MATCH(ROWS($P$5:$P592),$O$5:$O$625,0),2),"")</f>
        <v/>
      </c>
      <c r="Q592">
        <f>IF(ISNUMBER(FIND($Q$3,$B593)),MAXA($Q$4:Q591)+1,0)</f>
        <v>588</v>
      </c>
      <c r="R592" t="str">
        <f>IFERROR(INDEX($B$5:$Q$625,MATCH(ROWS($R$5:$R592),$Q$5:$Q$625,0),1),"")</f>
        <v>1321-65-9</v>
      </c>
    </row>
    <row r="593" spans="2:18" x14ac:dyDescent="0.2">
      <c r="B593" s="225" t="s">
        <v>1478</v>
      </c>
      <c r="C593" s="226" t="s">
        <v>1479</v>
      </c>
      <c r="D593" s="227">
        <v>0.1</v>
      </c>
      <c r="E593" s="227">
        <v>0.7</v>
      </c>
      <c r="F593" s="227"/>
      <c r="G593" s="226"/>
      <c r="H593" s="227"/>
      <c r="I593" s="227"/>
      <c r="J593" s="227"/>
      <c r="K593" s="228"/>
      <c r="O593">
        <f>IF(ISNUMBER(FIND($O$3,$C594)),MAXA($O$4:O592)+1,0)</f>
        <v>0</v>
      </c>
      <c r="P593" t="str">
        <f>IFERROR(INDEX($B$5:$O$625,MATCH(ROWS($P$5:$P593),$O$5:$O$625,0),2),"")</f>
        <v/>
      </c>
      <c r="Q593">
        <f>IF(ISNUMBER(FIND($Q$3,$B594)),MAXA($Q$4:Q592)+1,0)</f>
        <v>589</v>
      </c>
      <c r="R593" t="str">
        <f>IFERROR(INDEX($B$5:$Q$625,MATCH(ROWS($R$5:$R593),$Q$5:$Q$625,0),1),"")</f>
        <v>76-06-2</v>
      </c>
    </row>
    <row r="594" spans="2:18" x14ac:dyDescent="0.2">
      <c r="B594" s="225" t="s">
        <v>1480</v>
      </c>
      <c r="C594" s="226" t="s">
        <v>1481</v>
      </c>
      <c r="D594" s="227">
        <v>10</v>
      </c>
      <c r="E594" s="227">
        <v>60</v>
      </c>
      <c r="F594" s="227"/>
      <c r="G594" s="226"/>
      <c r="H594" s="227"/>
      <c r="I594" s="227"/>
      <c r="J594" s="227"/>
      <c r="K594" s="228"/>
      <c r="O594">
        <f>IF(ISNUMBER(FIND($O$3,$C595)),MAXA($O$4:O593)+1,0)</f>
        <v>0</v>
      </c>
      <c r="P594" t="str">
        <f>IFERROR(INDEX($B$5:$O$625,MATCH(ROWS($P$5:$P594),$O$5:$O$625,0),2),"")</f>
        <v/>
      </c>
      <c r="Q594">
        <f>IF(ISNUMBER(FIND($Q$3,$B595)),MAXA($Q$4:Q593)+1,0)</f>
        <v>590</v>
      </c>
      <c r="R594" t="str">
        <f>IFERROR(INDEX($B$5:$Q$625,MATCH(ROWS($R$5:$R594),$Q$5:$Q$625,0),1),"")</f>
        <v>96-18-4</v>
      </c>
    </row>
    <row r="595" spans="2:18" x14ac:dyDescent="0.2">
      <c r="B595" s="225" t="s">
        <v>1482</v>
      </c>
      <c r="C595" s="226" t="s">
        <v>1483</v>
      </c>
      <c r="D595" s="227">
        <v>2</v>
      </c>
      <c r="E595" s="227">
        <v>4.9000000000000004</v>
      </c>
      <c r="F595" s="227"/>
      <c r="G595" s="226"/>
      <c r="H595" s="227"/>
      <c r="I595" s="227"/>
      <c r="J595" s="227"/>
      <c r="K595" s="228"/>
      <c r="O595">
        <f>IF(ISNUMBER(FIND($O$3,$C596)),MAXA($O$4:O594)+1,0)</f>
        <v>0</v>
      </c>
      <c r="P595" t="str">
        <f>IFERROR(INDEX($B$5:$O$625,MATCH(ROWS($P$5:$P595),$O$5:$O$625,0),2),"")</f>
        <v/>
      </c>
      <c r="Q595">
        <f>IF(ISNUMBER(FIND($Q$3,$B596)),MAXA($Q$4:Q594)+1,0)</f>
        <v>591</v>
      </c>
      <c r="R595" t="str">
        <f>IFERROR(INDEX($B$5:$Q$625,MATCH(ROWS($R$5:$R595),$Q$5:$Q$625,0),1),"")</f>
        <v>75-50-3</v>
      </c>
    </row>
    <row r="596" spans="2:18" x14ac:dyDescent="0.2">
      <c r="B596" s="225" t="s">
        <v>1484</v>
      </c>
      <c r="C596" s="226" t="s">
        <v>1485</v>
      </c>
      <c r="D596" s="227">
        <v>20</v>
      </c>
      <c r="E596" s="227">
        <v>100</v>
      </c>
      <c r="F596" s="227"/>
      <c r="G596" s="226"/>
      <c r="H596" s="227"/>
      <c r="I596" s="227"/>
      <c r="J596" s="227"/>
      <c r="K596" s="228"/>
      <c r="O596">
        <f>IF(ISNUMBER(FIND($O$3,$C597)),MAXA($O$4:O595)+1,0)</f>
        <v>0</v>
      </c>
      <c r="P596" t="str">
        <f>IFERROR(INDEX($B$5:$O$625,MATCH(ROWS($P$5:$P596),$O$5:$O$625,0),2),"")</f>
        <v/>
      </c>
      <c r="Q596">
        <f>IF(ISNUMBER(FIND($Q$3,$B597)),MAXA($Q$4:Q595)+1,0)</f>
        <v>592</v>
      </c>
      <c r="R596" t="str">
        <f>IFERROR(INDEX($B$5:$Q$625,MATCH(ROWS($R$5:$R596),$Q$5:$Q$625,0),1),"")</f>
        <v>526-73-8</v>
      </c>
    </row>
    <row r="597" spans="2:18" x14ac:dyDescent="0.2">
      <c r="B597" s="225" t="s">
        <v>1486</v>
      </c>
      <c r="C597" s="226" t="s">
        <v>1487</v>
      </c>
      <c r="D597" s="227">
        <v>20</v>
      </c>
      <c r="E597" s="227">
        <v>100</v>
      </c>
      <c r="F597" s="227"/>
      <c r="G597" s="226"/>
      <c r="H597" s="227"/>
      <c r="I597" s="227"/>
      <c r="J597" s="227"/>
      <c r="K597" s="228"/>
      <c r="O597">
        <f>IF(ISNUMBER(FIND($O$3,$C598)),MAXA($O$4:O596)+1,0)</f>
        <v>0</v>
      </c>
      <c r="P597" t="str">
        <f>IFERROR(INDEX($B$5:$O$625,MATCH(ROWS($P$5:$P597),$O$5:$O$625,0),2),"")</f>
        <v/>
      </c>
      <c r="Q597">
        <f>IF(ISNUMBER(FIND($Q$3,$B598)),MAXA($Q$4:Q596)+1,0)</f>
        <v>593</v>
      </c>
      <c r="R597" t="str">
        <f>IFERROR(INDEX($B$5:$Q$625,MATCH(ROWS($R$5:$R597),$Q$5:$Q$625,0),1),"")</f>
        <v>95-63-6</v>
      </c>
    </row>
    <row r="598" spans="2:18" x14ac:dyDescent="0.2">
      <c r="B598" s="225" t="s">
        <v>1488</v>
      </c>
      <c r="C598" s="226" t="s">
        <v>1489</v>
      </c>
      <c r="D598" s="227">
        <v>0.5</v>
      </c>
      <c r="E598" s="227">
        <v>2.6</v>
      </c>
      <c r="F598" s="227"/>
      <c r="G598" s="226"/>
      <c r="H598" s="227"/>
      <c r="I598" s="227"/>
      <c r="J598" s="227"/>
      <c r="K598" s="228"/>
      <c r="O598">
        <f>IF(ISNUMBER(FIND($O$3,$C599)),MAXA($O$4:O597)+1,0)</f>
        <v>0</v>
      </c>
      <c r="P598" t="str">
        <f>IFERROR(INDEX($B$5:$O$625,MATCH(ROWS($P$5:$P598),$O$5:$O$625,0),2),"")</f>
        <v/>
      </c>
      <c r="Q598">
        <f>IF(ISNUMBER(FIND($Q$3,$B599)),MAXA($Q$4:Q597)+1,0)</f>
        <v>594</v>
      </c>
      <c r="R598" t="str">
        <f>IFERROR(INDEX($B$5:$Q$625,MATCH(ROWS($R$5:$R598),$Q$5:$Q$625,0),1),"")</f>
        <v>121-45-9</v>
      </c>
    </row>
    <row r="599" spans="2:18" x14ac:dyDescent="0.2">
      <c r="B599" s="225" t="s">
        <v>1490</v>
      </c>
      <c r="C599" s="226" t="s">
        <v>1491</v>
      </c>
      <c r="D599" s="227"/>
      <c r="E599" s="227">
        <v>0.1</v>
      </c>
      <c r="F599" s="227"/>
      <c r="G599" s="226"/>
      <c r="H599" s="227"/>
      <c r="I599" s="227"/>
      <c r="J599" s="227"/>
      <c r="K599" s="228"/>
      <c r="O599">
        <f>IF(ISNUMBER(FIND($O$3,$C600)),MAXA($O$4:O598)+1,0)</f>
        <v>0</v>
      </c>
      <c r="P599" t="str">
        <f>IFERROR(INDEX($B$5:$O$625,MATCH(ROWS($P$5:$P599),$O$5:$O$625,0),2),"")</f>
        <v/>
      </c>
      <c r="Q599">
        <f>IF(ISNUMBER(FIND($Q$3,$B600)),MAXA($Q$4:Q598)+1,0)</f>
        <v>595</v>
      </c>
      <c r="R599" t="str">
        <f>IFERROR(INDEX($B$5:$Q$625,MATCH(ROWS($R$5:$R599),$Q$5:$Q$625,0),1),"")</f>
        <v>118-96-7</v>
      </c>
    </row>
    <row r="600" spans="2:18" x14ac:dyDescent="0.2">
      <c r="B600" s="225" t="s">
        <v>1492</v>
      </c>
      <c r="C600" s="226" t="s">
        <v>1493</v>
      </c>
      <c r="D600" s="227"/>
      <c r="E600" s="227">
        <v>0.1</v>
      </c>
      <c r="F600" s="227"/>
      <c r="G600" s="226"/>
      <c r="H600" s="227"/>
      <c r="I600" s="227"/>
      <c r="J600" s="227"/>
      <c r="K600" s="228"/>
      <c r="O600">
        <f>IF(ISNUMBER(FIND($O$3,$C601)),MAXA($O$4:O599)+1,0)</f>
        <v>0</v>
      </c>
      <c r="P600" t="str">
        <f>IFERROR(INDEX($B$5:$O$625,MATCH(ROWS($P$5:$P600),$O$5:$O$625,0),2),"")</f>
        <v/>
      </c>
      <c r="Q600">
        <f>IF(ISNUMBER(FIND($Q$3,$B601)),MAXA($Q$4:Q599)+1,0)</f>
        <v>596</v>
      </c>
      <c r="R600" t="str">
        <f>IFERROR(INDEX($B$5:$Q$625,MATCH(ROWS($R$5:$R600),$Q$5:$Q$625,0),1),"")</f>
        <v>78-30-8</v>
      </c>
    </row>
    <row r="601" spans="2:18" x14ac:dyDescent="0.2">
      <c r="B601" s="225"/>
      <c r="C601" s="230" t="s">
        <v>1494</v>
      </c>
      <c r="D601" s="227"/>
      <c r="E601" s="227"/>
      <c r="F601" s="227">
        <v>0.1</v>
      </c>
      <c r="G601" s="226"/>
      <c r="H601" s="227"/>
      <c r="I601" s="227"/>
      <c r="J601" s="227"/>
      <c r="K601" s="228"/>
      <c r="O601">
        <f>IF(ISNUMBER(FIND($O$3,$C602)),MAXA($O$4:O600)+1,0)</f>
        <v>0</v>
      </c>
      <c r="P601" t="str">
        <f>IFERROR(INDEX($B$5:$O$625,MATCH(ROWS($P$5:$P601),$O$5:$O$625,0),2),"")</f>
        <v/>
      </c>
      <c r="Q601">
        <f>IF(ISNUMBER(FIND($Q$3,$B602)),MAXA($Q$4:Q600)+1,0)</f>
        <v>597</v>
      </c>
      <c r="R601">
        <f>IFERROR(INDEX($B$5:$Q$625,MATCH(ROWS($R$5:$R601),$Q$5:$Q$625,0),1),"")</f>
        <v>0</v>
      </c>
    </row>
    <row r="602" spans="2:18" x14ac:dyDescent="0.2">
      <c r="B602" s="225"/>
      <c r="C602" s="230" t="s">
        <v>1495</v>
      </c>
      <c r="D602" s="227"/>
      <c r="E602" s="227">
        <v>0.5</v>
      </c>
      <c r="F602" s="227"/>
      <c r="G602" s="226"/>
      <c r="H602" s="227"/>
      <c r="I602" s="227"/>
      <c r="J602" s="227"/>
      <c r="K602" s="228"/>
      <c r="O602">
        <f>IF(ISNUMBER(FIND($O$3,$C603)),MAXA($O$4:O601)+1,0)</f>
        <v>0</v>
      </c>
      <c r="P602" t="str">
        <f>IFERROR(INDEX($B$5:$O$625,MATCH(ROWS($P$5:$P602),$O$5:$O$625,0),2),"")</f>
        <v/>
      </c>
      <c r="Q602">
        <f>IF(ISNUMBER(FIND($Q$3,$B603)),MAXA($Q$4:Q601)+1,0)</f>
        <v>598</v>
      </c>
      <c r="R602">
        <f>IFERROR(INDEX($B$5:$Q$625,MATCH(ROWS($R$5:$R602),$Q$5:$Q$625,0),1),"")</f>
        <v>0</v>
      </c>
    </row>
    <row r="603" spans="2:18" x14ac:dyDescent="0.2">
      <c r="B603" s="225"/>
      <c r="C603" s="230" t="s">
        <v>1496</v>
      </c>
      <c r="D603" s="227"/>
      <c r="E603" s="227">
        <v>0.2</v>
      </c>
      <c r="F603" s="227"/>
      <c r="G603" s="226"/>
      <c r="H603" s="227"/>
      <c r="I603" s="227"/>
      <c r="J603" s="227"/>
      <c r="K603" s="228"/>
      <c r="O603">
        <f>IF(ISNUMBER(FIND($O$3,$C604)),MAXA($O$4:O602)+1,0)</f>
        <v>0</v>
      </c>
      <c r="P603" t="str">
        <f>IFERROR(INDEX($B$5:$O$625,MATCH(ROWS($P$5:$P603),$O$5:$O$625,0),2),"")</f>
        <v/>
      </c>
      <c r="Q603">
        <f>IF(ISNUMBER(FIND($Q$3,$B604)),MAXA($Q$4:Q602)+1,0)</f>
        <v>599</v>
      </c>
      <c r="R603">
        <f>IFERROR(INDEX($B$5:$Q$625,MATCH(ROWS($R$5:$R603),$Q$5:$Q$625,0),1),"")</f>
        <v>0</v>
      </c>
    </row>
    <row r="604" spans="2:18" x14ac:dyDescent="0.2">
      <c r="B604" s="225" t="s">
        <v>1497</v>
      </c>
      <c r="C604" s="226" t="s">
        <v>1498</v>
      </c>
      <c r="D604" s="227">
        <v>25</v>
      </c>
      <c r="E604" s="227">
        <v>90</v>
      </c>
      <c r="F604" s="227"/>
      <c r="G604" s="226"/>
      <c r="H604" s="227"/>
      <c r="I604" s="227"/>
      <c r="J604" s="227"/>
      <c r="K604" s="228"/>
      <c r="O604">
        <f>IF(ISNUMBER(FIND($O$3,$C605)),MAXA($O$4:O603)+1,0)</f>
        <v>0</v>
      </c>
      <c r="P604" t="str">
        <f>IFERROR(INDEX($B$5:$O$625,MATCH(ROWS($P$5:$P604),$O$5:$O$625,0),2),"")</f>
        <v/>
      </c>
      <c r="Q604">
        <f>IF(ISNUMBER(FIND($Q$3,$B605)),MAXA($Q$4:Q603)+1,0)</f>
        <v>600</v>
      </c>
      <c r="R604" t="str">
        <f>IFERROR(INDEX($B$5:$Q$625,MATCH(ROWS($R$5:$R604),$Q$5:$Q$625,0),1),"")</f>
        <v>110-62-3</v>
      </c>
    </row>
    <row r="605" spans="2:18" x14ac:dyDescent="0.2">
      <c r="B605" s="225" t="s">
        <v>1499</v>
      </c>
      <c r="C605" s="230" t="s">
        <v>1500</v>
      </c>
      <c r="D605" s="226"/>
      <c r="E605" s="227"/>
      <c r="F605" s="227"/>
      <c r="G605" s="226"/>
      <c r="H605" s="227"/>
      <c r="I605" s="227"/>
      <c r="J605" s="227">
        <v>0.05</v>
      </c>
      <c r="K605" s="228"/>
      <c r="O605">
        <f>IF(ISNUMBER(FIND($O$3,$C606)),MAXA($O$4:O604)+1,0)</f>
        <v>0</v>
      </c>
      <c r="P605" t="str">
        <f>IFERROR(INDEX($B$5:$O$625,MATCH(ROWS($P$5:$P605),$O$5:$O$625,0),2),"")</f>
        <v/>
      </c>
      <c r="Q605">
        <f>IF(ISNUMBER(FIND($Q$3,$B606)),MAXA($Q$4:Q604)+1,0)</f>
        <v>601</v>
      </c>
      <c r="R605" t="str">
        <f>IFERROR(INDEX($B$5:$Q$625,MATCH(ROWS($R$5:$R605),$Q$5:$Q$625,0),1),"")</f>
        <v>7440-62-2</v>
      </c>
    </row>
    <row r="606" spans="2:18" x14ac:dyDescent="0.2">
      <c r="B606" s="225" t="s">
        <v>1499</v>
      </c>
      <c r="C606" s="230" t="s">
        <v>1501</v>
      </c>
      <c r="D606" s="226"/>
      <c r="E606" s="227">
        <v>0.2</v>
      </c>
      <c r="F606" s="227"/>
      <c r="G606" s="226"/>
      <c r="H606" s="227"/>
      <c r="I606" s="227"/>
      <c r="J606" s="227"/>
      <c r="K606" s="228"/>
      <c r="O606">
        <f>IF(ISNUMBER(FIND($O$3,$C607)),MAXA($O$4:O605)+1,0)</f>
        <v>0</v>
      </c>
      <c r="P606" t="str">
        <f>IFERROR(INDEX($B$5:$O$625,MATCH(ROWS($P$5:$P606),$O$5:$O$625,0),2),"")</f>
        <v/>
      </c>
      <c r="Q606">
        <f>IF(ISNUMBER(FIND($Q$3,$B607)),MAXA($Q$4:Q605)+1,0)</f>
        <v>602</v>
      </c>
      <c r="R606" t="str">
        <f>IFERROR(INDEX($B$5:$Q$625,MATCH(ROWS($R$5:$R606),$Q$5:$Q$625,0),1),"")</f>
        <v>7440-62-2</v>
      </c>
    </row>
    <row r="607" spans="2:18" x14ac:dyDescent="0.2">
      <c r="B607" s="225" t="s">
        <v>1502</v>
      </c>
      <c r="C607" s="226" t="s">
        <v>1503</v>
      </c>
      <c r="D607" s="227">
        <v>5</v>
      </c>
      <c r="E607" s="227">
        <v>17.600000000000001</v>
      </c>
      <c r="F607" s="227"/>
      <c r="G607" s="226">
        <v>10</v>
      </c>
      <c r="H607" s="227">
        <v>35.200000000000003</v>
      </c>
      <c r="I607" s="227"/>
      <c r="J607" s="227"/>
      <c r="K607" s="228"/>
      <c r="O607">
        <f>IF(ISNUMBER(FIND($O$3,$C608)),MAXA($O$4:O606)+1,0)</f>
        <v>0</v>
      </c>
      <c r="P607" t="str">
        <f>IFERROR(INDEX($B$5:$O$625,MATCH(ROWS($P$5:$P607),$O$5:$O$625,0),2),"")</f>
        <v/>
      </c>
      <c r="Q607">
        <f>IF(ISNUMBER(FIND($Q$3,$B608)),MAXA($Q$4:Q606)+1,0)</f>
        <v>603</v>
      </c>
      <c r="R607" t="str">
        <f>IFERROR(INDEX($B$5:$Q$625,MATCH(ROWS($R$5:$R607),$Q$5:$Q$625,0),1),"")</f>
        <v>108-05-4</v>
      </c>
    </row>
    <row r="608" spans="2:18" x14ac:dyDescent="0.2">
      <c r="B608" s="225" t="s">
        <v>1504</v>
      </c>
      <c r="C608" s="226" t="s">
        <v>1505</v>
      </c>
      <c r="D608" s="227">
        <v>1</v>
      </c>
      <c r="E608" s="227">
        <v>4</v>
      </c>
      <c r="F608" s="227"/>
      <c r="G608" s="226"/>
      <c r="H608" s="227"/>
      <c r="I608" s="227"/>
      <c r="J608" s="227"/>
      <c r="K608" s="228"/>
      <c r="O608">
        <f>IF(ISNUMBER(FIND($O$3,$C609)),MAXA($O$4:O607)+1,0)</f>
        <v>0</v>
      </c>
      <c r="P608" t="str">
        <f>IFERROR(INDEX($B$5:$O$625,MATCH(ROWS($P$5:$P608),$O$5:$O$625,0),2),"")</f>
        <v/>
      </c>
      <c r="Q608">
        <f>IF(ISNUMBER(FIND($Q$3,$B609)),MAXA($Q$4:Q607)+1,0)</f>
        <v>604</v>
      </c>
      <c r="R608" t="str">
        <f>IFERROR(INDEX($B$5:$Q$625,MATCH(ROWS($R$5:$R608),$Q$5:$Q$625,0),1),"")</f>
        <v>593-60-2</v>
      </c>
    </row>
    <row r="609" spans="2:18" x14ac:dyDescent="0.2">
      <c r="B609" s="225" t="s">
        <v>1506</v>
      </c>
      <c r="C609" s="226" t="s">
        <v>1507</v>
      </c>
      <c r="D609" s="227">
        <v>1</v>
      </c>
      <c r="E609" s="227">
        <v>3</v>
      </c>
      <c r="F609" s="227"/>
      <c r="G609" s="226"/>
      <c r="H609" s="227"/>
      <c r="I609" s="227"/>
      <c r="J609" s="227"/>
      <c r="K609" s="228"/>
      <c r="O609">
        <f>IF(ISNUMBER(FIND($O$3,$C610)),MAXA($O$4:O608)+1,0)</f>
        <v>0</v>
      </c>
      <c r="P609" t="str">
        <f>IFERROR(INDEX($B$5:$O$625,MATCH(ROWS($P$5:$P609),$O$5:$O$625,0),2),"")</f>
        <v/>
      </c>
      <c r="Q609">
        <f>IF(ISNUMBER(FIND($Q$3,$B610)),MAXA($Q$4:Q608)+1,0)</f>
        <v>605</v>
      </c>
      <c r="R609" t="str">
        <f>IFERROR(INDEX($B$5:$Q$625,MATCH(ROWS($R$5:$R609),$Q$5:$Q$625,0),1),"")</f>
        <v>75-01-4</v>
      </c>
    </row>
    <row r="610" spans="2:18" x14ac:dyDescent="0.2">
      <c r="B610" s="225" t="s">
        <v>1508</v>
      </c>
      <c r="C610" s="226" t="s">
        <v>1509</v>
      </c>
      <c r="D610" s="227">
        <v>10</v>
      </c>
      <c r="E610" s="227">
        <v>60</v>
      </c>
      <c r="F610" s="227"/>
      <c r="G610" s="226"/>
      <c r="H610" s="227"/>
      <c r="I610" s="227"/>
      <c r="J610" s="227"/>
      <c r="K610" s="228"/>
      <c r="O610">
        <f>IF(ISNUMBER(FIND($O$3,$C611)),MAXA($O$4:O609)+1,0)</f>
        <v>0</v>
      </c>
      <c r="P610" t="str">
        <f>IFERROR(INDEX($B$5:$O$625,MATCH(ROWS($P$5:$P610),$O$5:$O$625,0),2),"")</f>
        <v/>
      </c>
      <c r="Q610">
        <f>IF(ISNUMBER(FIND($Q$3,$B611)),MAXA($Q$4:Q609)+1,0)</f>
        <v>606</v>
      </c>
      <c r="R610" t="str">
        <f>IFERROR(INDEX($B$5:$Q$625,MATCH(ROWS($R$5:$R610),$Q$5:$Q$625,0),1),"")</f>
        <v>106-87-6</v>
      </c>
    </row>
    <row r="611" spans="2:18" x14ac:dyDescent="0.2">
      <c r="B611" s="225"/>
      <c r="C611" s="230" t="s">
        <v>1510</v>
      </c>
      <c r="D611" s="226">
        <v>50</v>
      </c>
      <c r="E611" s="227">
        <v>240</v>
      </c>
      <c r="F611" s="227"/>
      <c r="G611" s="226"/>
      <c r="H611" s="227"/>
      <c r="I611" s="227"/>
      <c r="J611" s="227"/>
      <c r="K611" s="228"/>
      <c r="O611">
        <f>IF(ISNUMBER(FIND($O$3,$C612)),MAXA($O$4:O610)+1,0)</f>
        <v>0</v>
      </c>
      <c r="P611" t="str">
        <f>IFERROR(INDEX($B$5:$O$625,MATCH(ROWS($P$5:$P611),$O$5:$O$625,0),2),"")</f>
        <v/>
      </c>
      <c r="Q611">
        <f>IF(ISNUMBER(FIND($Q$3,$B612)),MAXA($Q$4:Q610)+1,0)</f>
        <v>607</v>
      </c>
      <c r="R611">
        <f>IFERROR(INDEX($B$5:$Q$625,MATCH(ROWS($R$5:$R611),$Q$5:$Q$625,0),1),"")</f>
        <v>0</v>
      </c>
    </row>
    <row r="612" spans="2:18" x14ac:dyDescent="0.2">
      <c r="B612" s="225" t="s">
        <v>1511</v>
      </c>
      <c r="C612" s="226" t="s">
        <v>1512</v>
      </c>
      <c r="D612" s="227"/>
      <c r="E612" s="227">
        <v>10</v>
      </c>
      <c r="F612" s="227"/>
      <c r="G612" s="226"/>
      <c r="H612" s="227"/>
      <c r="I612" s="227"/>
      <c r="J612" s="227"/>
      <c r="K612" s="228"/>
      <c r="O612">
        <f>IF(ISNUMBER(FIND($O$3,$C613)),MAXA($O$4:O611)+1,0)</f>
        <v>0</v>
      </c>
      <c r="P612" t="str">
        <f>IFERROR(INDEX($B$5:$O$625,MATCH(ROWS($P$5:$P612),$O$5:$O$625,0),2),"")</f>
        <v/>
      </c>
      <c r="Q612">
        <f>IF(ISNUMBER(FIND($Q$3,$B613)),MAXA($Q$4:Q611)+1,0)</f>
        <v>608</v>
      </c>
      <c r="R612" t="str">
        <f>IFERROR(INDEX($B$5:$Q$625,MATCH(ROWS($R$5:$R612),$Q$5:$Q$625,0),1),"")</f>
        <v>1304-82-1</v>
      </c>
    </row>
    <row r="613" spans="2:18" x14ac:dyDescent="0.2">
      <c r="B613" s="225"/>
      <c r="C613" s="230" t="s">
        <v>1513</v>
      </c>
      <c r="D613" s="226"/>
      <c r="E613" s="227">
        <v>5</v>
      </c>
      <c r="F613" s="227"/>
      <c r="G613" s="226"/>
      <c r="H613" s="227"/>
      <c r="I613" s="227"/>
      <c r="J613" s="227"/>
      <c r="K613" s="228"/>
      <c r="O613">
        <f>IF(ISNUMBER(FIND($O$3,$C614)),MAXA($O$4:O612)+1,0)</f>
        <v>0</v>
      </c>
      <c r="P613" t="str">
        <f>IFERROR(INDEX($B$5:$O$625,MATCH(ROWS($P$5:$P613),$O$5:$O$625,0),2),"")</f>
        <v/>
      </c>
      <c r="Q613">
        <f>IF(ISNUMBER(FIND($Q$3,$B614)),MAXA($Q$4:Q612)+1,0)</f>
        <v>609</v>
      </c>
      <c r="R613">
        <f>IFERROR(INDEX($B$5:$Q$625,MATCH(ROWS($R$5:$R613),$Q$5:$Q$625,0),1),"")</f>
        <v>0</v>
      </c>
    </row>
    <row r="614" spans="2:18" x14ac:dyDescent="0.2">
      <c r="B614" s="225" t="s">
        <v>1514</v>
      </c>
      <c r="C614" s="226" t="s">
        <v>1515</v>
      </c>
      <c r="D614" s="227"/>
      <c r="E614" s="227">
        <v>0.1</v>
      </c>
      <c r="F614" s="227"/>
      <c r="G614" s="226"/>
      <c r="H614" s="227"/>
      <c r="I614" s="227"/>
      <c r="J614" s="227"/>
      <c r="K614" s="228"/>
      <c r="O614">
        <f>IF(ISNUMBER(FIND($O$3,$C615)),MAXA($O$4:O613)+1,0)</f>
        <v>0</v>
      </c>
      <c r="P614" t="str">
        <f>IFERROR(INDEX($B$5:$O$625,MATCH(ROWS($P$5:$P614),$O$5:$O$625,0),2),"")</f>
        <v/>
      </c>
      <c r="Q614">
        <f>IF(ISNUMBER(FIND($Q$3,$B615)),MAXA($Q$4:Q613)+1,0)</f>
        <v>610</v>
      </c>
      <c r="R614" t="str">
        <f>IFERROR(INDEX($B$5:$Q$625,MATCH(ROWS($R$5:$R614),$Q$5:$Q$625,0),1),"")</f>
        <v>81-81-2</v>
      </c>
    </row>
    <row r="615" spans="2:18" x14ac:dyDescent="0.2">
      <c r="B615" s="225"/>
      <c r="C615" s="230" t="s">
        <v>1516</v>
      </c>
      <c r="D615" s="226">
        <v>50</v>
      </c>
      <c r="E615" s="227">
        <v>275</v>
      </c>
      <c r="F615" s="227"/>
      <c r="G615" s="226"/>
      <c r="H615" s="227"/>
      <c r="I615" s="227"/>
      <c r="J615" s="227"/>
      <c r="K615" s="228"/>
      <c r="O615">
        <f>IF(ISNUMBER(FIND($O$3,$C616)),MAXA($O$4:O614)+1,0)</f>
        <v>0</v>
      </c>
      <c r="P615" t="str">
        <f>IFERROR(INDEX($B$5:$O$625,MATCH(ROWS($P$5:$P615),$O$5:$O$625,0),2),"")</f>
        <v/>
      </c>
      <c r="Q615">
        <f>IF(ISNUMBER(FIND($Q$3,$B616)),MAXA($Q$4:Q614)+1,0)</f>
        <v>611</v>
      </c>
      <c r="R615">
        <f>IFERROR(INDEX($B$5:$Q$625,MATCH(ROWS($R$5:$R615),$Q$5:$Q$625,0),1),"")</f>
        <v>0</v>
      </c>
    </row>
    <row r="616" spans="2:18" x14ac:dyDescent="0.2">
      <c r="B616" s="225"/>
      <c r="C616" s="230" t="s">
        <v>1517</v>
      </c>
      <c r="D616" s="226">
        <v>25</v>
      </c>
      <c r="E616" s="227">
        <v>120</v>
      </c>
      <c r="F616" s="227"/>
      <c r="G616" s="226"/>
      <c r="H616" s="227"/>
      <c r="I616" s="227"/>
      <c r="J616" s="227"/>
      <c r="K616" s="228"/>
      <c r="O616">
        <f>IF(ISNUMBER(FIND($O$3,$C617)),MAXA($O$4:O615)+1,0)</f>
        <v>0</v>
      </c>
      <c r="P616" t="str">
        <f>IFERROR(INDEX($B$5:$O$625,MATCH(ROWS($P$5:$P616),$O$5:$O$625,0),2),"")</f>
        <v/>
      </c>
      <c r="Q616">
        <f>IF(ISNUMBER(FIND($Q$3,$B617)),MAXA($Q$4:Q615)+1,0)</f>
        <v>612</v>
      </c>
      <c r="R616">
        <f>IFERROR(INDEX($B$5:$Q$625,MATCH(ROWS($R$5:$R616),$Q$5:$Q$625,0),1),"")</f>
        <v>0</v>
      </c>
    </row>
    <row r="617" spans="2:18" x14ac:dyDescent="0.2">
      <c r="B617" s="225"/>
      <c r="C617" s="230" t="s">
        <v>1518</v>
      </c>
      <c r="D617" s="226"/>
      <c r="E617" s="227">
        <v>5</v>
      </c>
      <c r="F617" s="227"/>
      <c r="G617" s="226"/>
      <c r="H617" s="227"/>
      <c r="I617" s="227"/>
      <c r="J617" s="227"/>
      <c r="K617" s="228"/>
      <c r="O617">
        <f>IF(ISNUMBER(FIND($O$3,$C618)),MAXA($O$4:O616)+1,0)</f>
        <v>0</v>
      </c>
      <c r="P617" t="str">
        <f>IFERROR(INDEX($B$5:$O$625,MATCH(ROWS($P$5:$P617),$O$5:$O$625,0),2),"")</f>
        <v/>
      </c>
      <c r="Q617">
        <f>IF(ISNUMBER(FIND($Q$3,$B618)),MAXA($Q$4:Q616)+1,0)</f>
        <v>613</v>
      </c>
      <c r="R617">
        <f>IFERROR(INDEX($B$5:$Q$625,MATCH(ROWS($R$5:$R617),$Q$5:$Q$625,0),1),"")</f>
        <v>0</v>
      </c>
    </row>
    <row r="618" spans="2:18" x14ac:dyDescent="0.2">
      <c r="B618" s="225"/>
      <c r="C618" s="230" t="s">
        <v>1519</v>
      </c>
      <c r="D618" s="226"/>
      <c r="E618" s="227">
        <v>1</v>
      </c>
      <c r="F618" s="227"/>
      <c r="G618" s="226"/>
      <c r="H618" s="227"/>
      <c r="I618" s="227"/>
      <c r="J618" s="227"/>
      <c r="K618" s="228"/>
      <c r="O618">
        <f>IF(ISNUMBER(FIND($O$3,$C619)),MAXA($O$4:O617)+1,0)</f>
        <v>0</v>
      </c>
      <c r="P618" t="str">
        <f>IFERROR(INDEX($B$5:$O$625,MATCH(ROWS($P$5:$P618),$O$5:$O$625,0),2),"")</f>
        <v/>
      </c>
      <c r="Q618">
        <f>IF(ISNUMBER(FIND($Q$3,$B619)),MAXA($Q$4:Q617)+1,0)</f>
        <v>614</v>
      </c>
      <c r="R618">
        <f>IFERROR(INDEX($B$5:$Q$625,MATCH(ROWS($R$5:$R618),$Q$5:$Q$625,0),1),"")</f>
        <v>0</v>
      </c>
    </row>
    <row r="619" spans="2:18" x14ac:dyDescent="0.2">
      <c r="B619" s="225" t="s">
        <v>1520</v>
      </c>
      <c r="C619" s="226" t="s">
        <v>1521</v>
      </c>
      <c r="D619" s="227">
        <v>25</v>
      </c>
      <c r="E619" s="227">
        <v>108</v>
      </c>
      <c r="F619" s="227"/>
      <c r="G619" s="226"/>
      <c r="H619" s="227"/>
      <c r="I619" s="227"/>
      <c r="J619" s="227"/>
      <c r="K619" s="228"/>
      <c r="O619">
        <f>IF(ISNUMBER(FIND($O$3,$C620)),MAXA($O$4:O618)+1,0)</f>
        <v>0</v>
      </c>
      <c r="P619" t="str">
        <f>IFERROR(INDEX($B$5:$O$625,MATCH(ROWS($P$5:$P619),$O$5:$O$625,0),2),"")</f>
        <v/>
      </c>
      <c r="Q619">
        <f>IF(ISNUMBER(FIND($Q$3,$B620)),MAXA($Q$4:Q618)+1,0)</f>
        <v>615</v>
      </c>
      <c r="R619" t="str">
        <f>IFERROR(INDEX($B$5:$Q$625,MATCH(ROWS($R$5:$R619),$Q$5:$Q$625,0),1),"")</f>
        <v>1330-20-7</v>
      </c>
    </row>
    <row r="620" spans="2:18" x14ac:dyDescent="0.2">
      <c r="B620" s="225" t="s">
        <v>1522</v>
      </c>
      <c r="C620" s="226" t="s">
        <v>1523</v>
      </c>
      <c r="D620" s="227">
        <v>25</v>
      </c>
      <c r="E620" s="227">
        <v>108</v>
      </c>
      <c r="F620" s="227"/>
      <c r="G620" s="226"/>
      <c r="H620" s="227"/>
      <c r="I620" s="227"/>
      <c r="J620" s="227"/>
      <c r="K620" s="228"/>
      <c r="O620">
        <f>IF(ISNUMBER(FIND($O$3,$C621)),MAXA($O$4:O619)+1,0)</f>
        <v>0</v>
      </c>
      <c r="P620" t="str">
        <f>IFERROR(INDEX($B$5:$O$625,MATCH(ROWS($P$5:$P620),$O$5:$O$625,0),2),"")</f>
        <v/>
      </c>
      <c r="Q620">
        <f>IF(ISNUMBER(FIND($Q$3,$B621)),MAXA($Q$4:Q619)+1,0)</f>
        <v>616</v>
      </c>
      <c r="R620" t="str">
        <f>IFERROR(INDEX($B$5:$Q$625,MATCH(ROWS($R$5:$R620),$Q$5:$Q$625,0),1),"")</f>
        <v>108-38-3</v>
      </c>
    </row>
    <row r="621" spans="2:18" x14ac:dyDescent="0.2">
      <c r="B621" s="225" t="s">
        <v>1524</v>
      </c>
      <c r="C621" s="226" t="s">
        <v>1525</v>
      </c>
      <c r="D621" s="227">
        <v>25</v>
      </c>
      <c r="E621" s="227">
        <v>108</v>
      </c>
      <c r="F621" s="227"/>
      <c r="G621" s="226"/>
      <c r="H621" s="227"/>
      <c r="I621" s="227"/>
      <c r="J621" s="227"/>
      <c r="K621" s="228"/>
      <c r="O621">
        <f>IF(ISNUMBER(FIND($O$3,$C622)),MAXA($O$4:O620)+1,0)</f>
        <v>0</v>
      </c>
      <c r="P621" t="str">
        <f>IFERROR(INDEX($B$5:$O$625,MATCH(ROWS($P$5:$P621),$O$5:$O$625,0),2),"")</f>
        <v/>
      </c>
      <c r="Q621">
        <f>IF(ISNUMBER(FIND($Q$3,$B622)),MAXA($Q$4:Q620)+1,0)</f>
        <v>617</v>
      </c>
      <c r="R621" t="str">
        <f>IFERROR(INDEX($B$5:$Q$625,MATCH(ROWS($R$5:$R621),$Q$5:$Q$625,0),1),"")</f>
        <v>106-42-3</v>
      </c>
    </row>
    <row r="622" spans="2:18" x14ac:dyDescent="0.2">
      <c r="B622" s="225" t="s">
        <v>1526</v>
      </c>
      <c r="C622" s="226" t="s">
        <v>1527</v>
      </c>
      <c r="D622" s="227">
        <v>25</v>
      </c>
      <c r="E622" s="227">
        <v>108</v>
      </c>
      <c r="F622" s="227"/>
      <c r="G622" s="226"/>
      <c r="H622" s="227"/>
      <c r="I622" s="227"/>
      <c r="J622" s="227"/>
      <c r="K622" s="228"/>
      <c r="O622">
        <f>IF(ISNUMBER(FIND($O$3,$C623)),MAXA($O$4:O621)+1,0)</f>
        <v>0</v>
      </c>
      <c r="P622" t="str">
        <f>IFERROR(INDEX($B$5:$O$625,MATCH(ROWS($P$5:$P622),$O$5:$O$625,0),2),"")</f>
        <v/>
      </c>
      <c r="Q622">
        <f>IF(ISNUMBER(FIND($Q$3,$B623)),MAXA($Q$4:Q621)+1,0)</f>
        <v>618</v>
      </c>
      <c r="R622" t="str">
        <f>IFERROR(INDEX($B$5:$Q$625,MATCH(ROWS($R$5:$R622),$Q$5:$Q$625,0),1),"")</f>
        <v>95-47-6</v>
      </c>
    </row>
    <row r="623" spans="2:18" x14ac:dyDescent="0.2">
      <c r="B623" s="225" t="s">
        <v>1528</v>
      </c>
      <c r="C623" s="226" t="s">
        <v>1529</v>
      </c>
      <c r="D623" s="227"/>
      <c r="E623" s="227"/>
      <c r="F623" s="227"/>
      <c r="G623" s="226"/>
      <c r="H623" s="227"/>
      <c r="I623" s="227"/>
      <c r="J623" s="227">
        <v>0.1</v>
      </c>
      <c r="K623" s="228"/>
      <c r="O623">
        <f>IF(ISNUMBER(FIND($O$3,$C624)),MAXA($O$4:O622)+1,0)</f>
        <v>0</v>
      </c>
      <c r="P623" t="str">
        <f>IFERROR(INDEX($B$5:$O$625,MATCH(ROWS($P$5:$P623),$O$5:$O$625,0),2),"")</f>
        <v/>
      </c>
      <c r="Q623">
        <f>IF(ISNUMBER(FIND($Q$3,$B624)),MAXA($Q$4:Q622)+1,0)</f>
        <v>619</v>
      </c>
      <c r="R623" t="str">
        <f>IFERROR(INDEX($B$5:$Q$625,MATCH(ROWS($R$5:$R623),$Q$5:$Q$625,0),1),"")</f>
        <v>1477-55-0</v>
      </c>
    </row>
    <row r="624" spans="2:18" x14ac:dyDescent="0.2">
      <c r="B624" s="225"/>
      <c r="C624" s="230" t="s">
        <v>1530</v>
      </c>
      <c r="D624" s="226">
        <v>1</v>
      </c>
      <c r="E624" s="227">
        <v>5</v>
      </c>
      <c r="F624" s="227"/>
      <c r="G624" s="226"/>
      <c r="H624" s="227"/>
      <c r="I624" s="227"/>
      <c r="J624" s="227"/>
      <c r="K624" s="228"/>
      <c r="O624">
        <f>IF(ISNUMBER(FIND($O$3,$C625)),MAXA($O$4:O623)+1,0)</f>
        <v>0</v>
      </c>
      <c r="P624" t="str">
        <f>IFERROR(INDEX($B$5:$O$625,MATCH(ROWS($P$5:$P624),$O$5:$O$625,0),2),"")</f>
        <v/>
      </c>
      <c r="Q624">
        <f>IF(ISNUMBER(FIND($Q$3,$B625)),MAXA($Q$4:Q623)+1,0)</f>
        <v>620</v>
      </c>
      <c r="R624">
        <f>IFERROR(INDEX($B$5:$Q$625,MATCH(ROWS($R$5:$R624),$Q$5:$Q$625,0),1),"")</f>
        <v>0</v>
      </c>
    </row>
    <row r="625" spans="2:18" x14ac:dyDescent="0.2">
      <c r="B625" s="225" t="s">
        <v>1531</v>
      </c>
      <c r="C625" s="226" t="s">
        <v>1532</v>
      </c>
      <c r="D625" s="227"/>
      <c r="E625" s="227">
        <v>1</v>
      </c>
      <c r="F625" s="227"/>
      <c r="G625" s="226"/>
      <c r="H625" s="227"/>
      <c r="I625" s="227"/>
      <c r="J625" s="227"/>
      <c r="K625" s="228"/>
      <c r="O625">
        <f>IF(ISNUMBER(FIND($O$3,$C626)),MAXA($O$4:O624)+1,0)</f>
        <v>0</v>
      </c>
      <c r="P625" t="str">
        <f>IFERROR(INDEX($B$5:$O$625,MATCH(ROWS($P$5:$P625),$O$5:$O$625,0),2),"")</f>
        <v/>
      </c>
      <c r="Q625">
        <f>IF(ISNUMBER(FIND($Q$3,$B626)),MAXA($Q$4:Q624)+1,0)</f>
        <v>621</v>
      </c>
      <c r="R625" t="str">
        <f>IFERROR(INDEX($B$5:$Q$625,MATCH(ROWS($R$5:$R625),$Q$5:$Q$625,0),1),"")</f>
        <v>7440-65-5</v>
      </c>
    </row>
    <row r="626" spans="2:18" ht="16" thickBot="1" x14ac:dyDescent="0.25">
      <c r="B626" s="232"/>
      <c r="C626" s="233" t="s">
        <v>1533</v>
      </c>
      <c r="D626" s="234"/>
      <c r="E626" s="235">
        <v>5</v>
      </c>
      <c r="F626" s="235"/>
      <c r="G626" s="234"/>
      <c r="H626" s="235"/>
      <c r="I626" s="235"/>
      <c r="J626" s="235"/>
      <c r="K626" s="236"/>
    </row>
  </sheetData>
  <mergeCells count="5">
    <mergeCell ref="B2:K2"/>
    <mergeCell ref="D3:F3"/>
    <mergeCell ref="G3:H3"/>
    <mergeCell ref="I3:J3"/>
    <mergeCell ref="K3:K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F3972-BC92-4969-AF1D-A33A42E2004C}">
  <sheetPr>
    <tabColor theme="1"/>
  </sheetPr>
  <dimension ref="C2:T30"/>
  <sheetViews>
    <sheetView showGridLines="0" workbookViewId="0">
      <selection activeCell="D23" sqref="D23"/>
    </sheetView>
  </sheetViews>
  <sheetFormatPr baseColWidth="10" defaultRowHeight="15" x14ac:dyDescent="0.2"/>
  <cols>
    <col min="3" max="3" width="32.5" bestFit="1" customWidth="1"/>
    <col min="4" max="4" width="12" bestFit="1" customWidth="1"/>
    <col min="5" max="5" width="12.5" bestFit="1" customWidth="1"/>
    <col min="7" max="7" width="27.5" bestFit="1" customWidth="1"/>
    <col min="12" max="12" width="19.83203125" bestFit="1" customWidth="1"/>
    <col min="13" max="13" width="20.1640625" bestFit="1" customWidth="1"/>
  </cols>
  <sheetData>
    <row r="2" spans="3:20" x14ac:dyDescent="0.2">
      <c r="L2" s="660" t="s">
        <v>165</v>
      </c>
      <c r="M2" s="660"/>
    </row>
    <row r="3" spans="3:20" x14ac:dyDescent="0.2">
      <c r="C3" s="660" t="s">
        <v>36</v>
      </c>
      <c r="D3" s="660"/>
      <c r="E3" s="660"/>
      <c r="G3" s="660" t="s">
        <v>37</v>
      </c>
      <c r="H3" s="660"/>
      <c r="I3" s="660"/>
      <c r="L3" s="25" t="s">
        <v>166</v>
      </c>
      <c r="M3" s="25" t="s">
        <v>1585</v>
      </c>
      <c r="T3" t="str">
        <f>IF(M4&lt;&gt;"",M4,IF(Analysis!$D$5&lt;6,"K4",IF(AND(Analysis!$D$5&gt;5,(Analysis!$D$5-Analysis!$D$6)&lt;3),"A1",IF(Analysis!$D$13=0,"A2",IF(OR(AND(Analysis!$K$9="Nei",Analysis!$J$9="Nei"),AND(Analysis!$K$9="No",Analysis!$J$9="No")),"A2",IF(OR(Analysis!$K$8&gt;=Analysis!$J$8,Analysis!$D$5&lt;=10),"A3","A4"))))))</f>
        <v>A3</v>
      </c>
    </row>
    <row r="4" spans="3:20" x14ac:dyDescent="0.2">
      <c r="C4" t="str">
        <f>IF(Information!B6=Tekst!$B$1,Tekst!B15,IF(Information!B6=Tekst!C1,Tekst!C15,""))</f>
        <v>Målinger (n)</v>
      </c>
      <c r="D4">
        <f>Calc!$X$1</f>
        <v>8</v>
      </c>
      <c r="G4" t="str">
        <f>IF(Information!B6=Tekst!$B$1,Tekst!B15,IF(Information!B6=Tekst!C1,Tekst!C15,""))</f>
        <v>Målinger (n)</v>
      </c>
      <c r="H4">
        <f>Calc!$X$1</f>
        <v>8</v>
      </c>
      <c r="L4" t="str">
        <f>IF($M$4&lt;&gt;"",$M$4,IF(Calc!$X$1&lt;6,"K4",IF(AND(Calc!$X$1&gt;5,Calc!$X$3&lt;3),"A1",IF(Calc!$X$8=0,"A2",IF(OR(AND(Analysis!$K$9="Nei",Analysis!$J$9="Nei"),AND(Analysis!$K$9="No",Analysis!$J$9="No")),"A2",IF(OR(Analysis!$K$8&gt;=Analysis!$J$8,Calc!$X$1&lt;=10),"A3","A4"))))))</f>
        <v>A3</v>
      </c>
      <c r="M4" t="str">
        <f>IFERROR(INDEX(Tekst!$A$180:$B$181,MATCH(Calc!$AB$1,Tekst!$B$180:$B$181,0),1),"")</f>
        <v/>
      </c>
      <c r="T4" t="s">
        <v>1602</v>
      </c>
    </row>
    <row r="5" spans="3:20" x14ac:dyDescent="0.2">
      <c r="C5" t="str">
        <f>IF(Information!B6=Tekst!$B$1,CONCATENATE(Tekst!B36," (y)"),IF(Information!B6=Tekst!C1,CONCATENATE(Tekst!C36," (y)"),""))</f>
        <v>middelverdi (y)</v>
      </c>
      <c r="D5" s="3">
        <f>'Calc (W-test)'!$H$3</f>
        <v>1.8226298956299933</v>
      </c>
      <c r="G5" t="str">
        <f>IF(Information!B6=Tekst!$B$1,CONCATENATE(Tekst!B36," (AM)"),IF(Information!B6=Tekst!C1,CONCATENATE(Tekst!C36," (AM)"),""))</f>
        <v>middelverdi (AM)</v>
      </c>
      <c r="H5" s="3">
        <f>Calc!$Y$11</f>
        <v>9.4125000000000014</v>
      </c>
    </row>
    <row r="6" spans="3:20" x14ac:dyDescent="0.2">
      <c r="C6" t="str">
        <f>IF(Information!B6=Tekst!$B$1,CONCATENATE(Tekst!B37," (s_y)"),IF(Information!B6=Tekst!C1,CONCATENATE(Tekst!C37," (s_y)"),""))</f>
        <v>Standardavvik (s_y)</v>
      </c>
      <c r="D6" s="3">
        <f>'Calc (W-test)'!$H$4</f>
        <v>1.0362589918421163</v>
      </c>
      <c r="G6" t="str">
        <f>IF(Information!B6=Tekst!$B$1,CONCATENATE(Tekst!B37," (SD)"),IF(Information!B6=Tekst!C1,CONCATENATE(Tekst!C37," (SD)"),""))</f>
        <v>Standardavvik (SD)</v>
      </c>
      <c r="H6" s="3">
        <f>Calc!Y12</f>
        <v>8.1553553833399182</v>
      </c>
    </row>
    <row r="7" spans="3:20" x14ac:dyDescent="0.2">
      <c r="C7" t="str">
        <f>CONCATENATE("(",$C$6,")^2/2")</f>
        <v>(Standardavvik (s_y))^2/2</v>
      </c>
      <c r="D7" s="3">
        <f>$D$6^2/2</f>
        <v>0.53691634908681962</v>
      </c>
      <c r="G7" t="str">
        <f>CONCATENATE("(",$G$6,")^2/2")</f>
        <v>(Standardavvik (SD))^2/2</v>
      </c>
      <c r="H7">
        <f>$H$6^2/2</f>
        <v>33.254910714285693</v>
      </c>
    </row>
    <row r="8" spans="3:20" x14ac:dyDescent="0.2">
      <c r="D8" s="3"/>
    </row>
    <row r="9" spans="3:20" x14ac:dyDescent="0.2">
      <c r="D9">
        <v>1</v>
      </c>
      <c r="E9">
        <v>1</v>
      </c>
    </row>
    <row r="10" spans="3:20" x14ac:dyDescent="0.2">
      <c r="C10" t="s">
        <v>122</v>
      </c>
      <c r="D10">
        <f>($D$4-1)*((($D$6)^2)/2)/$D$4</f>
        <v>0.46980180545096717</v>
      </c>
      <c r="E10">
        <f>($D$4-1)*$D$7/$D$4</f>
        <v>0.46980180545096717</v>
      </c>
    </row>
    <row r="11" spans="3:20" x14ac:dyDescent="0.2">
      <c r="C11" t="s">
        <v>123</v>
      </c>
      <c r="D11">
        <f>(($D$4-1)^3)*(((($D$6)^2)/2)^2)/(FACT(2)*(($D$4)^2)*($D$4+1))</f>
        <v>8.5833119713051034E-2</v>
      </c>
      <c r="E11" s="10">
        <f>(($D$4-1)^3)*(($D$7)^2)/((FACT(2))*(($D$4)^2)*($D$4+1))</f>
        <v>8.5833119713051034E-2</v>
      </c>
      <c r="I11" s="10"/>
    </row>
    <row r="12" spans="3:20" x14ac:dyDescent="0.2">
      <c r="C12" t="s">
        <v>124</v>
      </c>
      <c r="D12">
        <f>(($D$4-1)^5)*(((($D$6)^2)/2)^3)/(FACT(3)*(($D$4)^3)*($D$4+1)*($D$4+3))</f>
        <v>8.553693401841294E-3</v>
      </c>
      <c r="E12" s="10">
        <f>(($D$4-1)^5)*(($D$7)^3)/((FACT(3))*(($D$4)^3)*($D$4+1)*($D$4+3))</f>
        <v>8.553693401841294E-3</v>
      </c>
      <c r="I12" s="10"/>
    </row>
    <row r="13" spans="3:20" x14ac:dyDescent="0.2">
      <c r="C13" t="s">
        <v>125</v>
      </c>
      <c r="D13">
        <f>(($D$4-1)^7)*(((($D$6)^2)/2)^4)/(FACT(4)*(($D$4)^4)*($D$4+1)*($D$4+3)*($D$4+5))</f>
        <v>5.4095738892718181E-4</v>
      </c>
      <c r="E13" s="10">
        <f>(($D$4-1)^7)*(($D$7)^4)/((FACT(4))*(($D$4)^4)*($D$4+1)*($D$4+3)*($D$4+5))</f>
        <v>5.4095738892718181E-4</v>
      </c>
      <c r="I13" s="10"/>
      <c r="O13" t="s">
        <v>137</v>
      </c>
      <c r="P13" t="s">
        <v>273</v>
      </c>
    </row>
    <row r="14" spans="3:20" x14ac:dyDescent="0.2">
      <c r="C14" t="s">
        <v>126</v>
      </c>
      <c r="D14">
        <f>(($D$4-1)^9)*(((($D$6)^2)/2)^5)/(FACT(5)*(($D$4)^5)*($D$4+1)*($D$4+3)*($D$4+5)*($D$4+7))</f>
        <v>2.3719990745736225E-5</v>
      </c>
      <c r="E14" s="10">
        <f>(($D$4-1)^9)*(($D$7)^5)/((FACT(5))*(($D$4)^5)*($D$4+1)*($D$4+3)*($D$4+5)*($D$4+7))</f>
        <v>2.3719990745736225E-5</v>
      </c>
      <c r="I14" s="10"/>
      <c r="O14" t="s">
        <v>140</v>
      </c>
      <c r="P14" t="s">
        <v>272</v>
      </c>
    </row>
    <row r="15" spans="3:20" x14ac:dyDescent="0.2">
      <c r="C15" t="s">
        <v>127</v>
      </c>
      <c r="D15" s="17"/>
      <c r="E15" s="10">
        <f>(($D$4-1)^11)*(($D$7)^6)/((FACT(6))*(($D$4)^6)*($D$4+1)*($D$4+3)*($D$4+5)*($D$4+7)*($D$4+9))</f>
        <v>7.6476334650382154E-7</v>
      </c>
      <c r="I15" s="10"/>
      <c r="O15" t="s">
        <v>142</v>
      </c>
      <c r="P15" t="s">
        <v>172</v>
      </c>
    </row>
    <row r="16" spans="3:20" x14ac:dyDescent="0.2">
      <c r="C16" s="1" t="s">
        <v>113</v>
      </c>
      <c r="D16" s="1">
        <f>SUM($D$9:$D$15)</f>
        <v>1.5647532959455326</v>
      </c>
      <c r="E16" s="1">
        <f>SUM($E$9:$E$15)</f>
        <v>1.564754060708879</v>
      </c>
      <c r="G16" s="1"/>
      <c r="H16" s="1"/>
      <c r="I16" s="1"/>
      <c r="O16" t="s">
        <v>143</v>
      </c>
      <c r="P16" t="s">
        <v>164</v>
      </c>
    </row>
    <row r="18" spans="3:16" x14ac:dyDescent="0.2">
      <c r="C18" t="s">
        <v>128</v>
      </c>
      <c r="D18">
        <f>EXP($D$5)*$D$16</f>
        <v>9.682867326311948</v>
      </c>
      <c r="E18">
        <f>EXP($D$5)*$E$16</f>
        <v>9.6828720587525439</v>
      </c>
      <c r="H18" s="42">
        <f>(H5)*D16</f>
        <v>14.728240398087328</v>
      </c>
      <c r="I18" s="10">
        <f>(H5)*E16</f>
        <v>14.728247596422326</v>
      </c>
    </row>
    <row r="19" spans="3:16" x14ac:dyDescent="0.2">
      <c r="C19" t="s">
        <v>129</v>
      </c>
      <c r="D19">
        <f>MAXA($D$18:$E$18)</f>
        <v>9.6828720587525439</v>
      </c>
      <c r="H19" s="42">
        <f>MAX(H18:I18)</f>
        <v>14.728247596422326</v>
      </c>
      <c r="I19" s="10"/>
      <c r="P19" s="1" t="s">
        <v>71</v>
      </c>
    </row>
    <row r="20" spans="3:16" x14ac:dyDescent="0.2">
      <c r="C20" t="s">
        <v>130</v>
      </c>
      <c r="D20">
        <f>EXP($D$5+(($D$6)^2)/2)</f>
        <v>10.586146842399291</v>
      </c>
      <c r="E20">
        <f>EXP($D$5)*EXP($D$7)</f>
        <v>10.586146842399293</v>
      </c>
      <c r="H20" s="26">
        <f>H5+(H6)</f>
        <v>17.567855383339918</v>
      </c>
      <c r="I20" s="26">
        <f>(H5)+(H7)</f>
        <v>42.667410714285694</v>
      </c>
      <c r="O20" t="s">
        <v>145</v>
      </c>
      <c r="P20" t="s">
        <v>146</v>
      </c>
    </row>
    <row r="21" spans="3:16" x14ac:dyDescent="0.2">
      <c r="O21" t="s">
        <v>148</v>
      </c>
      <c r="P21" t="s">
        <v>149</v>
      </c>
    </row>
    <row r="22" spans="3:16" x14ac:dyDescent="0.2">
      <c r="O22" t="s">
        <v>150</v>
      </c>
      <c r="P22" t="s">
        <v>36</v>
      </c>
    </row>
    <row r="23" spans="3:16" x14ac:dyDescent="0.2">
      <c r="C23" t="s">
        <v>134</v>
      </c>
      <c r="D23">
        <f>VLOOKUP($D$4,'Tables (statistics)'!$B$91:$C$138,2)</f>
        <v>2.0720000000000001</v>
      </c>
      <c r="H23">
        <f>$D$23</f>
        <v>2.0720000000000001</v>
      </c>
      <c r="O23" t="s">
        <v>151</v>
      </c>
      <c r="P23" t="s">
        <v>37</v>
      </c>
    </row>
    <row r="24" spans="3:16" x14ac:dyDescent="0.2">
      <c r="C24" t="s">
        <v>135</v>
      </c>
      <c r="D24" s="24">
        <f>EXP($D$5+($D$23*$D$6))</f>
        <v>52.971738036210645</v>
      </c>
      <c r="H24" s="24">
        <f>$H$5+($H$23*$H$6)</f>
        <v>26.310396354280311</v>
      </c>
    </row>
    <row r="25" spans="3:16" x14ac:dyDescent="0.2">
      <c r="P25" s="1" t="s">
        <v>160</v>
      </c>
    </row>
    <row r="26" spans="3:16" x14ac:dyDescent="0.2">
      <c r="O26" t="s">
        <v>152</v>
      </c>
      <c r="P26" t="s">
        <v>138</v>
      </c>
    </row>
    <row r="27" spans="3:16" x14ac:dyDescent="0.2">
      <c r="O27" t="s">
        <v>153</v>
      </c>
      <c r="P27" t="s">
        <v>154</v>
      </c>
    </row>
    <row r="28" spans="3:16" x14ac:dyDescent="0.2">
      <c r="O28" t="s">
        <v>156</v>
      </c>
      <c r="P28" t="s">
        <v>275</v>
      </c>
    </row>
    <row r="29" spans="3:16" x14ac:dyDescent="0.2">
      <c r="O29" t="s">
        <v>157</v>
      </c>
      <c r="P29" t="s">
        <v>172</v>
      </c>
    </row>
    <row r="30" spans="3:16" x14ac:dyDescent="0.2">
      <c r="O30" t="s">
        <v>158</v>
      </c>
      <c r="P30" t="s">
        <v>164</v>
      </c>
    </row>
  </sheetData>
  <mergeCells count="3">
    <mergeCell ref="C3:E3"/>
    <mergeCell ref="G3:I3"/>
    <mergeCell ref="L2:M2"/>
  </mergeCells>
  <phoneticPr fontId="17"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D51EF-55F1-4E99-8C55-CAE078A6A817}">
  <sheetPr>
    <tabColor theme="1"/>
  </sheetPr>
  <dimension ref="B2:W67"/>
  <sheetViews>
    <sheetView showGridLines="0" workbookViewId="0">
      <selection activeCell="K3" sqref="K3"/>
    </sheetView>
  </sheetViews>
  <sheetFormatPr baseColWidth="10" defaultRowHeight="15" x14ac:dyDescent="0.2"/>
  <cols>
    <col min="4" max="4" width="18.5" customWidth="1"/>
    <col min="5" max="5" width="21.1640625" customWidth="1"/>
    <col min="7" max="7" width="4.1640625" customWidth="1"/>
    <col min="9" max="9" width="12.83203125" customWidth="1"/>
    <col min="10" max="10" width="15.5" customWidth="1"/>
    <col min="11" max="11" width="14.5" customWidth="1"/>
    <col min="15" max="15" width="20.5" bestFit="1" customWidth="1"/>
    <col min="16" max="16" width="18.5" customWidth="1"/>
  </cols>
  <sheetData>
    <row r="2" spans="2:12" x14ac:dyDescent="0.2">
      <c r="B2" s="1" t="s">
        <v>38</v>
      </c>
      <c r="D2" s="1" t="s">
        <v>39</v>
      </c>
      <c r="E2" s="1"/>
      <c r="F2" s="1"/>
      <c r="H2" s="1" t="s">
        <v>42</v>
      </c>
      <c r="I2" s="1"/>
      <c r="K2" s="1" t="s">
        <v>51</v>
      </c>
      <c r="L2" s="1" t="s">
        <v>54</v>
      </c>
    </row>
    <row r="3" spans="2:12" x14ac:dyDescent="0.2">
      <c r="B3" t="s">
        <v>2</v>
      </c>
      <c r="D3" t="s">
        <v>20</v>
      </c>
      <c r="G3">
        <v>1</v>
      </c>
      <c r="H3" t="s">
        <v>21</v>
      </c>
      <c r="K3" t="s">
        <v>52</v>
      </c>
      <c r="L3" t="s">
        <v>55</v>
      </c>
    </row>
    <row r="4" spans="2:12" x14ac:dyDescent="0.2">
      <c r="B4" t="s">
        <v>3</v>
      </c>
      <c r="D4" t="s">
        <v>21</v>
      </c>
      <c r="G4">
        <v>2</v>
      </c>
      <c r="H4" t="s">
        <v>20</v>
      </c>
      <c r="K4" t="s">
        <v>53</v>
      </c>
      <c r="L4" t="s">
        <v>56</v>
      </c>
    </row>
    <row r="5" spans="2:12" x14ac:dyDescent="0.2">
      <c r="D5" s="6" t="s">
        <v>1987</v>
      </c>
      <c r="E5" s="6"/>
      <c r="F5" s="6"/>
      <c r="G5">
        <v>4</v>
      </c>
      <c r="H5" s="6" t="s">
        <v>1987</v>
      </c>
      <c r="I5" s="6"/>
    </row>
    <row r="6" spans="2:12" x14ac:dyDescent="0.2">
      <c r="D6" t="s">
        <v>405</v>
      </c>
      <c r="G6">
        <v>5</v>
      </c>
      <c r="H6" t="s">
        <v>405</v>
      </c>
    </row>
    <row r="7" spans="2:12" x14ac:dyDescent="0.2">
      <c r="G7">
        <v>7</v>
      </c>
      <c r="H7" t="s">
        <v>40</v>
      </c>
    </row>
    <row r="8" spans="2:12" x14ac:dyDescent="0.2">
      <c r="G8">
        <v>8</v>
      </c>
      <c r="H8" t="s">
        <v>41</v>
      </c>
    </row>
    <row r="13" spans="2:12" x14ac:dyDescent="0.2">
      <c r="B13" s="1" t="s">
        <v>46</v>
      </c>
      <c r="I13" s="1" t="s">
        <v>49</v>
      </c>
      <c r="J13" t="s">
        <v>1547</v>
      </c>
    </row>
    <row r="14" spans="2:12" x14ac:dyDescent="0.2">
      <c r="B14" t="s">
        <v>60</v>
      </c>
      <c r="C14" t="s">
        <v>291</v>
      </c>
      <c r="D14">
        <v>1</v>
      </c>
      <c r="I14" t="s">
        <v>1538</v>
      </c>
      <c r="J14" s="239">
        <f>133.322387415</f>
        <v>133.32238741500001</v>
      </c>
    </row>
    <row r="15" spans="2:12" x14ac:dyDescent="0.2">
      <c r="B15" t="s">
        <v>61</v>
      </c>
      <c r="C15" t="s">
        <v>292</v>
      </c>
      <c r="D15">
        <v>2</v>
      </c>
      <c r="I15" t="s">
        <v>1985</v>
      </c>
      <c r="J15" s="240">
        <f>0.0013157895</f>
        <v>1.3157895000000001E-3</v>
      </c>
    </row>
    <row r="16" spans="2:12" x14ac:dyDescent="0.2">
      <c r="I16" t="s">
        <v>1539</v>
      </c>
      <c r="J16">
        <v>1</v>
      </c>
    </row>
    <row r="17" spans="2:10" x14ac:dyDescent="0.2">
      <c r="I17" t="s">
        <v>1986</v>
      </c>
      <c r="J17">
        <v>1.9336809999999999E-2</v>
      </c>
    </row>
    <row r="18" spans="2:10" x14ac:dyDescent="0.2">
      <c r="C18" s="57">
        <v>2</v>
      </c>
      <c r="E18">
        <v>1</v>
      </c>
      <c r="I18" t="s">
        <v>1540</v>
      </c>
      <c r="J18" s="240">
        <v>1.3332236999999999E-3</v>
      </c>
    </row>
    <row r="19" spans="2:10" x14ac:dyDescent="0.2">
      <c r="C19" s="57">
        <v>1</v>
      </c>
      <c r="D19">
        <v>1</v>
      </c>
      <c r="E19">
        <v>10</v>
      </c>
    </row>
    <row r="20" spans="2:10" x14ac:dyDescent="0.2">
      <c r="C20" s="57">
        <v>0.5</v>
      </c>
      <c r="D20">
        <v>10</v>
      </c>
      <c r="E20">
        <v>100</v>
      </c>
    </row>
    <row r="21" spans="2:10" x14ac:dyDescent="0.2">
      <c r="C21" s="57">
        <v>0.25</v>
      </c>
      <c r="D21">
        <v>100</v>
      </c>
      <c r="E21">
        <v>100000</v>
      </c>
    </row>
    <row r="28" spans="2:10" x14ac:dyDescent="0.2">
      <c r="B28" s="25" t="s">
        <v>38</v>
      </c>
      <c r="C28" s="272">
        <f>INDEX($B$29:$C$48,MATCH(Information!$B$6,Tabeller!$B$29:$B$48,0),2)</f>
        <v>1</v>
      </c>
      <c r="D28" s="272" t="str">
        <f>MID("ABCDEFGHIJKLMNOPQRSTUVWXYZ",Tabeller!$C$28+1,1)</f>
        <v>B</v>
      </c>
    </row>
    <row r="29" spans="2:10" x14ac:dyDescent="0.2">
      <c r="B29" s="358" t="str" cm="1">
        <f t="array" ref="B29:B48">IF(TRANSPOSE(Tekst!$B$1:$U$1)=0,"",TRANSPOSE(Tekst!$B$1:$U$1))</f>
        <v>Norsk</v>
      </c>
      <c r="C29" s="358">
        <f>IF(B29&lt;&gt;"",ROWS($C$29:C29),"")</f>
        <v>1</v>
      </c>
    </row>
    <row r="30" spans="2:10" x14ac:dyDescent="0.2">
      <c r="B30" s="358" t="str">
        <v>English</v>
      </c>
      <c r="C30" s="358">
        <f>IF(B30&lt;&gt;"",ROWS($C$29:C30),"")</f>
        <v>2</v>
      </c>
    </row>
    <row r="31" spans="2:10" x14ac:dyDescent="0.2">
      <c r="B31" s="358" t="str">
        <v>Español</v>
      </c>
      <c r="C31" s="358">
        <f>IF(B31&lt;&gt;"",ROWS($C$29:C31),"")</f>
        <v>3</v>
      </c>
    </row>
    <row r="32" spans="2:10" x14ac:dyDescent="0.2">
      <c r="B32" s="358" t="str">
        <v/>
      </c>
      <c r="C32" s="358" t="str">
        <f>IF(B32&lt;&gt;"",ROWS($C$29:C32),"")</f>
        <v/>
      </c>
    </row>
    <row r="33" spans="2:3" x14ac:dyDescent="0.2">
      <c r="B33" s="358" t="str">
        <v/>
      </c>
      <c r="C33" s="358" t="str">
        <f>IF(B33&lt;&gt;"",ROWS($C$29:C33),"")</f>
        <v/>
      </c>
    </row>
    <row r="34" spans="2:3" x14ac:dyDescent="0.2">
      <c r="B34" s="358" t="str">
        <v/>
      </c>
      <c r="C34" s="358" t="str">
        <f>IF(B34&lt;&gt;"",ROWS($C$29:C34),"")</f>
        <v/>
      </c>
    </row>
    <row r="35" spans="2:3" x14ac:dyDescent="0.2">
      <c r="B35" s="358" t="str">
        <v/>
      </c>
      <c r="C35" s="358" t="str">
        <f>IF(B35&lt;&gt;"",ROWS($C$29:C35),"")</f>
        <v/>
      </c>
    </row>
    <row r="36" spans="2:3" x14ac:dyDescent="0.2">
      <c r="B36" s="358" t="str">
        <v/>
      </c>
      <c r="C36" s="358" t="str">
        <f>IF(B36&lt;&gt;"",ROWS($C$29:C36),"")</f>
        <v/>
      </c>
    </row>
    <row r="37" spans="2:3" x14ac:dyDescent="0.2">
      <c r="B37" s="358" t="str">
        <v/>
      </c>
      <c r="C37" s="358" t="str">
        <f>IF(B37&lt;&gt;"",ROWS($C$29:C37),"")</f>
        <v/>
      </c>
    </row>
    <row r="38" spans="2:3" x14ac:dyDescent="0.2">
      <c r="B38" s="358" t="str">
        <v/>
      </c>
      <c r="C38" s="358" t="str">
        <f>IF(B38&lt;&gt;"",ROWS($C$29:C38),"")</f>
        <v/>
      </c>
    </row>
    <row r="39" spans="2:3" x14ac:dyDescent="0.2">
      <c r="B39" s="358" t="str">
        <v/>
      </c>
      <c r="C39" s="358" t="str">
        <f>IF(B39&lt;&gt;"",ROWS($C$29:C39),"")</f>
        <v/>
      </c>
    </row>
    <row r="40" spans="2:3" x14ac:dyDescent="0.2">
      <c r="B40" s="358" t="str">
        <v/>
      </c>
      <c r="C40" s="358" t="str">
        <f>IF(B40&lt;&gt;"",ROWS($C$29:C40),"")</f>
        <v/>
      </c>
    </row>
    <row r="41" spans="2:3" x14ac:dyDescent="0.2">
      <c r="B41" s="358" t="str">
        <v/>
      </c>
      <c r="C41" s="358" t="str">
        <f>IF(B41&lt;&gt;"",ROWS($C$29:C41),"")</f>
        <v/>
      </c>
    </row>
    <row r="42" spans="2:3" x14ac:dyDescent="0.2">
      <c r="B42" s="358" t="str">
        <v/>
      </c>
      <c r="C42" s="358" t="str">
        <f>IF(B42&lt;&gt;"",ROWS($C$29:C42),"")</f>
        <v/>
      </c>
    </row>
    <row r="43" spans="2:3" x14ac:dyDescent="0.2">
      <c r="B43" s="358" t="str">
        <v/>
      </c>
      <c r="C43" s="358" t="str">
        <f>IF(B43&lt;&gt;"",ROWS($C$29:C43),"")</f>
        <v/>
      </c>
    </row>
    <row r="44" spans="2:3" x14ac:dyDescent="0.2">
      <c r="B44" s="358" t="str">
        <v/>
      </c>
      <c r="C44" s="358" t="str">
        <f>IF(B44&lt;&gt;"",ROWS($C$29:C44),"")</f>
        <v/>
      </c>
    </row>
    <row r="45" spans="2:3" x14ac:dyDescent="0.2">
      <c r="B45" s="358" t="str">
        <v/>
      </c>
      <c r="C45" s="358" t="str">
        <f>IF(B45&lt;&gt;"",ROWS($C$29:C45),"")</f>
        <v/>
      </c>
    </row>
    <row r="46" spans="2:3" x14ac:dyDescent="0.2">
      <c r="B46" s="358" t="str">
        <v/>
      </c>
      <c r="C46" s="358" t="str">
        <f>IF(B46&lt;&gt;"",ROWS($C$29:C46),"")</f>
        <v/>
      </c>
    </row>
    <row r="47" spans="2:3" x14ac:dyDescent="0.2">
      <c r="B47" s="358" t="str">
        <v/>
      </c>
      <c r="C47" s="358" t="str">
        <f>IF(B47&lt;&gt;"",ROWS($C$29:C47),"")</f>
        <v/>
      </c>
    </row>
    <row r="48" spans="2:3" x14ac:dyDescent="0.2">
      <c r="B48" s="358" t="str">
        <v/>
      </c>
      <c r="C48" s="358" t="str">
        <f>IF(B48&lt;&gt;"",ROWS($C$29:C48),"")</f>
        <v/>
      </c>
    </row>
    <row r="53" spans="2:23" x14ac:dyDescent="0.2">
      <c r="C53" t="str" cm="1">
        <f t="array" ref="C53">IFERROR(INDEX($B$56:$U$57,248,Tabeller!$C$28),"")</f>
        <v/>
      </c>
    </row>
    <row r="54" spans="2:23" x14ac:dyDescent="0.2">
      <c r="B54" t="str" cm="1">
        <f t="array" ref="B54">IFERROR(INDEX($B$56:$U$57,IF(AND(Survey!$D$31=IFERROR(INDEX(Tekst!$B$1:$U$300,258,Tabeller!$C$28),""),Survey!$H$31&lt;&gt;""),1,2),Tabeller!$C$28),"")</f>
        <v>% av GV</v>
      </c>
    </row>
    <row r="55" spans="2:23" x14ac:dyDescent="0.2">
      <c r="B55" s="25" t="str">
        <f>IF(Tekst!B1&lt;&gt;"",Tekst!B1,"")</f>
        <v>Norsk</v>
      </c>
      <c r="C55" s="25" t="str">
        <f>IF(Tekst!C1&lt;&gt;"",Tekst!C1,"")</f>
        <v>English</v>
      </c>
      <c r="D55" s="25" t="str">
        <f>IF(Tekst!D1&lt;&gt;"",Tekst!D1,"")</f>
        <v>Español</v>
      </c>
      <c r="E55" s="25" t="str">
        <f>IF(Tekst!E1&lt;&gt;"",Tekst!E1,"")</f>
        <v/>
      </c>
      <c r="F55" s="25" t="str">
        <f>IF(Tekst!F1&lt;&gt;"",Tekst!F1,"")</f>
        <v/>
      </c>
      <c r="G55" s="25" t="str">
        <f>IF(Tekst!G1&lt;&gt;"",Tekst!G1,"")</f>
        <v/>
      </c>
      <c r="H55" s="25" t="str">
        <f>IF(Tekst!H1&lt;&gt;"",Tekst!H1,"")</f>
        <v/>
      </c>
      <c r="I55" s="25" t="str">
        <f>IF(Tekst!I1&lt;&gt;"",Tekst!I1,"")</f>
        <v/>
      </c>
      <c r="J55" s="25" t="str">
        <f>IF(Tekst!J1&lt;&gt;"",Tekst!J1,"")</f>
        <v/>
      </c>
      <c r="K55" s="25" t="str">
        <f>IF(Tekst!K1&lt;&gt;"",Tekst!K1,"")</f>
        <v/>
      </c>
      <c r="L55" s="25" t="str">
        <f>IF(Tekst!L1&lt;&gt;"",Tekst!L1,"")</f>
        <v/>
      </c>
      <c r="M55" s="25" t="str">
        <f>IF(Tekst!M1&lt;&gt;"",Tekst!M1,"")</f>
        <v/>
      </c>
      <c r="N55" s="25" t="str">
        <f>IF(Tekst!N1&lt;&gt;"",Tekst!N1,"")</f>
        <v/>
      </c>
      <c r="O55" s="25" t="str">
        <f>IF(Tekst!O1&lt;&gt;"",Tekst!O1,"")</f>
        <v/>
      </c>
      <c r="P55" s="25" t="str">
        <f>IF(Tekst!P1&lt;&gt;"",Tekst!P1,"")</f>
        <v/>
      </c>
      <c r="Q55" s="25" t="str">
        <f>IF(Tekst!Q1&lt;&gt;"",Tekst!Q1,"")</f>
        <v/>
      </c>
      <c r="R55" s="25" t="str">
        <f>IF(Tekst!R1&lt;&gt;"",Tekst!R1,"")</f>
        <v/>
      </c>
      <c r="S55" s="25" t="str">
        <f>IF(Tekst!S1&lt;&gt;"",Tekst!S1,"")</f>
        <v/>
      </c>
      <c r="T55" s="25" t="str">
        <f>IF(Tekst!T1&lt;&gt;"",Tekst!T1,"")</f>
        <v/>
      </c>
      <c r="U55" s="25" t="str">
        <f>IF(Tekst!U1&lt;&gt;"",Tekst!U1,"")</f>
        <v/>
      </c>
    </row>
    <row r="56" spans="2:23" x14ac:dyDescent="0.2">
      <c r="B56" s="358" t="s">
        <v>1575</v>
      </c>
      <c r="C56" s="358" t="s">
        <v>1982</v>
      </c>
      <c r="D56" s="358" t="s">
        <v>1983</v>
      </c>
      <c r="E56" s="358"/>
      <c r="F56" s="358"/>
      <c r="G56" s="358"/>
      <c r="H56" s="358"/>
      <c r="I56" s="358"/>
      <c r="J56" s="358"/>
      <c r="K56" s="358"/>
      <c r="L56" s="358"/>
      <c r="M56" s="358"/>
      <c r="N56" s="358"/>
      <c r="O56" s="358"/>
      <c r="P56" s="358"/>
      <c r="Q56" s="358"/>
      <c r="R56" s="358"/>
      <c r="S56" s="358"/>
      <c r="T56" s="358"/>
      <c r="U56" s="358"/>
    </row>
    <row r="57" spans="2:23" x14ac:dyDescent="0.2">
      <c r="B57" s="358" t="s">
        <v>1576</v>
      </c>
      <c r="C57" s="358" t="s">
        <v>1577</v>
      </c>
      <c r="D57" s="358" t="s">
        <v>1984</v>
      </c>
      <c r="E57" s="358"/>
      <c r="F57" s="358"/>
      <c r="G57" s="358"/>
      <c r="H57" s="358"/>
      <c r="I57" s="358"/>
      <c r="J57" s="358"/>
      <c r="K57" s="358"/>
      <c r="L57" s="358"/>
      <c r="M57" s="358"/>
      <c r="N57" s="358"/>
      <c r="O57" s="358"/>
      <c r="P57" s="358"/>
      <c r="Q57" s="358"/>
      <c r="R57" s="358"/>
      <c r="S57" s="358"/>
      <c r="T57" s="358"/>
      <c r="U57" s="358"/>
    </row>
    <row r="61" spans="2:23" x14ac:dyDescent="0.2">
      <c r="B61" s="33" t="s">
        <v>200</v>
      </c>
      <c r="C61" s="1" t="s">
        <v>201</v>
      </c>
      <c r="D61" s="1" t="s">
        <v>202</v>
      </c>
    </row>
    <row r="62" spans="2:23" x14ac:dyDescent="0.2">
      <c r="D62" s="25" t="str">
        <f>IF(Tekst!B1&lt;&gt;"",Tekst!B1,"")</f>
        <v>Norsk</v>
      </c>
      <c r="E62" s="25" t="str">
        <f>IF(Tekst!C1&lt;&gt;"",Tekst!C1,"")</f>
        <v>English</v>
      </c>
      <c r="F62" s="25" t="str">
        <f>IF(Tekst!D1&lt;&gt;"",Tekst!D1,"")</f>
        <v>Español</v>
      </c>
      <c r="G62" s="25" t="str">
        <f>IF(Tekst!E1&lt;&gt;"",Tekst!E1,"")</f>
        <v/>
      </c>
      <c r="H62" s="25" t="str">
        <f>IF(Tekst!F1&lt;&gt;"",Tekst!F1,"")</f>
        <v/>
      </c>
      <c r="I62" s="25" t="str">
        <f>IF(Tekst!G1&lt;&gt;"",Tekst!G1,"")</f>
        <v/>
      </c>
      <c r="J62" s="25" t="str">
        <f>IF(Tekst!H1&lt;&gt;"",Tekst!H1,"")</f>
        <v/>
      </c>
      <c r="K62" s="25" t="str">
        <f>IF(Tekst!I1&lt;&gt;"",Tekst!I1,"")</f>
        <v/>
      </c>
      <c r="L62" s="25" t="str">
        <f>IF(Tekst!J1&lt;&gt;"",Tekst!J1,"")</f>
        <v/>
      </c>
      <c r="M62" s="25" t="str">
        <f>IF(Tekst!K1&lt;&gt;"",Tekst!K1,"")</f>
        <v/>
      </c>
      <c r="N62" s="25" t="str">
        <f>IF(Tekst!L1&lt;&gt;"",Tekst!L1,"")</f>
        <v/>
      </c>
      <c r="O62" s="25" t="str">
        <f>IF(Tekst!M1&lt;&gt;"",Tekst!M1,"")</f>
        <v/>
      </c>
      <c r="P62" s="25" t="str">
        <f>IF(Tekst!N1&lt;&gt;"",Tekst!N1,"")</f>
        <v/>
      </c>
      <c r="Q62" s="25" t="str">
        <f>IF(Tekst!O1&lt;&gt;"",Tekst!O1,"")</f>
        <v/>
      </c>
      <c r="R62" s="25" t="str">
        <f>IF(Tekst!P1&lt;&gt;"",Tekst!P1,"")</f>
        <v/>
      </c>
      <c r="S62" s="25" t="str">
        <f>IF(Tekst!Q1&lt;&gt;"",Tekst!Q1,"")</f>
        <v/>
      </c>
      <c r="T62" s="25" t="str">
        <f>IF(Tekst!R1&lt;&gt;"",Tekst!R1,"")</f>
        <v/>
      </c>
      <c r="U62" s="25" t="str">
        <f>IF(Tekst!S1&lt;&gt;"",Tekst!S1,"")</f>
        <v/>
      </c>
      <c r="V62" s="25" t="str">
        <f>IF(Tekst!T1&lt;&gt;"",Tekst!T1,"")</f>
        <v/>
      </c>
      <c r="W62" s="25" t="str">
        <f>IF(Tekst!U1&lt;&gt;"",Tekst!U1,"")</f>
        <v/>
      </c>
    </row>
    <row r="63" spans="2:23" x14ac:dyDescent="0.2">
      <c r="B63" s="3">
        <v>0.2</v>
      </c>
      <c r="C63" t="str" cm="1">
        <f t="array" ref="C63">IFERROR(INDEX($D$63:$W$67,1,Tabeller!$C$28),"")</f>
        <v>vurder om nødvendig</v>
      </c>
      <c r="D63" s="358" t="s">
        <v>1975</v>
      </c>
      <c r="E63" s="358" t="s">
        <v>1976</v>
      </c>
      <c r="F63" s="358" t="s">
        <v>1977</v>
      </c>
      <c r="G63" s="358"/>
      <c r="H63" s="358"/>
      <c r="I63" s="358"/>
      <c r="J63" s="358"/>
      <c r="K63" s="358"/>
      <c r="L63" s="358"/>
      <c r="M63" s="358"/>
      <c r="N63" s="358"/>
      <c r="O63" s="358"/>
      <c r="P63" s="358"/>
      <c r="Q63" s="358"/>
      <c r="R63" s="358"/>
      <c r="S63" s="358"/>
      <c r="T63" s="358"/>
      <c r="U63" s="358"/>
      <c r="V63" s="358"/>
      <c r="W63" s="358"/>
    </row>
    <row r="64" spans="2:23" x14ac:dyDescent="0.2">
      <c r="B64" s="3">
        <v>0.25</v>
      </c>
      <c r="C64" t="str" cm="1">
        <f t="array" ref="C64">IFERROR(INDEX($D$63:$W$67,2,Tabeller!$C$28),"")</f>
        <v>innen 36 måneder</v>
      </c>
      <c r="D64" s="358" t="s">
        <v>209</v>
      </c>
      <c r="E64" s="358" t="s">
        <v>204</v>
      </c>
      <c r="F64" s="358" t="s">
        <v>1978</v>
      </c>
      <c r="G64" s="358"/>
      <c r="H64" s="358"/>
      <c r="I64" s="358"/>
      <c r="J64" s="358"/>
      <c r="K64" s="358"/>
      <c r="L64" s="358"/>
      <c r="M64" s="358"/>
      <c r="N64" s="358"/>
      <c r="O64" s="358"/>
      <c r="P64" s="358"/>
      <c r="Q64" s="358"/>
      <c r="R64" s="358"/>
      <c r="S64" s="358"/>
      <c r="T64" s="358"/>
      <c r="U64" s="358"/>
      <c r="V64" s="358"/>
      <c r="W64" s="358"/>
    </row>
    <row r="65" spans="2:23" x14ac:dyDescent="0.2">
      <c r="B65" s="3">
        <v>0.5</v>
      </c>
      <c r="C65" t="str" cm="1">
        <f t="array" ref="C65">IFERROR(INDEX($D$63:$W$67,3,Tabeller!$C$28),"")</f>
        <v>innen 24 måneder</v>
      </c>
      <c r="D65" s="358" t="s">
        <v>208</v>
      </c>
      <c r="E65" s="358" t="s">
        <v>260</v>
      </c>
      <c r="F65" s="358" t="s">
        <v>1981</v>
      </c>
      <c r="G65" s="358"/>
      <c r="H65" s="358"/>
      <c r="I65" s="358"/>
      <c r="J65" s="358"/>
      <c r="K65" s="358"/>
      <c r="L65" s="358"/>
      <c r="M65" s="358"/>
      <c r="N65" s="358"/>
      <c r="O65" s="358"/>
      <c r="P65" s="358"/>
      <c r="Q65" s="358"/>
      <c r="R65" s="358"/>
      <c r="S65" s="358"/>
      <c r="T65" s="358"/>
      <c r="U65" s="358"/>
      <c r="V65" s="358"/>
      <c r="W65" s="358"/>
    </row>
    <row r="66" spans="2:23" x14ac:dyDescent="0.2">
      <c r="B66" s="3">
        <v>1</v>
      </c>
      <c r="C66" t="str" cm="1">
        <f t="array" ref="C66">IFERROR(INDEX($D$63:$W$67,4,Tabeller!$C$28),"")</f>
        <v>innen 12 måneder</v>
      </c>
      <c r="D66" s="358" t="s">
        <v>207</v>
      </c>
      <c r="E66" s="358" t="s">
        <v>205</v>
      </c>
      <c r="F66" s="358" t="s">
        <v>1980</v>
      </c>
      <c r="G66" s="358"/>
      <c r="H66" s="358"/>
      <c r="I66" s="358"/>
      <c r="J66" s="358"/>
      <c r="K66" s="358"/>
      <c r="L66" s="358"/>
      <c r="M66" s="358"/>
      <c r="N66" s="358"/>
      <c r="O66" s="358"/>
      <c r="P66" s="358"/>
      <c r="Q66" s="358"/>
      <c r="R66" s="358"/>
      <c r="S66" s="358"/>
      <c r="T66" s="358"/>
      <c r="U66" s="358"/>
      <c r="V66" s="358"/>
      <c r="W66" s="358"/>
    </row>
    <row r="67" spans="2:23" x14ac:dyDescent="0.2">
      <c r="C67" t="str" cm="1">
        <f t="array" ref="C67">IFERROR(INDEX($D$63:$W$67,5,Tabeller!$C$28),"")</f>
        <v>etter implementring av risikoreduserende tiltak</v>
      </c>
      <c r="D67" s="358" t="s">
        <v>210</v>
      </c>
      <c r="E67" s="358" t="s">
        <v>206</v>
      </c>
      <c r="F67" s="358" t="s">
        <v>1979</v>
      </c>
      <c r="G67" s="358"/>
      <c r="H67" s="358"/>
      <c r="I67" s="358"/>
      <c r="J67" s="358"/>
      <c r="K67" s="358"/>
      <c r="L67" s="358"/>
      <c r="M67" s="358"/>
      <c r="N67" s="358"/>
      <c r="O67" s="358"/>
      <c r="P67" s="358"/>
      <c r="Q67" s="358"/>
      <c r="R67" s="358"/>
      <c r="S67" s="358"/>
      <c r="T67" s="358"/>
      <c r="U67" s="358"/>
      <c r="V67" s="358"/>
      <c r="W67" s="358"/>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CD4C4-A249-4FEC-8552-C0B390F828F8}">
  <sheetPr>
    <tabColor theme="1"/>
  </sheetPr>
  <dimension ref="B4:AW159"/>
  <sheetViews>
    <sheetView showGridLines="0" topLeftCell="A124" workbookViewId="0">
      <selection activeCell="H149" sqref="H149"/>
    </sheetView>
  </sheetViews>
  <sheetFormatPr baseColWidth="10" defaultRowHeight="15" x14ac:dyDescent="0.2"/>
  <sheetData>
    <row r="4" spans="2:49" x14ac:dyDescent="0.2">
      <c r="B4" s="672" t="s">
        <v>79</v>
      </c>
      <c r="C4" s="672"/>
      <c r="D4" s="672"/>
      <c r="E4" s="672"/>
      <c r="F4" s="672"/>
      <c r="G4" s="672"/>
      <c r="H4" s="672"/>
      <c r="I4" s="672"/>
      <c r="J4" s="672"/>
      <c r="K4" s="672"/>
      <c r="L4" s="672"/>
      <c r="M4" s="672"/>
      <c r="N4" s="672"/>
      <c r="O4" s="672"/>
      <c r="P4" s="672"/>
      <c r="Q4" s="672"/>
      <c r="R4" s="672"/>
      <c r="S4" s="672"/>
      <c r="T4" s="672"/>
      <c r="U4" s="672"/>
      <c r="V4" s="672"/>
      <c r="W4" s="672"/>
      <c r="X4" s="672"/>
      <c r="Y4" s="672"/>
      <c r="Z4" s="672"/>
      <c r="AA4" s="672"/>
      <c r="AB4" s="672"/>
      <c r="AC4" s="672"/>
      <c r="AD4" s="672"/>
      <c r="AE4" s="672"/>
      <c r="AF4" s="672"/>
      <c r="AG4" s="672"/>
      <c r="AH4" s="672"/>
      <c r="AI4" s="672"/>
      <c r="AJ4" s="672"/>
      <c r="AK4" s="672"/>
      <c r="AL4" s="672"/>
      <c r="AM4" s="672"/>
      <c r="AN4" s="672"/>
      <c r="AO4" s="672"/>
      <c r="AP4" s="672"/>
      <c r="AQ4" s="672"/>
      <c r="AR4" s="672"/>
      <c r="AS4" s="672"/>
      <c r="AT4" s="672"/>
      <c r="AU4" s="672"/>
      <c r="AV4" s="672"/>
      <c r="AW4" s="672"/>
    </row>
    <row r="5" spans="2:49" x14ac:dyDescent="0.2">
      <c r="B5" s="10"/>
      <c r="C5" s="11">
        <v>2</v>
      </c>
      <c r="D5" s="10">
        <v>3</v>
      </c>
      <c r="E5" s="10">
        <v>4</v>
      </c>
      <c r="F5" s="10">
        <v>5</v>
      </c>
      <c r="G5" s="10">
        <v>6</v>
      </c>
      <c r="H5" s="10">
        <v>7</v>
      </c>
      <c r="I5" s="10">
        <v>8</v>
      </c>
      <c r="J5" s="10">
        <v>9</v>
      </c>
      <c r="K5" s="10">
        <v>10</v>
      </c>
      <c r="L5" s="10">
        <v>11</v>
      </c>
      <c r="M5" s="10">
        <v>12</v>
      </c>
      <c r="N5" s="10">
        <v>13</v>
      </c>
      <c r="O5" s="10">
        <v>14</v>
      </c>
      <c r="P5" s="10">
        <v>15</v>
      </c>
      <c r="Q5" s="10">
        <v>16</v>
      </c>
      <c r="R5" s="10">
        <v>17</v>
      </c>
      <c r="S5" s="10">
        <v>18</v>
      </c>
      <c r="T5" s="14">
        <v>19</v>
      </c>
      <c r="U5" s="10">
        <v>20</v>
      </c>
      <c r="V5" s="10">
        <v>21</v>
      </c>
      <c r="W5" s="10">
        <v>22</v>
      </c>
      <c r="X5" s="10">
        <v>23</v>
      </c>
      <c r="Y5" s="10">
        <v>24</v>
      </c>
      <c r="Z5" s="10">
        <v>25</v>
      </c>
      <c r="AA5" s="10">
        <v>27</v>
      </c>
      <c r="AB5" s="10">
        <v>28</v>
      </c>
      <c r="AC5" s="10">
        <v>29</v>
      </c>
      <c r="AD5" s="10">
        <v>30</v>
      </c>
      <c r="AE5" s="10">
        <v>31</v>
      </c>
      <c r="AF5" s="10">
        <v>33</v>
      </c>
      <c r="AG5" s="10">
        <v>34</v>
      </c>
      <c r="AH5" s="10">
        <v>35</v>
      </c>
      <c r="AI5" s="10">
        <v>36</v>
      </c>
      <c r="AJ5" s="10">
        <v>37</v>
      </c>
      <c r="AK5" s="10">
        <v>38</v>
      </c>
      <c r="AL5" s="10">
        <v>39</v>
      </c>
      <c r="AM5" s="10">
        <v>40</v>
      </c>
      <c r="AN5" s="10">
        <v>41</v>
      </c>
      <c r="AO5" s="10">
        <v>42</v>
      </c>
      <c r="AP5" s="10">
        <v>43</v>
      </c>
      <c r="AQ5" s="10">
        <v>44</v>
      </c>
      <c r="AR5" s="10">
        <v>45</v>
      </c>
      <c r="AS5" s="10">
        <v>46</v>
      </c>
      <c r="AT5" s="10">
        <v>47</v>
      </c>
      <c r="AU5" s="10">
        <v>48</v>
      </c>
      <c r="AV5" s="10">
        <v>49</v>
      </c>
      <c r="AW5" s="10">
        <v>50</v>
      </c>
    </row>
    <row r="6" spans="2:49" x14ac:dyDescent="0.2">
      <c r="B6" s="10">
        <v>1</v>
      </c>
      <c r="C6" s="11">
        <v>0.70709999999999995</v>
      </c>
      <c r="D6" s="10">
        <v>0.70709999999999995</v>
      </c>
      <c r="E6" s="10">
        <v>0.68720000000000003</v>
      </c>
      <c r="F6" s="10">
        <v>0.66459999999999997</v>
      </c>
      <c r="G6" s="10">
        <v>0.6431</v>
      </c>
      <c r="H6" s="10">
        <v>0.62329999999999997</v>
      </c>
      <c r="I6" s="10">
        <v>0.60519999999999996</v>
      </c>
      <c r="J6" s="10">
        <v>0.58879999999999999</v>
      </c>
      <c r="K6" s="10">
        <v>0.57389999999999997</v>
      </c>
      <c r="L6" s="10">
        <v>0.56010000000000004</v>
      </c>
      <c r="M6" s="10">
        <v>0.54749999999999999</v>
      </c>
      <c r="N6" s="10">
        <v>0.53590000000000004</v>
      </c>
      <c r="O6" s="10">
        <v>0.52510000000000001</v>
      </c>
      <c r="P6" s="10">
        <v>0.51500000000000001</v>
      </c>
      <c r="Q6" s="12">
        <v>0.50560000000000005</v>
      </c>
      <c r="R6" s="12">
        <v>0.49680000000000002</v>
      </c>
      <c r="S6" s="10">
        <v>0.48859999999999998</v>
      </c>
      <c r="T6" s="14">
        <v>0.48080000000000001</v>
      </c>
      <c r="U6" s="10">
        <v>0.47339999999999999</v>
      </c>
      <c r="V6" s="10">
        <v>0.46429999999999999</v>
      </c>
      <c r="W6" s="10">
        <v>0.45900000000000002</v>
      </c>
      <c r="X6" s="10">
        <v>0.45419999999999999</v>
      </c>
      <c r="Y6" s="10">
        <v>0.44929999999999998</v>
      </c>
      <c r="Z6" s="10">
        <v>0.44500000000000001</v>
      </c>
      <c r="AA6" s="10">
        <v>0.43659999999999999</v>
      </c>
      <c r="AB6" s="10">
        <v>0.43280000000000002</v>
      </c>
      <c r="AC6" s="10">
        <v>0.42909999999999998</v>
      </c>
      <c r="AD6" s="10">
        <v>0.4254</v>
      </c>
      <c r="AE6" s="10">
        <v>0.42199999999999999</v>
      </c>
      <c r="AF6" s="10">
        <v>0.41560000000000002</v>
      </c>
      <c r="AG6" s="10">
        <v>0.41270000000000001</v>
      </c>
      <c r="AH6" s="10">
        <v>0.40960000000000002</v>
      </c>
      <c r="AI6" s="10">
        <v>0.40679999999999999</v>
      </c>
      <c r="AJ6" s="10">
        <v>0.40400000000000003</v>
      </c>
      <c r="AK6" s="10">
        <v>0.40150000000000002</v>
      </c>
      <c r="AL6" s="10">
        <v>0.39889999999999998</v>
      </c>
      <c r="AM6" s="10">
        <v>0.39639999999999997</v>
      </c>
      <c r="AN6" s="10">
        <v>0.39400000000000002</v>
      </c>
      <c r="AO6" s="10">
        <v>0.39169999999999999</v>
      </c>
      <c r="AP6" s="10">
        <v>0.38940000000000002</v>
      </c>
      <c r="AQ6" s="10">
        <v>0.38719999999999999</v>
      </c>
      <c r="AR6" s="10">
        <v>0.38500000000000001</v>
      </c>
      <c r="AS6" s="10">
        <v>0.38300000000000001</v>
      </c>
      <c r="AT6" s="10">
        <v>0.38080000000000003</v>
      </c>
      <c r="AU6" s="10">
        <v>0.37890000000000001</v>
      </c>
      <c r="AV6" s="10">
        <v>0.377</v>
      </c>
      <c r="AW6" s="10">
        <v>0.37509999999999999</v>
      </c>
    </row>
    <row r="7" spans="2:49" x14ac:dyDescent="0.2">
      <c r="B7" s="10">
        <v>2</v>
      </c>
      <c r="C7" s="11"/>
      <c r="D7" s="10">
        <v>0</v>
      </c>
      <c r="E7" s="10">
        <v>0.16769999999999999</v>
      </c>
      <c r="F7" s="10">
        <v>0.24129999999999999</v>
      </c>
      <c r="G7" s="10">
        <v>0.28960000000000002</v>
      </c>
      <c r="H7" s="10">
        <v>0.30309999999999998</v>
      </c>
      <c r="I7" s="10">
        <v>0.31640000000000001</v>
      </c>
      <c r="J7" s="10">
        <v>0.32440000000000002</v>
      </c>
      <c r="K7" s="10">
        <v>0.3291</v>
      </c>
      <c r="L7" s="10">
        <v>0.33150000000000002</v>
      </c>
      <c r="M7" s="10">
        <v>0.33250000000000002</v>
      </c>
      <c r="N7" s="10">
        <v>0.33250000000000002</v>
      </c>
      <c r="O7" s="10">
        <v>0.33179999999999998</v>
      </c>
      <c r="P7" s="10">
        <v>0.3306</v>
      </c>
      <c r="Q7" s="12">
        <v>0.32900000000000001</v>
      </c>
      <c r="R7" s="12">
        <v>0.32729999999999998</v>
      </c>
      <c r="S7" s="10">
        <v>0.32529999999999998</v>
      </c>
      <c r="T7" s="14">
        <v>0.32319999999999999</v>
      </c>
      <c r="U7" s="10">
        <v>0.3211</v>
      </c>
      <c r="V7" s="10">
        <v>0.31850000000000001</v>
      </c>
      <c r="W7" s="10">
        <v>0.31559999999999999</v>
      </c>
      <c r="X7" s="10">
        <v>0.31259999999999999</v>
      </c>
      <c r="Y7" s="10">
        <v>0.30980000000000002</v>
      </c>
      <c r="Z7" s="10">
        <v>0.30690000000000001</v>
      </c>
      <c r="AA7" s="10">
        <v>0.30180000000000001</v>
      </c>
      <c r="AB7" s="10">
        <v>0.29920000000000002</v>
      </c>
      <c r="AC7" s="10">
        <v>0.29680000000000001</v>
      </c>
      <c r="AD7" s="10">
        <v>0.2944</v>
      </c>
      <c r="AE7" s="10">
        <v>0.29210000000000003</v>
      </c>
      <c r="AF7" s="10">
        <v>2876</v>
      </c>
      <c r="AG7" s="10">
        <v>0.28539999999999999</v>
      </c>
      <c r="AH7" s="10">
        <v>0.28339999999999999</v>
      </c>
      <c r="AI7" s="10">
        <v>0.28129999999999999</v>
      </c>
      <c r="AJ7" s="10">
        <v>0.27939999999999998</v>
      </c>
      <c r="AK7" s="10">
        <v>0.27739999999999998</v>
      </c>
      <c r="AL7" s="10">
        <v>0.27550000000000002</v>
      </c>
      <c r="AM7" s="10">
        <v>0.2737</v>
      </c>
      <c r="AN7" s="10">
        <v>0.27189999999999998</v>
      </c>
      <c r="AO7" s="10">
        <v>0.27010000000000001</v>
      </c>
      <c r="AP7" s="10">
        <v>0.26840000000000003</v>
      </c>
      <c r="AQ7" s="10">
        <v>0.26669999999999999</v>
      </c>
      <c r="AR7" s="10">
        <v>0.2651</v>
      </c>
      <c r="AS7" s="10">
        <v>0.26350000000000001</v>
      </c>
      <c r="AT7" s="10">
        <v>0.26200000000000001</v>
      </c>
      <c r="AU7" s="10">
        <v>0.26040000000000002</v>
      </c>
      <c r="AV7" s="10">
        <v>0.25890000000000002</v>
      </c>
      <c r="AW7" s="10">
        <v>0.25740000000000002</v>
      </c>
    </row>
    <row r="8" spans="2:49" x14ac:dyDescent="0.2">
      <c r="B8" s="10">
        <v>3</v>
      </c>
      <c r="C8" s="11"/>
      <c r="D8" s="10"/>
      <c r="E8" s="10"/>
      <c r="F8" s="10">
        <v>0</v>
      </c>
      <c r="G8" s="10">
        <v>8.7499999999999994E-2</v>
      </c>
      <c r="H8" s="10">
        <v>0.1401</v>
      </c>
      <c r="I8" s="10">
        <v>0.17430000000000001</v>
      </c>
      <c r="J8" s="10">
        <v>0.1976</v>
      </c>
      <c r="K8" s="10">
        <v>0.21410000000000001</v>
      </c>
      <c r="L8" s="10">
        <v>0.22600000000000001</v>
      </c>
      <c r="M8" s="10">
        <v>0.23469999999999999</v>
      </c>
      <c r="N8" s="10">
        <v>0.2412</v>
      </c>
      <c r="O8" s="10">
        <v>0.246</v>
      </c>
      <c r="P8" s="10">
        <v>0.2495</v>
      </c>
      <c r="Q8" s="12">
        <v>0.25209999999999999</v>
      </c>
      <c r="R8" s="12">
        <v>0.254</v>
      </c>
      <c r="S8" s="10">
        <v>0.25530000000000003</v>
      </c>
      <c r="T8" s="14">
        <v>0.25609999999999999</v>
      </c>
      <c r="U8" s="10">
        <v>0.25650000000000001</v>
      </c>
      <c r="V8" s="10">
        <v>0.25779999999999997</v>
      </c>
      <c r="W8" s="10">
        <v>0.2571</v>
      </c>
      <c r="X8" s="10">
        <v>0.25629999999999997</v>
      </c>
      <c r="Y8" s="10">
        <v>0.25540000000000002</v>
      </c>
      <c r="Z8" s="10">
        <v>0.25430000000000003</v>
      </c>
      <c r="AA8" s="10">
        <v>0.25219999999999998</v>
      </c>
      <c r="AB8" s="10">
        <v>0.251</v>
      </c>
      <c r="AC8" s="10">
        <v>0.24990000000000001</v>
      </c>
      <c r="AD8" s="10">
        <v>0.2487</v>
      </c>
      <c r="AE8" s="10">
        <v>0.2475</v>
      </c>
      <c r="AF8" s="10">
        <v>0.24510000000000001</v>
      </c>
      <c r="AG8" s="10">
        <v>0.24390000000000001</v>
      </c>
      <c r="AH8" s="10">
        <v>0.2427</v>
      </c>
      <c r="AI8" s="10">
        <v>0.24149999999999999</v>
      </c>
      <c r="AJ8" s="10">
        <v>0.24030000000000001</v>
      </c>
      <c r="AK8" s="10">
        <v>0.23910000000000001</v>
      </c>
      <c r="AL8" s="10">
        <v>0.23799999999999999</v>
      </c>
      <c r="AM8" s="10">
        <v>0.23680000000000001</v>
      </c>
      <c r="AN8" s="10">
        <v>0.23569999999999999</v>
      </c>
      <c r="AO8" s="10">
        <v>0.23449999999999999</v>
      </c>
      <c r="AP8" s="10">
        <v>0.2334</v>
      </c>
      <c r="AQ8" s="10">
        <v>0.23230000000000001</v>
      </c>
      <c r="AR8" s="10">
        <v>0.23130000000000001</v>
      </c>
      <c r="AS8" s="10">
        <v>0.23019999999999999</v>
      </c>
      <c r="AT8" s="10">
        <v>0.2291</v>
      </c>
      <c r="AU8" s="10">
        <v>0.2281</v>
      </c>
      <c r="AV8" s="10">
        <v>0.2271</v>
      </c>
      <c r="AW8" s="10">
        <v>0.22600000000000001</v>
      </c>
    </row>
    <row r="9" spans="2:49" x14ac:dyDescent="0.2">
      <c r="B9" s="10">
        <v>4</v>
      </c>
      <c r="C9" s="11"/>
      <c r="D9" s="10"/>
      <c r="E9" s="10"/>
      <c r="F9" s="10"/>
      <c r="G9" s="10"/>
      <c r="H9" s="10">
        <v>0</v>
      </c>
      <c r="I9" s="10">
        <v>5.6099999999999997E-2</v>
      </c>
      <c r="J9" s="10">
        <v>9.4700000000000006E-2</v>
      </c>
      <c r="K9" s="10">
        <v>0.12239999999999999</v>
      </c>
      <c r="L9" s="10">
        <v>0.1429</v>
      </c>
      <c r="M9" s="10">
        <v>0.15859999999999999</v>
      </c>
      <c r="N9" s="10">
        <v>0.17069999999999999</v>
      </c>
      <c r="O9" s="10">
        <v>0.1802</v>
      </c>
      <c r="P9" s="10">
        <v>0.18779999999999999</v>
      </c>
      <c r="Q9" s="12">
        <v>0.19389999999999999</v>
      </c>
      <c r="R9" s="12">
        <v>0.1988</v>
      </c>
      <c r="S9" s="10">
        <v>0.20269999999999999</v>
      </c>
      <c r="T9" s="14">
        <v>0.2059</v>
      </c>
      <c r="U9" s="10">
        <v>0.20849999999999999</v>
      </c>
      <c r="V9" s="10">
        <v>0.21190000000000001</v>
      </c>
      <c r="W9" s="10">
        <v>0.21310000000000001</v>
      </c>
      <c r="X9" s="10">
        <v>0.21390000000000001</v>
      </c>
      <c r="Y9" s="10">
        <v>0.2145</v>
      </c>
      <c r="Z9" s="10">
        <v>0.21479999999999999</v>
      </c>
      <c r="AA9" s="10">
        <v>0.2152</v>
      </c>
      <c r="AB9" s="10">
        <v>0.21510000000000001</v>
      </c>
      <c r="AC9" s="10">
        <v>0.215</v>
      </c>
      <c r="AD9" s="10">
        <v>0.21479999999999999</v>
      </c>
      <c r="AE9" s="10">
        <v>0.2145</v>
      </c>
      <c r="AF9" s="10">
        <v>0.2137</v>
      </c>
      <c r="AG9" s="10">
        <v>0.2132</v>
      </c>
      <c r="AH9" s="10">
        <v>0.2127</v>
      </c>
      <c r="AI9" s="10">
        <v>0.21210000000000001</v>
      </c>
      <c r="AJ9" s="10">
        <v>0.21160000000000001</v>
      </c>
      <c r="AK9" s="10">
        <v>0.21099999999999999</v>
      </c>
      <c r="AL9" s="10">
        <v>0.2104</v>
      </c>
      <c r="AM9" s="10">
        <v>0.20979999999999999</v>
      </c>
      <c r="AN9" s="10">
        <v>0.20910000000000001</v>
      </c>
      <c r="AO9" s="10">
        <v>0.20849999999999999</v>
      </c>
      <c r="AP9" s="10">
        <v>0.20780000000000001</v>
      </c>
      <c r="AQ9" s="10">
        <v>0.2072</v>
      </c>
      <c r="AR9" s="10">
        <v>0.20649999999999999</v>
      </c>
      <c r="AS9" s="10">
        <v>0.20580000000000001</v>
      </c>
      <c r="AT9" s="10">
        <v>0.20519999999999999</v>
      </c>
      <c r="AU9" s="10">
        <v>0.20449999999999999</v>
      </c>
      <c r="AV9" s="10">
        <v>0.20380000000000001</v>
      </c>
      <c r="AW9" s="10">
        <v>0.20319999999999999</v>
      </c>
    </row>
    <row r="10" spans="2:49" x14ac:dyDescent="0.2">
      <c r="B10" s="10">
        <v>5</v>
      </c>
      <c r="C10" s="11"/>
      <c r="D10" s="10"/>
      <c r="E10" s="10"/>
      <c r="F10" s="10"/>
      <c r="G10" s="10"/>
      <c r="H10" s="10"/>
      <c r="I10" s="10"/>
      <c r="J10" s="10">
        <v>0</v>
      </c>
      <c r="K10" s="10">
        <v>3.9899999999999998E-2</v>
      </c>
      <c r="L10" s="10">
        <v>6.9500000000000006E-2</v>
      </c>
      <c r="M10" s="10">
        <v>9.2200000000000004E-2</v>
      </c>
      <c r="N10" s="10">
        <v>0.1099</v>
      </c>
      <c r="O10" s="10">
        <v>0.124</v>
      </c>
      <c r="P10" s="10">
        <v>0.1353</v>
      </c>
      <c r="Q10" s="12">
        <v>0.1447</v>
      </c>
      <c r="R10" s="12">
        <v>0.15240000000000001</v>
      </c>
      <c r="S10" s="10">
        <v>0.15870000000000001</v>
      </c>
      <c r="T10" s="14">
        <v>0.1641</v>
      </c>
      <c r="U10" s="10">
        <v>0.1686</v>
      </c>
      <c r="V10" s="10">
        <v>0.1736</v>
      </c>
      <c r="W10" s="10">
        <v>0.1764</v>
      </c>
      <c r="X10" s="10">
        <v>0.1787</v>
      </c>
      <c r="Y10" s="10">
        <v>0.1807</v>
      </c>
      <c r="Z10" s="10">
        <v>0.1822</v>
      </c>
      <c r="AA10" s="10">
        <v>0.18479999999999999</v>
      </c>
      <c r="AB10" s="10">
        <v>0.1857</v>
      </c>
      <c r="AC10" s="10">
        <v>0.18640000000000001</v>
      </c>
      <c r="AD10" s="10">
        <v>0.187</v>
      </c>
      <c r="AE10" s="10">
        <v>0.18740000000000001</v>
      </c>
      <c r="AF10" s="10">
        <v>0.188</v>
      </c>
      <c r="AG10" s="10">
        <v>0.18820000000000001</v>
      </c>
      <c r="AH10" s="10">
        <v>0.1883</v>
      </c>
      <c r="AI10" s="10">
        <v>0.1883</v>
      </c>
      <c r="AJ10" s="10">
        <v>0.1883</v>
      </c>
      <c r="AK10" s="10">
        <v>0.18809999999999999</v>
      </c>
      <c r="AL10" s="10">
        <v>0.188</v>
      </c>
      <c r="AM10" s="10">
        <v>0.18779999999999999</v>
      </c>
      <c r="AN10" s="10">
        <v>0.18759999999999999</v>
      </c>
      <c r="AO10" s="10">
        <v>0.18740000000000001</v>
      </c>
      <c r="AP10" s="10">
        <v>0.18709999999999999</v>
      </c>
      <c r="AQ10" s="10">
        <v>0.18679999999999999</v>
      </c>
      <c r="AR10" s="10">
        <v>0.1865</v>
      </c>
      <c r="AS10" s="10">
        <v>0.1862</v>
      </c>
      <c r="AT10" s="10">
        <v>0.18590000000000001</v>
      </c>
      <c r="AU10" s="10">
        <v>0.1855</v>
      </c>
      <c r="AV10" s="10">
        <v>0.18509999999999999</v>
      </c>
      <c r="AW10" s="10">
        <v>0.1847</v>
      </c>
    </row>
    <row r="11" spans="2:49" x14ac:dyDescent="0.2">
      <c r="B11" s="10">
        <v>6</v>
      </c>
      <c r="C11" s="11"/>
      <c r="D11" s="10"/>
      <c r="E11" s="10"/>
      <c r="F11" s="10"/>
      <c r="G11" s="10"/>
      <c r="H11" s="10"/>
      <c r="I11" s="10"/>
      <c r="J11" s="10"/>
      <c r="K11" s="10"/>
      <c r="L11" s="10">
        <v>0</v>
      </c>
      <c r="M11" s="10">
        <v>3.0300000000000001E-2</v>
      </c>
      <c r="N11" s="10">
        <v>5.3900000000000003E-2</v>
      </c>
      <c r="O11" s="10">
        <v>7.2700000000000001E-2</v>
      </c>
      <c r="P11" s="10">
        <v>8.7999999999999995E-2</v>
      </c>
      <c r="Q11" s="12">
        <v>0.10050000000000001</v>
      </c>
      <c r="R11" s="12">
        <v>0.1109</v>
      </c>
      <c r="S11" s="10">
        <v>0.1197</v>
      </c>
      <c r="T11" s="14">
        <v>0.12709999999999999</v>
      </c>
      <c r="U11" s="10">
        <v>0.13339999999999999</v>
      </c>
      <c r="V11" s="10">
        <v>0.1399</v>
      </c>
      <c r="W11" s="10">
        <v>0.14430000000000001</v>
      </c>
      <c r="X11" s="10">
        <v>0.14799999999999999</v>
      </c>
      <c r="Y11" s="10">
        <v>0.1512</v>
      </c>
      <c r="Z11" s="10">
        <v>0.15390000000000001</v>
      </c>
      <c r="AA11" s="10">
        <v>0.15840000000000001</v>
      </c>
      <c r="AB11" s="10">
        <v>0.16009999999999999</v>
      </c>
      <c r="AC11" s="10">
        <v>0.16159999999999999</v>
      </c>
      <c r="AD11" s="10">
        <v>0.16300000000000001</v>
      </c>
      <c r="AE11" s="10">
        <v>0.1641</v>
      </c>
      <c r="AF11" s="10">
        <v>0.16600000000000001</v>
      </c>
      <c r="AG11" s="10">
        <v>0.16669999999999999</v>
      </c>
      <c r="AH11" s="10">
        <v>0.1673</v>
      </c>
      <c r="AI11" s="10">
        <v>0.1678</v>
      </c>
      <c r="AJ11" s="10">
        <v>0.16830000000000001</v>
      </c>
      <c r="AK11" s="10">
        <v>0.1686</v>
      </c>
      <c r="AL11" s="10">
        <v>0.16889999999999999</v>
      </c>
      <c r="AM11" s="10">
        <v>0.1691</v>
      </c>
      <c r="AN11" s="10">
        <v>0.16930000000000001</v>
      </c>
      <c r="AO11" s="10">
        <v>0.1694</v>
      </c>
      <c r="AP11" s="10">
        <v>0.16950000000000001</v>
      </c>
      <c r="AQ11" s="10">
        <v>0.16950000000000001</v>
      </c>
      <c r="AR11" s="10">
        <v>0.16950000000000001</v>
      </c>
      <c r="AS11" s="10">
        <v>0.16950000000000001</v>
      </c>
      <c r="AT11" s="10">
        <v>0.16950000000000001</v>
      </c>
      <c r="AU11" s="10">
        <v>0.16930000000000001</v>
      </c>
      <c r="AV11" s="10">
        <v>0.16919999999999999</v>
      </c>
      <c r="AW11" s="10">
        <v>0.1691</v>
      </c>
    </row>
    <row r="12" spans="2:49" x14ac:dyDescent="0.2">
      <c r="B12" s="10">
        <v>7</v>
      </c>
      <c r="C12" s="11"/>
      <c r="D12" s="10"/>
      <c r="E12" s="10"/>
      <c r="F12" s="10"/>
      <c r="G12" s="10"/>
      <c r="H12" s="10"/>
      <c r="I12" s="10"/>
      <c r="J12" s="10"/>
      <c r="K12" s="10"/>
      <c r="L12" s="10"/>
      <c r="M12" s="10"/>
      <c r="N12" s="10">
        <v>0</v>
      </c>
      <c r="O12" s="10">
        <v>2.4E-2</v>
      </c>
      <c r="P12" s="10">
        <v>4.3299999999999998E-2</v>
      </c>
      <c r="Q12" s="12">
        <v>5.9299999999999999E-2</v>
      </c>
      <c r="R12" s="12">
        <v>7.2499999999999995E-2</v>
      </c>
      <c r="S12" s="10">
        <v>8.3699999999999997E-2</v>
      </c>
      <c r="T12" s="14">
        <v>9.3200000000000005E-2</v>
      </c>
      <c r="U12" s="10">
        <v>0.1013</v>
      </c>
      <c r="V12" s="10">
        <v>0.10920000000000001</v>
      </c>
      <c r="W12" s="10">
        <v>0.115</v>
      </c>
      <c r="X12" s="10">
        <v>0.1201</v>
      </c>
      <c r="Y12" s="10">
        <v>0.1245</v>
      </c>
      <c r="Z12" s="10">
        <v>0.1283</v>
      </c>
      <c r="AA12" s="10">
        <v>0.1346</v>
      </c>
      <c r="AB12" s="10">
        <v>0.13719999999999999</v>
      </c>
      <c r="AC12" s="10">
        <v>0.13950000000000001</v>
      </c>
      <c r="AD12" s="10">
        <v>0.14149999999999999</v>
      </c>
      <c r="AE12" s="10">
        <v>0.14330000000000001</v>
      </c>
      <c r="AF12" s="10">
        <v>0.14630000000000001</v>
      </c>
      <c r="AG12" s="10">
        <v>0.14749999999999999</v>
      </c>
      <c r="AH12" s="10">
        <v>0.1487</v>
      </c>
      <c r="AI12" s="10">
        <v>0.14960000000000001</v>
      </c>
      <c r="AJ12" s="10">
        <v>0.15049999999999999</v>
      </c>
      <c r="AK12" s="10">
        <v>0.15129999999999999</v>
      </c>
      <c r="AL12" s="10">
        <v>0.152</v>
      </c>
      <c r="AM12" s="10">
        <v>0.15260000000000001</v>
      </c>
      <c r="AN12" s="10">
        <v>0.15310000000000001</v>
      </c>
      <c r="AO12" s="10">
        <v>0.1535</v>
      </c>
      <c r="AP12" s="10">
        <v>0.15390000000000001</v>
      </c>
      <c r="AQ12" s="10">
        <v>0.1542</v>
      </c>
      <c r="AR12" s="10">
        <v>0.1545</v>
      </c>
      <c r="AS12" s="10">
        <v>0.15479999999999999</v>
      </c>
      <c r="AT12" s="10">
        <v>0.155</v>
      </c>
      <c r="AU12" s="10">
        <v>0.15509999999999999</v>
      </c>
      <c r="AV12" s="10">
        <v>0.15529999999999999</v>
      </c>
      <c r="AW12" s="10">
        <v>0.15540000000000001</v>
      </c>
    </row>
    <row r="13" spans="2:49" x14ac:dyDescent="0.2">
      <c r="B13" s="10">
        <v>8</v>
      </c>
      <c r="C13" s="11"/>
      <c r="D13" s="10"/>
      <c r="E13" s="10"/>
      <c r="F13" s="10"/>
      <c r="G13" s="10"/>
      <c r="H13" s="10"/>
      <c r="I13" s="10"/>
      <c r="J13" s="10"/>
      <c r="K13" s="10"/>
      <c r="L13" s="10"/>
      <c r="M13" s="10"/>
      <c r="N13" s="10"/>
      <c r="O13" s="10"/>
      <c r="P13" s="10">
        <v>0</v>
      </c>
      <c r="Q13" s="12">
        <v>1.9599999999999999E-2</v>
      </c>
      <c r="R13" s="12">
        <v>3.5900000000000001E-2</v>
      </c>
      <c r="S13" s="10">
        <v>4.9599999999999998E-2</v>
      </c>
      <c r="T13" s="14">
        <v>6.1199999999999997E-2</v>
      </c>
      <c r="U13" s="10">
        <v>7.1099999999999997E-2</v>
      </c>
      <c r="V13" s="10">
        <v>8.0399999999999999E-2</v>
      </c>
      <c r="W13" s="10">
        <v>8.7800000000000003E-2</v>
      </c>
      <c r="X13" s="10">
        <v>9.4100000000000003E-2</v>
      </c>
      <c r="Y13" s="10">
        <v>9.9699999999999997E-2</v>
      </c>
      <c r="Z13" s="10">
        <v>0.1046</v>
      </c>
      <c r="AA13" s="10">
        <v>0.1128</v>
      </c>
      <c r="AB13" s="10">
        <v>0.1162</v>
      </c>
      <c r="AC13" s="10">
        <v>0.1192</v>
      </c>
      <c r="AD13" s="10">
        <v>0.12189999999999999</v>
      </c>
      <c r="AE13" s="10">
        <v>0.12429999999999999</v>
      </c>
      <c r="AF13" s="10">
        <v>0.12839999999999999</v>
      </c>
      <c r="AG13" s="10">
        <v>0.13009999999999999</v>
      </c>
      <c r="AH13" s="10">
        <v>0.13170000000000001</v>
      </c>
      <c r="AI13" s="10">
        <v>0.1331</v>
      </c>
      <c r="AJ13" s="10">
        <v>0.13439999999999999</v>
      </c>
      <c r="AK13" s="10">
        <v>0.1356</v>
      </c>
      <c r="AL13" s="10">
        <v>0.1366</v>
      </c>
      <c r="AM13" s="10">
        <v>0.1376</v>
      </c>
      <c r="AN13" s="10">
        <v>0.1384</v>
      </c>
      <c r="AO13" s="10">
        <v>0.13919999999999999</v>
      </c>
      <c r="AP13" s="10">
        <v>0.13980000000000001</v>
      </c>
      <c r="AQ13" s="10">
        <v>0.14050000000000001</v>
      </c>
      <c r="AR13" s="10">
        <v>0.14099999999999999</v>
      </c>
      <c r="AS13" s="10">
        <v>0.14149999999999999</v>
      </c>
      <c r="AT13" s="10">
        <v>0.14199999999999999</v>
      </c>
      <c r="AU13" s="10">
        <v>0.14230000000000001</v>
      </c>
      <c r="AV13" s="10">
        <v>0.14269999999999999</v>
      </c>
      <c r="AW13" s="10">
        <v>0.14299999999999999</v>
      </c>
    </row>
    <row r="14" spans="2:49" x14ac:dyDescent="0.2">
      <c r="B14" s="10">
        <v>9</v>
      </c>
      <c r="C14" s="11"/>
      <c r="D14" s="10"/>
      <c r="E14" s="10"/>
      <c r="F14" s="10"/>
      <c r="G14" s="10"/>
      <c r="H14" s="10"/>
      <c r="I14" s="10"/>
      <c r="J14" s="10"/>
      <c r="K14" s="10"/>
      <c r="L14" s="10"/>
      <c r="M14" s="10"/>
      <c r="N14" s="10"/>
      <c r="O14" s="10"/>
      <c r="P14" s="10"/>
      <c r="Q14" s="12"/>
      <c r="R14" s="12">
        <v>0</v>
      </c>
      <c r="S14" s="10">
        <v>1.6299999999999999E-2</v>
      </c>
      <c r="T14" s="14">
        <v>3.0300000000000001E-2</v>
      </c>
      <c r="U14" s="10">
        <v>4.2200000000000001E-2</v>
      </c>
      <c r="V14" s="10">
        <v>5.2999999999999999E-2</v>
      </c>
      <c r="W14" s="10">
        <v>6.1800000000000001E-2</v>
      </c>
      <c r="X14" s="10">
        <v>6.9599999999999995E-2</v>
      </c>
      <c r="Y14" s="10">
        <v>7.6399999999999996E-2</v>
      </c>
      <c r="Z14" s="10">
        <v>8.2299999999999998E-2</v>
      </c>
      <c r="AA14" s="10">
        <v>9.2299999999999993E-2</v>
      </c>
      <c r="AB14" s="10">
        <v>9.6500000000000002E-2</v>
      </c>
      <c r="AC14" s="10">
        <v>0.1002</v>
      </c>
      <c r="AD14" s="10">
        <v>0.1036</v>
      </c>
      <c r="AE14" s="10">
        <v>0.1066</v>
      </c>
      <c r="AF14" s="10">
        <v>0.1116</v>
      </c>
      <c r="AG14" s="10">
        <v>0.114</v>
      </c>
      <c r="AH14" s="10">
        <v>0.11600000000000001</v>
      </c>
      <c r="AI14" s="10">
        <v>0.1179</v>
      </c>
      <c r="AJ14" s="10">
        <v>0.1196</v>
      </c>
      <c r="AK14" s="10">
        <v>0.1211</v>
      </c>
      <c r="AL14" s="10">
        <v>0.1225</v>
      </c>
      <c r="AM14" s="10">
        <v>0.1237</v>
      </c>
      <c r="AN14" s="10">
        <v>0.1249</v>
      </c>
      <c r="AO14" s="10">
        <v>0.12590000000000001</v>
      </c>
      <c r="AP14" s="10">
        <v>0.12690000000000001</v>
      </c>
      <c r="AQ14" s="10">
        <v>0.1278</v>
      </c>
      <c r="AR14" s="10">
        <v>0.12859999999999999</v>
      </c>
      <c r="AS14" s="10">
        <v>0.1293</v>
      </c>
      <c r="AT14" s="10">
        <v>0.13</v>
      </c>
      <c r="AU14" s="10">
        <v>0.13059999999999999</v>
      </c>
      <c r="AV14" s="10">
        <v>0.13120000000000001</v>
      </c>
      <c r="AW14" s="10">
        <v>0.13170000000000001</v>
      </c>
    </row>
    <row r="15" spans="2:49" x14ac:dyDescent="0.2">
      <c r="B15" s="10">
        <v>10</v>
      </c>
      <c r="C15" s="11"/>
      <c r="D15" s="10"/>
      <c r="E15" s="10"/>
      <c r="F15" s="10"/>
      <c r="G15" s="10"/>
      <c r="H15" s="10"/>
      <c r="I15" s="10"/>
      <c r="J15" s="10"/>
      <c r="K15" s="10"/>
      <c r="L15" s="10"/>
      <c r="M15" s="10"/>
      <c r="N15" s="10"/>
      <c r="O15" s="10"/>
      <c r="P15" s="10"/>
      <c r="Q15" s="12"/>
      <c r="R15" s="12"/>
      <c r="S15" s="10"/>
      <c r="T15" s="14">
        <v>0</v>
      </c>
      <c r="U15" s="10">
        <v>1.4E-2</v>
      </c>
      <c r="V15" s="10">
        <v>2.63E-2</v>
      </c>
      <c r="W15" s="10">
        <v>3.6799999999999999E-2</v>
      </c>
      <c r="X15" s="10">
        <v>4.5900000000000003E-2</v>
      </c>
      <c r="Y15" s="10">
        <v>5.3900000000000003E-2</v>
      </c>
      <c r="Z15" s="10">
        <v>6.0999999999999999E-2</v>
      </c>
      <c r="AA15" s="10">
        <v>7.2800000000000004E-2</v>
      </c>
      <c r="AB15" s="10">
        <v>7.7799999999999994E-2</v>
      </c>
      <c r="AC15" s="10">
        <v>8.2199999999999995E-2</v>
      </c>
      <c r="AD15" s="10">
        <v>8.6199999999999999E-2</v>
      </c>
      <c r="AE15" s="10">
        <v>8.9899999999999994E-2</v>
      </c>
      <c r="AF15" s="10">
        <v>9.6100000000000005E-2</v>
      </c>
      <c r="AG15" s="10">
        <v>9.8799999999999999E-2</v>
      </c>
      <c r="AH15" s="10">
        <v>0.1013</v>
      </c>
      <c r="AI15" s="10">
        <v>0.1036</v>
      </c>
      <c r="AJ15" s="10">
        <v>0.1056</v>
      </c>
      <c r="AK15" s="10">
        <v>0.1075</v>
      </c>
      <c r="AL15" s="10">
        <v>0.10920000000000001</v>
      </c>
      <c r="AM15" s="10">
        <v>0.1108</v>
      </c>
      <c r="AN15" s="10">
        <v>0.1123</v>
      </c>
      <c r="AO15" s="10">
        <v>0.11360000000000001</v>
      </c>
      <c r="AP15" s="10">
        <v>0.1149</v>
      </c>
      <c r="AQ15" s="10">
        <v>0.11600000000000001</v>
      </c>
      <c r="AR15" s="10">
        <v>0.11700000000000001</v>
      </c>
      <c r="AS15" s="10">
        <v>0.11799999999999999</v>
      </c>
      <c r="AT15" s="10">
        <v>0.11890000000000001</v>
      </c>
      <c r="AU15" s="10">
        <v>0.1197</v>
      </c>
      <c r="AV15" s="10">
        <v>0.1205</v>
      </c>
      <c r="AW15" s="10">
        <v>0.1212</v>
      </c>
    </row>
    <row r="16" spans="2:49" x14ac:dyDescent="0.2">
      <c r="B16" s="10">
        <v>11</v>
      </c>
      <c r="C16" s="11"/>
      <c r="D16" s="10"/>
      <c r="E16" s="10"/>
      <c r="F16" s="10"/>
      <c r="G16" s="10"/>
      <c r="H16" s="10"/>
      <c r="I16" s="10"/>
      <c r="J16" s="10"/>
      <c r="K16" s="10"/>
      <c r="L16" s="10"/>
      <c r="M16" s="10"/>
      <c r="N16" s="10"/>
      <c r="O16" s="10"/>
      <c r="P16" s="10"/>
      <c r="Q16" s="12"/>
      <c r="R16" s="12"/>
      <c r="S16" s="10"/>
      <c r="T16" s="10"/>
      <c r="U16" s="10"/>
      <c r="V16" s="10">
        <v>0</v>
      </c>
      <c r="W16" s="10">
        <v>1.2200000000000001E-2</v>
      </c>
      <c r="X16" s="10">
        <v>2.2800000000000001E-2</v>
      </c>
      <c r="Y16" s="10">
        <v>3.2099999999999997E-2</v>
      </c>
      <c r="Z16" s="10">
        <v>4.0300000000000002E-2</v>
      </c>
      <c r="AA16" s="10">
        <v>5.3999999999999999E-2</v>
      </c>
      <c r="AB16" s="10">
        <v>5.9799999999999999E-2</v>
      </c>
      <c r="AC16" s="10">
        <v>6.5000000000000002E-2</v>
      </c>
      <c r="AD16" s="10">
        <v>6.9699999999999998E-2</v>
      </c>
      <c r="AE16" s="10">
        <v>7.3899999999999993E-2</v>
      </c>
      <c r="AF16" s="10">
        <v>8.1199999999999994E-2</v>
      </c>
      <c r="AG16" s="10">
        <v>8.4400000000000003E-2</v>
      </c>
      <c r="AH16" s="10">
        <v>8.7300000000000003E-2</v>
      </c>
      <c r="AI16" s="10">
        <v>0.09</v>
      </c>
      <c r="AJ16" s="10">
        <v>9.2399999999999996E-2</v>
      </c>
      <c r="AK16" s="10">
        <v>9.4700000000000006E-2</v>
      </c>
      <c r="AL16" s="10">
        <v>9.6699999999999994E-2</v>
      </c>
      <c r="AM16" s="10">
        <v>9.8599999999999993E-2</v>
      </c>
      <c r="AN16" s="10">
        <v>0.1004</v>
      </c>
      <c r="AO16" s="10">
        <v>0.10199999999999999</v>
      </c>
      <c r="AP16" s="10">
        <v>0.10349999999999999</v>
      </c>
      <c r="AQ16" s="10">
        <v>0.10489999999999999</v>
      </c>
      <c r="AR16" s="10">
        <v>0.1062</v>
      </c>
      <c r="AS16" s="10">
        <v>0.10730000000000001</v>
      </c>
      <c r="AT16" s="10">
        <v>0.1085</v>
      </c>
      <c r="AU16" s="10">
        <v>0.1095</v>
      </c>
      <c r="AV16" s="10">
        <v>0.1105</v>
      </c>
      <c r="AW16" s="10">
        <v>0.1113</v>
      </c>
    </row>
    <row r="17" spans="2:49" x14ac:dyDescent="0.2">
      <c r="B17" s="10">
        <v>12</v>
      </c>
      <c r="C17" s="11"/>
      <c r="D17" s="10"/>
      <c r="E17" s="10"/>
      <c r="F17" s="10"/>
      <c r="G17" s="10"/>
      <c r="H17" s="10"/>
      <c r="I17" s="10"/>
      <c r="J17" s="10"/>
      <c r="K17" s="10"/>
      <c r="L17" s="10"/>
      <c r="M17" s="10"/>
      <c r="N17" s="10"/>
      <c r="O17" s="10"/>
      <c r="P17" s="10"/>
      <c r="Q17" s="12"/>
      <c r="R17" s="12"/>
      <c r="S17" s="10"/>
      <c r="T17" s="10"/>
      <c r="U17" s="10"/>
      <c r="V17" s="10"/>
      <c r="W17" s="10"/>
      <c r="X17" s="10">
        <v>0</v>
      </c>
      <c r="Y17" s="10">
        <v>1.0699999999999999E-2</v>
      </c>
      <c r="Z17" s="10">
        <v>0.02</v>
      </c>
      <c r="AA17" s="10">
        <v>3.5799999999999998E-2</v>
      </c>
      <c r="AB17" s="10">
        <v>4.24E-2</v>
      </c>
      <c r="AC17" s="10">
        <v>4.8300000000000003E-2</v>
      </c>
      <c r="AD17" s="10">
        <v>5.3699999999999998E-2</v>
      </c>
      <c r="AE17" s="10">
        <v>5.8500000000000003E-2</v>
      </c>
      <c r="AF17" s="10">
        <v>6.6900000000000001E-2</v>
      </c>
      <c r="AG17" s="10">
        <v>7.0599999999999996E-2</v>
      </c>
      <c r="AH17" s="10">
        <v>7.3899999999999993E-2</v>
      </c>
      <c r="AI17" s="10">
        <v>7.6999999999999999E-2</v>
      </c>
      <c r="AJ17" s="10">
        <v>7.9799999999999996E-2</v>
      </c>
      <c r="AK17" s="10">
        <v>8.2400000000000001E-2</v>
      </c>
      <c r="AL17" s="10">
        <v>8.48E-2</v>
      </c>
      <c r="AM17" s="10">
        <v>8.6999999999999994E-2</v>
      </c>
      <c r="AN17" s="10">
        <v>8.9099999999999999E-2</v>
      </c>
      <c r="AO17" s="10">
        <v>9.0899999999999995E-2</v>
      </c>
      <c r="AP17" s="10">
        <v>9.2700000000000005E-2</v>
      </c>
      <c r="AQ17" s="10">
        <v>9.4299999999999995E-2</v>
      </c>
      <c r="AR17" s="10">
        <v>9.5899999999999999E-2</v>
      </c>
      <c r="AS17" s="10">
        <v>9.7199999999999995E-2</v>
      </c>
      <c r="AT17" s="10">
        <v>9.8599999999999993E-2</v>
      </c>
      <c r="AU17" s="10">
        <v>9.98E-2</v>
      </c>
      <c r="AV17" s="10">
        <v>0.10100000000000001</v>
      </c>
      <c r="AW17" s="10">
        <v>0.10199999999999999</v>
      </c>
    </row>
    <row r="18" spans="2:49" x14ac:dyDescent="0.2">
      <c r="B18" s="10">
        <v>13</v>
      </c>
      <c r="C18" s="11"/>
      <c r="D18" s="10"/>
      <c r="E18" s="10"/>
      <c r="F18" s="10"/>
      <c r="G18" s="10"/>
      <c r="H18" s="10"/>
      <c r="I18" s="10"/>
      <c r="J18" s="10"/>
      <c r="K18" s="10"/>
      <c r="L18" s="10"/>
      <c r="M18" s="10"/>
      <c r="N18" s="10"/>
      <c r="O18" s="10"/>
      <c r="P18" s="10"/>
      <c r="Q18" s="12"/>
      <c r="R18" s="12"/>
      <c r="S18" s="10"/>
      <c r="T18" s="10"/>
      <c r="U18" s="10"/>
      <c r="V18" s="10"/>
      <c r="W18" s="10"/>
      <c r="X18" s="10"/>
      <c r="Y18" s="10"/>
      <c r="Z18" s="10">
        <v>0</v>
      </c>
      <c r="AA18" s="10">
        <v>1.78E-2</v>
      </c>
      <c r="AB18" s="10">
        <v>2.53E-2</v>
      </c>
      <c r="AC18" s="10">
        <v>3.2000000000000001E-2</v>
      </c>
      <c r="AD18" s="10">
        <v>3.8100000000000002E-2</v>
      </c>
      <c r="AE18" s="10">
        <v>4.3499999999999997E-2</v>
      </c>
      <c r="AF18" s="10">
        <v>5.2999999999999999E-2</v>
      </c>
      <c r="AG18" s="10">
        <v>5.7200000000000001E-2</v>
      </c>
      <c r="AH18" s="10">
        <v>6.0999999999999999E-2</v>
      </c>
      <c r="AI18" s="10">
        <v>6.4500000000000002E-2</v>
      </c>
      <c r="AJ18" s="10">
        <v>6.7699999999999996E-2</v>
      </c>
      <c r="AK18" s="10">
        <v>7.0599999999999996E-2</v>
      </c>
      <c r="AL18" s="10">
        <v>7.3300000000000004E-2</v>
      </c>
      <c r="AM18" s="10">
        <v>7.5899999999999995E-2</v>
      </c>
      <c r="AN18" s="10">
        <v>7.8200000000000006E-2</v>
      </c>
      <c r="AO18" s="10">
        <v>8.0399999999999999E-2</v>
      </c>
      <c r="AP18" s="10">
        <v>8.2400000000000001E-2</v>
      </c>
      <c r="AQ18" s="10">
        <v>8.4199999999999997E-2</v>
      </c>
      <c r="AR18" s="10">
        <v>8.5999999999999993E-2</v>
      </c>
      <c r="AS18" s="10">
        <v>8.7599999999999997E-2</v>
      </c>
      <c r="AT18" s="10">
        <v>8.9200000000000002E-2</v>
      </c>
      <c r="AU18" s="10">
        <v>9.06E-2</v>
      </c>
      <c r="AV18" s="10">
        <v>9.1899999999999996E-2</v>
      </c>
      <c r="AW18" s="10">
        <v>9.3200000000000005E-2</v>
      </c>
    </row>
    <row r="19" spans="2:49" x14ac:dyDescent="0.2">
      <c r="B19" s="10">
        <v>14</v>
      </c>
      <c r="C19" s="11"/>
      <c r="D19" s="10"/>
      <c r="E19" s="10"/>
      <c r="F19" s="10"/>
      <c r="G19" s="10"/>
      <c r="H19" s="10"/>
      <c r="I19" s="10"/>
      <c r="J19" s="10"/>
      <c r="K19" s="10"/>
      <c r="L19" s="10"/>
      <c r="M19" s="10"/>
      <c r="N19" s="10"/>
      <c r="O19" s="10"/>
      <c r="P19" s="10"/>
      <c r="Q19" s="12"/>
      <c r="R19" s="12"/>
      <c r="S19" s="10"/>
      <c r="T19" s="10"/>
      <c r="U19" s="10"/>
      <c r="V19" s="10"/>
      <c r="W19" s="10"/>
      <c r="X19" s="10"/>
      <c r="Y19" s="10"/>
      <c r="Z19" s="10"/>
      <c r="AA19" s="10">
        <v>0</v>
      </c>
      <c r="AB19" s="10">
        <v>8.3999999999999995E-3</v>
      </c>
      <c r="AC19" s="10">
        <v>1.5900000000000001E-2</v>
      </c>
      <c r="AD19" s="10">
        <v>2.2700000000000001E-2</v>
      </c>
      <c r="AE19" s="10">
        <v>2.8899999999999999E-2</v>
      </c>
      <c r="AF19" s="10">
        <v>3.95E-2</v>
      </c>
      <c r="AG19" s="10">
        <v>4.41E-2</v>
      </c>
      <c r="AH19" s="10">
        <v>4.8399999999999999E-2</v>
      </c>
      <c r="AI19" s="10">
        <v>5.2299999999999999E-2</v>
      </c>
      <c r="AJ19" s="10">
        <v>5.5899999999999998E-2</v>
      </c>
      <c r="AK19" s="10">
        <v>5.9200000000000003E-2</v>
      </c>
      <c r="AL19" s="10">
        <v>6.2199999999999998E-2</v>
      </c>
      <c r="AM19" s="10">
        <v>6.5100000000000005E-2</v>
      </c>
      <c r="AN19" s="10">
        <v>6.7699999999999996E-2</v>
      </c>
      <c r="AO19" s="10">
        <v>7.0099999999999996E-2</v>
      </c>
      <c r="AP19" s="10">
        <v>7.2400000000000006E-2</v>
      </c>
      <c r="AQ19" s="10">
        <v>7.4499999999999997E-2</v>
      </c>
      <c r="AR19" s="10">
        <v>7.6499999999999999E-2</v>
      </c>
      <c r="AS19" s="10">
        <v>7.8299999999999995E-2</v>
      </c>
      <c r="AT19" s="10">
        <v>8.0100000000000005E-2</v>
      </c>
      <c r="AU19" s="10">
        <v>8.1699999999999995E-2</v>
      </c>
      <c r="AV19" s="10">
        <v>8.3199999999999996E-2</v>
      </c>
      <c r="AW19" s="10">
        <v>8.4599999999999995E-2</v>
      </c>
    </row>
    <row r="20" spans="2:49" x14ac:dyDescent="0.2">
      <c r="B20" s="10">
        <v>15</v>
      </c>
      <c r="C20" s="11"/>
      <c r="D20" s="10"/>
      <c r="E20" s="10"/>
      <c r="F20" s="10"/>
      <c r="G20" s="10"/>
      <c r="H20" s="10"/>
      <c r="I20" s="10"/>
      <c r="J20" s="10"/>
      <c r="K20" s="10"/>
      <c r="L20" s="10"/>
      <c r="M20" s="10"/>
      <c r="N20" s="10"/>
      <c r="O20" s="10"/>
      <c r="P20" s="10"/>
      <c r="Q20" s="12"/>
      <c r="R20" s="12"/>
      <c r="S20" s="10"/>
      <c r="T20" s="10"/>
      <c r="U20" s="10"/>
      <c r="V20" s="10"/>
      <c r="W20" s="10"/>
      <c r="X20" s="10"/>
      <c r="Y20" s="10"/>
      <c r="Z20" s="10"/>
      <c r="AA20" s="10"/>
      <c r="AB20" s="10"/>
      <c r="AC20" s="10">
        <v>0</v>
      </c>
      <c r="AD20" s="10">
        <v>7.6E-3</v>
      </c>
      <c r="AE20" s="10">
        <v>1.44E-2</v>
      </c>
      <c r="AF20" s="10">
        <v>2.6200000000000001E-2</v>
      </c>
      <c r="AG20" s="10">
        <v>3.1399999999999997E-2</v>
      </c>
      <c r="AH20" s="10">
        <v>3.61E-2</v>
      </c>
      <c r="AI20" s="10">
        <v>4.0399999999999998E-2</v>
      </c>
      <c r="AJ20" s="10">
        <v>4.4400000000000002E-2</v>
      </c>
      <c r="AK20" s="10">
        <v>4.8099999999999997E-2</v>
      </c>
      <c r="AL20" s="10">
        <v>5.1499999999999997E-2</v>
      </c>
      <c r="AM20" s="10">
        <v>5.4600000000000003E-2</v>
      </c>
      <c r="AN20" s="10">
        <v>5.7500000000000002E-2</v>
      </c>
      <c r="AO20" s="10">
        <v>6.0199999999999997E-2</v>
      </c>
      <c r="AP20" s="10">
        <v>6.2799999999999995E-2</v>
      </c>
      <c r="AQ20" s="10">
        <v>6.5100000000000005E-2</v>
      </c>
      <c r="AR20" s="10">
        <v>6.7299999999999999E-2</v>
      </c>
      <c r="AS20" s="10">
        <v>6.9400000000000003E-2</v>
      </c>
      <c r="AT20" s="10">
        <v>7.1300000000000002E-2</v>
      </c>
      <c r="AU20" s="10">
        <v>7.3099999999999998E-2</v>
      </c>
      <c r="AV20" s="10">
        <v>7.4800000000000005E-2</v>
      </c>
      <c r="AW20" s="10">
        <v>7.6399999999999996E-2</v>
      </c>
    </row>
    <row r="21" spans="2:49" x14ac:dyDescent="0.2">
      <c r="B21" s="10">
        <v>16</v>
      </c>
      <c r="C21" s="11"/>
      <c r="D21" s="10"/>
      <c r="E21" s="10"/>
      <c r="F21" s="10"/>
      <c r="G21" s="10"/>
      <c r="H21" s="10"/>
      <c r="I21" s="10"/>
      <c r="J21" s="10"/>
      <c r="K21" s="10"/>
      <c r="L21" s="10"/>
      <c r="M21" s="10"/>
      <c r="N21" s="10"/>
      <c r="O21" s="10"/>
      <c r="P21" s="10"/>
      <c r="Q21" s="12"/>
      <c r="R21" s="12"/>
      <c r="S21" s="10"/>
      <c r="T21" s="10"/>
      <c r="U21" s="10"/>
      <c r="V21" s="10"/>
      <c r="W21" s="10"/>
      <c r="X21" s="10"/>
      <c r="Y21" s="10"/>
      <c r="Z21" s="10"/>
      <c r="AA21" s="10"/>
      <c r="AB21" s="10"/>
      <c r="AC21" s="10"/>
      <c r="AD21" s="10"/>
      <c r="AE21" s="10">
        <v>0</v>
      </c>
      <c r="AF21" s="10">
        <v>1.3100000000000001E-2</v>
      </c>
      <c r="AG21" s="10">
        <v>1.8700000000000001E-2</v>
      </c>
      <c r="AH21" s="10">
        <v>2.3900000000000001E-2</v>
      </c>
      <c r="AI21" s="10">
        <v>2.87E-2</v>
      </c>
      <c r="AJ21" s="10">
        <v>3.3099999999999997E-2</v>
      </c>
      <c r="AK21" s="10">
        <v>3.7199999999999997E-2</v>
      </c>
      <c r="AL21" s="10">
        <v>4.0899999999999999E-2</v>
      </c>
      <c r="AM21" s="10">
        <v>4.4400000000000002E-2</v>
      </c>
      <c r="AN21" s="10">
        <v>4.7600000000000003E-2</v>
      </c>
      <c r="AO21" s="10">
        <v>5.0599999999999999E-2</v>
      </c>
      <c r="AP21" s="10">
        <v>5.3400000000000003E-2</v>
      </c>
      <c r="AQ21" s="10">
        <v>5.6000000000000001E-2</v>
      </c>
      <c r="AR21" s="10">
        <v>5.8400000000000001E-2</v>
      </c>
      <c r="AS21" s="10">
        <v>6.0699999999999997E-2</v>
      </c>
      <c r="AT21" s="10">
        <v>6.2799999999999995E-2</v>
      </c>
      <c r="AU21" s="10">
        <v>6.4799999999999996E-2</v>
      </c>
      <c r="AV21" s="10">
        <v>6.6699999999999995E-2</v>
      </c>
      <c r="AW21" s="10">
        <v>6.8500000000000005E-2</v>
      </c>
    </row>
    <row r="22" spans="2:49" x14ac:dyDescent="0.2">
      <c r="B22" s="10">
        <v>17</v>
      </c>
      <c r="C22" s="11"/>
      <c r="D22" s="10"/>
      <c r="E22" s="10"/>
      <c r="F22" s="10"/>
      <c r="G22" s="10"/>
      <c r="H22" s="10"/>
      <c r="I22" s="10"/>
      <c r="J22" s="10"/>
      <c r="K22" s="10"/>
      <c r="L22" s="10"/>
      <c r="M22" s="10"/>
      <c r="N22" s="10"/>
      <c r="O22" s="10"/>
      <c r="P22" s="10"/>
      <c r="Q22" s="12"/>
      <c r="R22" s="12"/>
      <c r="S22" s="10"/>
      <c r="T22" s="10"/>
      <c r="U22" s="10"/>
      <c r="V22" s="10"/>
      <c r="W22" s="10"/>
      <c r="X22" s="10"/>
      <c r="Y22" s="10"/>
      <c r="Z22" s="10"/>
      <c r="AA22" s="15"/>
      <c r="AB22" s="10"/>
      <c r="AC22" s="10"/>
      <c r="AD22" s="10"/>
      <c r="AE22" s="10"/>
      <c r="AF22" s="10">
        <v>0</v>
      </c>
      <c r="AG22" s="10">
        <v>6.1999999999999998E-3</v>
      </c>
      <c r="AH22" s="10">
        <v>1.1900000000000001E-2</v>
      </c>
      <c r="AI22" s="10">
        <v>1.72E-2</v>
      </c>
      <c r="AJ22" s="10">
        <v>2.1999999999999999E-2</v>
      </c>
      <c r="AK22" s="10">
        <v>2.64E-2</v>
      </c>
      <c r="AL22" s="10">
        <v>3.0499999999999999E-2</v>
      </c>
      <c r="AM22" s="10">
        <v>3.4299999999999997E-2</v>
      </c>
      <c r="AN22" s="10">
        <v>3.7900000000000003E-2</v>
      </c>
      <c r="AO22" s="10">
        <v>4.1099999999999998E-2</v>
      </c>
      <c r="AP22" s="10">
        <v>4.4200000000000003E-2</v>
      </c>
      <c r="AQ22" s="10">
        <v>4.7100000000000003E-2</v>
      </c>
      <c r="AR22" s="10">
        <v>4.9700000000000001E-2</v>
      </c>
      <c r="AS22" s="10">
        <v>5.2200000000000003E-2</v>
      </c>
      <c r="AT22" s="10">
        <v>5.4600000000000003E-2</v>
      </c>
      <c r="AU22" s="10">
        <v>5.6800000000000003E-2</v>
      </c>
      <c r="AV22" s="10">
        <v>5.8799999999999998E-2</v>
      </c>
      <c r="AW22" s="10">
        <v>6.08E-2</v>
      </c>
    </row>
    <row r="23" spans="2:49" x14ac:dyDescent="0.2">
      <c r="B23" s="10">
        <v>18</v>
      </c>
      <c r="C23" s="11"/>
      <c r="D23" s="10"/>
      <c r="E23" s="10"/>
      <c r="F23" s="10"/>
      <c r="G23" s="10"/>
      <c r="H23" s="10"/>
      <c r="I23" s="10"/>
      <c r="J23" s="10"/>
      <c r="K23" s="10"/>
      <c r="L23" s="10"/>
      <c r="M23" s="10"/>
      <c r="N23" s="10"/>
      <c r="O23" s="10"/>
      <c r="P23" s="10"/>
      <c r="Q23" s="12"/>
      <c r="R23" s="12"/>
      <c r="S23" s="10"/>
      <c r="T23" s="10"/>
      <c r="U23" s="10"/>
      <c r="V23" s="10"/>
      <c r="W23" s="10"/>
      <c r="X23" s="10"/>
      <c r="Y23" s="10"/>
      <c r="Z23" s="10"/>
      <c r="AA23" s="15"/>
      <c r="AB23" s="10"/>
      <c r="AC23" s="10"/>
      <c r="AD23" s="10"/>
      <c r="AE23" s="10"/>
      <c r="AF23" s="10"/>
      <c r="AG23" s="10"/>
      <c r="AH23" s="10">
        <v>0</v>
      </c>
      <c r="AI23" s="10">
        <v>5.7000000000000002E-3</v>
      </c>
      <c r="AJ23" s="10">
        <v>1.0999999999999999E-2</v>
      </c>
      <c r="AK23" s="10">
        <v>1.5800000000000002E-2</v>
      </c>
      <c r="AL23" s="10">
        <v>2.0299999999999999E-2</v>
      </c>
      <c r="AM23" s="10">
        <v>2.4400000000000002E-2</v>
      </c>
      <c r="AN23" s="10">
        <v>2.8299999999999999E-2</v>
      </c>
      <c r="AO23" s="10">
        <v>3.1800000000000002E-2</v>
      </c>
      <c r="AP23" s="10">
        <v>3.5200000000000002E-2</v>
      </c>
      <c r="AQ23" s="10">
        <v>3.8300000000000001E-2</v>
      </c>
      <c r="AR23" s="10">
        <v>4.1200000000000001E-2</v>
      </c>
      <c r="AS23" s="10">
        <v>4.3900000000000002E-2</v>
      </c>
      <c r="AT23" s="10">
        <v>4.65E-2</v>
      </c>
      <c r="AU23" s="10">
        <v>4.8899999999999999E-2</v>
      </c>
      <c r="AV23" s="10">
        <v>5.11E-2</v>
      </c>
      <c r="AW23" s="10">
        <v>5.3199999999999997E-2</v>
      </c>
    </row>
    <row r="24" spans="2:49" x14ac:dyDescent="0.2">
      <c r="B24" s="10">
        <v>19</v>
      </c>
      <c r="C24" s="11"/>
      <c r="D24" s="10"/>
      <c r="E24" s="10"/>
      <c r="F24" s="10"/>
      <c r="G24" s="10"/>
      <c r="H24" s="10"/>
      <c r="I24" s="10"/>
      <c r="J24" s="10"/>
      <c r="K24" s="10"/>
      <c r="L24" s="10"/>
      <c r="M24" s="10"/>
      <c r="N24" s="10"/>
      <c r="O24" s="10"/>
      <c r="P24" s="10"/>
      <c r="Q24" s="12"/>
      <c r="R24" s="12"/>
      <c r="S24" s="10"/>
      <c r="T24" s="10"/>
      <c r="U24" s="10"/>
      <c r="V24" s="10"/>
      <c r="W24" s="10"/>
      <c r="X24" s="10"/>
      <c r="Y24" s="10"/>
      <c r="Z24" s="10"/>
      <c r="AA24" s="15"/>
      <c r="AB24" s="10"/>
      <c r="AC24" s="10"/>
      <c r="AD24" s="10"/>
      <c r="AE24" s="10"/>
      <c r="AF24" s="10"/>
      <c r="AG24" s="10"/>
      <c r="AH24" s="10"/>
      <c r="AI24" s="10"/>
      <c r="AJ24" s="10">
        <v>0</v>
      </c>
      <c r="AK24" s="10">
        <v>5.3E-3</v>
      </c>
      <c r="AL24" s="10">
        <v>1.01E-2</v>
      </c>
      <c r="AM24" s="10">
        <v>1.46E-2</v>
      </c>
      <c r="AN24" s="10">
        <v>1.8800000000000001E-2</v>
      </c>
      <c r="AO24" s="10">
        <v>2.2700000000000001E-2</v>
      </c>
      <c r="AP24" s="10">
        <v>2.63E-2</v>
      </c>
      <c r="AQ24" s="10">
        <v>2.9600000000000001E-2</v>
      </c>
      <c r="AR24" s="10">
        <v>3.2800000000000003E-2</v>
      </c>
      <c r="AS24" s="10">
        <v>3.5700000000000003E-2</v>
      </c>
      <c r="AT24" s="10">
        <v>3.85E-2</v>
      </c>
      <c r="AU24" s="10">
        <v>4.1099999999999998E-2</v>
      </c>
      <c r="AV24" s="10">
        <v>4.36E-2</v>
      </c>
      <c r="AW24" s="10">
        <v>4.5900000000000003E-2</v>
      </c>
    </row>
    <row r="25" spans="2:49" x14ac:dyDescent="0.2">
      <c r="B25" s="10">
        <v>20</v>
      </c>
      <c r="C25" s="11"/>
      <c r="D25" s="10"/>
      <c r="E25" s="10"/>
      <c r="F25" s="10"/>
      <c r="G25" s="10"/>
      <c r="H25" s="10"/>
      <c r="I25" s="10"/>
      <c r="J25" s="10"/>
      <c r="K25" s="10"/>
      <c r="L25" s="10"/>
      <c r="M25" s="10"/>
      <c r="N25" s="10"/>
      <c r="O25" s="10"/>
      <c r="P25" s="10"/>
      <c r="Q25" s="12"/>
      <c r="R25" s="12"/>
      <c r="S25" s="10"/>
      <c r="T25" s="10"/>
      <c r="U25" s="10"/>
      <c r="V25" s="10"/>
      <c r="W25" s="10"/>
      <c r="X25" s="10"/>
      <c r="Y25" s="10"/>
      <c r="Z25" s="10"/>
      <c r="AA25" s="15"/>
      <c r="AB25" s="10"/>
      <c r="AC25" s="10"/>
      <c r="AD25" s="10"/>
      <c r="AE25" s="10"/>
      <c r="AF25" s="10"/>
      <c r="AG25" s="10"/>
      <c r="AH25" s="10"/>
      <c r="AI25" s="10"/>
      <c r="AJ25" s="10"/>
      <c r="AK25" s="10"/>
      <c r="AL25" s="10">
        <v>0</v>
      </c>
      <c r="AM25" s="10">
        <v>4.8999999999999998E-3</v>
      </c>
      <c r="AN25" s="10">
        <v>9.4000000000000004E-3</v>
      </c>
      <c r="AO25" s="10">
        <v>1.3599999999999999E-2</v>
      </c>
      <c r="AP25" s="10">
        <v>1.7500000000000002E-2</v>
      </c>
      <c r="AQ25" s="10">
        <v>2.1100000000000001E-2</v>
      </c>
      <c r="AR25" s="10">
        <v>2.4500000000000001E-2</v>
      </c>
      <c r="AS25" s="10">
        <v>2.7699999999999999E-2</v>
      </c>
      <c r="AT25" s="10">
        <v>3.0700000000000002E-2</v>
      </c>
      <c r="AU25" s="10">
        <v>3.3500000000000002E-2</v>
      </c>
      <c r="AV25" s="10">
        <v>3.61E-2</v>
      </c>
      <c r="AW25" s="10">
        <v>3.8600000000000002E-2</v>
      </c>
    </row>
    <row r="26" spans="2:49" x14ac:dyDescent="0.2">
      <c r="B26" s="10">
        <v>21</v>
      </c>
      <c r="C26" s="11"/>
      <c r="D26" s="10"/>
      <c r="E26" s="10"/>
      <c r="F26" s="10"/>
      <c r="G26" s="10"/>
      <c r="H26" s="10"/>
      <c r="I26" s="10"/>
      <c r="J26" s="10"/>
      <c r="K26" s="10"/>
      <c r="L26" s="10"/>
      <c r="M26" s="10"/>
      <c r="N26" s="10"/>
      <c r="O26" s="10"/>
      <c r="P26" s="10"/>
      <c r="Q26" s="12"/>
      <c r="R26" s="12"/>
      <c r="S26" s="10"/>
      <c r="T26" s="10"/>
      <c r="U26" s="10"/>
      <c r="V26" s="10"/>
      <c r="W26" s="10"/>
      <c r="X26" s="10"/>
      <c r="Y26" s="10"/>
      <c r="Z26" s="10"/>
      <c r="AA26" s="15"/>
      <c r="AB26" s="10"/>
      <c r="AC26" s="10"/>
      <c r="AD26" s="10"/>
      <c r="AE26" s="10"/>
      <c r="AF26" s="10"/>
      <c r="AG26" s="10"/>
      <c r="AH26" s="10"/>
      <c r="AI26" s="10"/>
      <c r="AJ26" s="10"/>
      <c r="AK26" s="10"/>
      <c r="AL26" s="10"/>
      <c r="AM26" s="10"/>
      <c r="AN26" s="10">
        <v>0</v>
      </c>
      <c r="AO26" s="10">
        <v>4.4999999999999997E-3</v>
      </c>
      <c r="AP26" s="10">
        <v>8.6999999999999994E-3</v>
      </c>
      <c r="AQ26" s="10">
        <v>1.26E-2</v>
      </c>
      <c r="AR26" s="10">
        <v>1.6299999999999999E-2</v>
      </c>
      <c r="AS26" s="10">
        <v>1.9699999999999999E-2</v>
      </c>
      <c r="AT26" s="10">
        <v>2.29E-2</v>
      </c>
      <c r="AU26" s="10">
        <v>2.5899999999999999E-2</v>
      </c>
      <c r="AV26" s="10">
        <v>2.8799999999999999E-2</v>
      </c>
      <c r="AW26" s="10">
        <v>3.1399999999999997E-2</v>
      </c>
    </row>
    <row r="27" spans="2:49" x14ac:dyDescent="0.2">
      <c r="B27" s="10">
        <v>22</v>
      </c>
      <c r="C27" s="11"/>
      <c r="D27" s="10"/>
      <c r="E27" s="10"/>
      <c r="F27" s="10"/>
      <c r="G27" s="10"/>
      <c r="H27" s="10"/>
      <c r="I27" s="10"/>
      <c r="J27" s="10"/>
      <c r="K27" s="10"/>
      <c r="L27" s="10"/>
      <c r="M27" s="10"/>
      <c r="N27" s="10"/>
      <c r="O27" s="10"/>
      <c r="P27" s="10"/>
      <c r="Q27" s="12"/>
      <c r="R27" s="12"/>
      <c r="S27" s="10"/>
      <c r="T27" s="10"/>
      <c r="U27" s="10"/>
      <c r="V27" s="10"/>
      <c r="W27" s="10"/>
      <c r="X27" s="10"/>
      <c r="Y27" s="10"/>
      <c r="Z27" s="10"/>
      <c r="AA27" s="15"/>
      <c r="AB27" s="10"/>
      <c r="AC27" s="10"/>
      <c r="AD27" s="10"/>
      <c r="AE27" s="10"/>
      <c r="AF27" s="10"/>
      <c r="AG27" s="10"/>
      <c r="AH27" s="10"/>
      <c r="AI27" s="10"/>
      <c r="AJ27" s="10"/>
      <c r="AK27" s="10"/>
      <c r="AL27" s="10"/>
      <c r="AM27" s="10"/>
      <c r="AN27" s="10"/>
      <c r="AO27" s="10"/>
      <c r="AP27" s="10">
        <v>0</v>
      </c>
      <c r="AQ27" s="10">
        <v>4.1999999999999997E-3</v>
      </c>
      <c r="AR27" s="10">
        <v>8.0999999999999996E-3</v>
      </c>
      <c r="AS27" s="10">
        <v>1.18E-2</v>
      </c>
      <c r="AT27" s="10">
        <v>1.5299999999999999E-2</v>
      </c>
      <c r="AU27" s="10">
        <v>1.8499999999999999E-2</v>
      </c>
      <c r="AV27" s="10">
        <v>2.1499999999999998E-2</v>
      </c>
      <c r="AW27" s="10">
        <v>2.4400000000000002E-2</v>
      </c>
    </row>
    <row r="28" spans="2:49" x14ac:dyDescent="0.2">
      <c r="B28" s="10">
        <v>23</v>
      </c>
      <c r="C28" s="11"/>
      <c r="D28" s="10"/>
      <c r="E28" s="10"/>
      <c r="F28" s="10"/>
      <c r="G28" s="10"/>
      <c r="H28" s="10"/>
      <c r="I28" s="10"/>
      <c r="J28" s="10"/>
      <c r="K28" s="10"/>
      <c r="L28" s="10"/>
      <c r="M28" s="10"/>
      <c r="N28" s="10"/>
      <c r="O28" s="10"/>
      <c r="P28" s="10"/>
      <c r="Q28" s="12"/>
      <c r="R28" s="12"/>
      <c r="S28" s="10"/>
      <c r="T28" s="10"/>
      <c r="U28" s="10"/>
      <c r="V28" s="10"/>
      <c r="W28" s="10"/>
      <c r="X28" s="10"/>
      <c r="Y28" s="10"/>
      <c r="Z28" s="10"/>
      <c r="AA28" s="15"/>
      <c r="AB28" s="10"/>
      <c r="AC28" s="10"/>
      <c r="AD28" s="10"/>
      <c r="AE28" s="10"/>
      <c r="AF28" s="10"/>
      <c r="AG28" s="10"/>
      <c r="AH28" s="10"/>
      <c r="AI28" s="10"/>
      <c r="AJ28" s="10"/>
      <c r="AK28" s="10"/>
      <c r="AL28" s="10"/>
      <c r="AM28" s="10"/>
      <c r="AN28" s="10"/>
      <c r="AO28" s="10"/>
      <c r="AP28" s="10"/>
      <c r="AQ28" s="10"/>
      <c r="AR28" s="10">
        <v>0</v>
      </c>
      <c r="AS28" s="10">
        <v>3.8999999999999998E-3</v>
      </c>
      <c r="AT28" s="10">
        <v>7.6E-3</v>
      </c>
      <c r="AU28" s="10">
        <v>1.11E-2</v>
      </c>
      <c r="AV28" s="10">
        <v>1.43E-2</v>
      </c>
      <c r="AW28" s="10">
        <v>1.7399999999999999E-2</v>
      </c>
    </row>
    <row r="29" spans="2:49" x14ac:dyDescent="0.2">
      <c r="B29" s="10">
        <v>24</v>
      </c>
      <c r="C29" s="11"/>
      <c r="D29" s="10"/>
      <c r="E29" s="10"/>
      <c r="F29" s="10"/>
      <c r="G29" s="10"/>
      <c r="H29" s="10"/>
      <c r="I29" s="10"/>
      <c r="J29" s="10"/>
      <c r="K29" s="10"/>
      <c r="L29" s="10"/>
      <c r="M29" s="10"/>
      <c r="N29" s="10"/>
      <c r="O29" s="10"/>
      <c r="P29" s="10"/>
      <c r="Q29" s="12"/>
      <c r="R29" s="12"/>
      <c r="S29" s="10"/>
      <c r="T29" s="10"/>
      <c r="U29" s="10"/>
      <c r="V29" s="10"/>
      <c r="W29" s="10"/>
      <c r="X29" s="10"/>
      <c r="Y29" s="10"/>
      <c r="Z29" s="10"/>
      <c r="AA29" s="15"/>
      <c r="AB29" s="10"/>
      <c r="AC29" s="10"/>
      <c r="AD29" s="10"/>
      <c r="AE29" s="10"/>
      <c r="AF29" s="10"/>
      <c r="AG29" s="10"/>
      <c r="AH29" s="10"/>
      <c r="AI29" s="10"/>
      <c r="AJ29" s="10"/>
      <c r="AK29" s="10"/>
      <c r="AL29" s="10"/>
      <c r="AM29" s="10"/>
      <c r="AN29" s="10"/>
      <c r="AO29" s="10"/>
      <c r="AP29" s="10"/>
      <c r="AQ29" s="10"/>
      <c r="AR29" s="10"/>
      <c r="AS29" s="10"/>
      <c r="AT29" s="10">
        <v>0</v>
      </c>
      <c r="AU29" s="10">
        <v>3.7000000000000002E-3</v>
      </c>
      <c r="AV29" s="10">
        <v>7.1000000000000004E-3</v>
      </c>
      <c r="AW29" s="10">
        <v>1.04E-2</v>
      </c>
    </row>
    <row r="30" spans="2:49" x14ac:dyDescent="0.2">
      <c r="B30" s="10">
        <v>25</v>
      </c>
      <c r="C30" s="11"/>
      <c r="D30" s="10"/>
      <c r="E30" s="10"/>
      <c r="F30" s="10"/>
      <c r="G30" s="10"/>
      <c r="H30" s="10"/>
      <c r="I30" s="10"/>
      <c r="J30" s="10"/>
      <c r="K30" s="10"/>
      <c r="L30" s="10"/>
      <c r="M30" s="10"/>
      <c r="N30" s="10"/>
      <c r="O30" s="10"/>
      <c r="P30" s="10"/>
      <c r="Q30" s="12"/>
      <c r="R30" s="12"/>
      <c r="S30" s="10"/>
      <c r="T30" s="10"/>
      <c r="U30" s="13"/>
      <c r="V30" s="10"/>
      <c r="W30" s="10"/>
      <c r="X30" s="10"/>
      <c r="Y30" s="10"/>
      <c r="Z30" s="10"/>
      <c r="AA30" s="15"/>
      <c r="AB30" s="10"/>
      <c r="AC30" s="10"/>
      <c r="AD30" s="10"/>
      <c r="AE30" s="10"/>
      <c r="AF30" s="10"/>
      <c r="AG30" s="10"/>
      <c r="AH30" s="10"/>
      <c r="AI30" s="10"/>
      <c r="AJ30" s="10"/>
      <c r="AK30" s="10"/>
      <c r="AL30" s="10"/>
      <c r="AM30" s="10"/>
      <c r="AN30" s="10"/>
      <c r="AO30" s="10"/>
      <c r="AP30" s="10"/>
      <c r="AQ30" s="10"/>
      <c r="AR30" s="10"/>
      <c r="AS30" s="10"/>
      <c r="AT30" s="10"/>
      <c r="AU30" s="10"/>
      <c r="AV30" s="10">
        <v>0</v>
      </c>
      <c r="AW30" s="10">
        <v>3.5000000000000001E-3</v>
      </c>
    </row>
    <row r="35" spans="2:7" x14ac:dyDescent="0.2">
      <c r="B35" s="672" t="s">
        <v>115</v>
      </c>
      <c r="C35" s="672"/>
      <c r="D35" s="672"/>
      <c r="E35" s="672"/>
      <c r="F35" s="672"/>
      <c r="G35" s="672"/>
    </row>
    <row r="36" spans="2:7" x14ac:dyDescent="0.2">
      <c r="B36" s="10" t="s">
        <v>26</v>
      </c>
      <c r="C36" s="11" t="s">
        <v>116</v>
      </c>
      <c r="D36" s="10"/>
      <c r="E36" s="10"/>
      <c r="F36" s="10"/>
      <c r="G36" s="10"/>
    </row>
    <row r="37" spans="2:7" x14ac:dyDescent="0.2">
      <c r="B37" s="10"/>
      <c r="C37" s="11">
        <v>0.01</v>
      </c>
      <c r="D37" s="10">
        <v>0.02</v>
      </c>
      <c r="E37" s="10">
        <v>0.05</v>
      </c>
      <c r="F37" s="10">
        <v>0.1</v>
      </c>
      <c r="G37" s="10">
        <v>0.5</v>
      </c>
    </row>
    <row r="38" spans="2:7" x14ac:dyDescent="0.2">
      <c r="B38" s="10"/>
      <c r="C38" s="11"/>
      <c r="D38" s="10"/>
      <c r="E38" s="10"/>
      <c r="F38" s="10"/>
      <c r="G38" s="10"/>
    </row>
    <row r="39" spans="2:7" x14ac:dyDescent="0.2">
      <c r="B39" s="10">
        <v>3</v>
      </c>
      <c r="C39" s="11">
        <v>0.753</v>
      </c>
      <c r="D39" s="10">
        <v>0.75600000000000001</v>
      </c>
      <c r="E39" s="10">
        <v>0.76700000000000002</v>
      </c>
      <c r="F39" s="10">
        <v>0.78900000000000003</v>
      </c>
      <c r="G39" s="10">
        <v>0.95899999999999996</v>
      </c>
    </row>
    <row r="40" spans="2:7" x14ac:dyDescent="0.2">
      <c r="B40" s="10">
        <v>4</v>
      </c>
      <c r="C40" s="11">
        <v>0.68700000000000006</v>
      </c>
      <c r="D40" s="10">
        <v>0.70699999999999996</v>
      </c>
      <c r="E40" s="10">
        <v>0.748</v>
      </c>
      <c r="F40" s="10">
        <v>0.79200000000000004</v>
      </c>
      <c r="G40" s="10">
        <v>0.93500000000000005</v>
      </c>
    </row>
    <row r="41" spans="2:7" x14ac:dyDescent="0.2">
      <c r="B41" s="10">
        <v>5</v>
      </c>
      <c r="C41" s="11">
        <v>0.68600000000000005</v>
      </c>
      <c r="D41" s="10">
        <v>0.71499999999999997</v>
      </c>
      <c r="E41" s="10">
        <v>0.76200000000000001</v>
      </c>
      <c r="F41" s="10">
        <v>0.80600000000000005</v>
      </c>
      <c r="G41" s="10">
        <v>0.92700000000000005</v>
      </c>
    </row>
    <row r="42" spans="2:7" x14ac:dyDescent="0.2">
      <c r="B42" s="10">
        <v>6</v>
      </c>
      <c r="C42" s="11">
        <v>0.71299999999999997</v>
      </c>
      <c r="D42" s="10">
        <v>0.74299999999999999</v>
      </c>
      <c r="E42" s="10">
        <v>0.78800000000000003</v>
      </c>
      <c r="F42" s="10">
        <v>0.82599999999999996</v>
      </c>
      <c r="G42" s="10">
        <v>0.92700000000000005</v>
      </c>
    </row>
    <row r="43" spans="2:7" x14ac:dyDescent="0.2">
      <c r="B43" s="10">
        <v>7</v>
      </c>
      <c r="C43" s="11">
        <v>0.73</v>
      </c>
      <c r="D43" s="10">
        <v>0.76</v>
      </c>
      <c r="E43" s="10">
        <v>0.80300000000000005</v>
      </c>
      <c r="F43" s="10">
        <v>0.83799999999999997</v>
      </c>
      <c r="G43" s="10">
        <v>0.92800000000000005</v>
      </c>
    </row>
    <row r="44" spans="2:7" x14ac:dyDescent="0.2">
      <c r="B44" s="10">
        <v>8</v>
      </c>
      <c r="C44" s="11">
        <v>0.749</v>
      </c>
      <c r="D44" s="10">
        <v>0.77800000000000002</v>
      </c>
      <c r="E44" s="10">
        <v>0.81799999999999995</v>
      </c>
      <c r="F44" s="10">
        <v>0.85099999999999998</v>
      </c>
      <c r="G44" s="10">
        <v>0.93200000000000005</v>
      </c>
    </row>
    <row r="45" spans="2:7" x14ac:dyDescent="0.2">
      <c r="B45" s="10">
        <v>9</v>
      </c>
      <c r="C45" s="11">
        <v>0.76400000000000001</v>
      </c>
      <c r="D45" s="10">
        <v>0.79100000000000004</v>
      </c>
      <c r="E45" s="10">
        <v>0.82899999999999996</v>
      </c>
      <c r="F45" s="10">
        <v>0.85899999999999999</v>
      </c>
      <c r="G45" s="10">
        <v>0.93500000000000005</v>
      </c>
    </row>
    <row r="46" spans="2:7" x14ac:dyDescent="0.2">
      <c r="B46" s="10">
        <v>10</v>
      </c>
      <c r="C46" s="11">
        <v>0.78100000000000003</v>
      </c>
      <c r="D46" s="10">
        <v>0.80600000000000005</v>
      </c>
      <c r="E46" s="10">
        <v>0.84199999999999997</v>
      </c>
      <c r="F46" s="10">
        <v>0.86899999999999999</v>
      </c>
      <c r="G46" s="10">
        <v>0.93799999999999994</v>
      </c>
    </row>
    <row r="47" spans="2:7" x14ac:dyDescent="0.2">
      <c r="B47" s="10">
        <v>11</v>
      </c>
      <c r="C47" s="11">
        <v>0.79200000000000004</v>
      </c>
      <c r="D47" s="10">
        <v>0.81699999999999995</v>
      </c>
      <c r="E47" s="10">
        <v>0.85</v>
      </c>
      <c r="F47" s="10">
        <v>0.876</v>
      </c>
      <c r="G47" s="10">
        <v>0.94</v>
      </c>
    </row>
    <row r="48" spans="2:7" x14ac:dyDescent="0.2">
      <c r="B48" s="10">
        <v>12</v>
      </c>
      <c r="C48" s="11">
        <v>0.80500000000000005</v>
      </c>
      <c r="D48" s="10">
        <v>0.82799999999999996</v>
      </c>
      <c r="E48" s="10">
        <v>0.85899999999999999</v>
      </c>
      <c r="F48" s="10">
        <v>0.88300000000000001</v>
      </c>
      <c r="G48" s="10">
        <v>0.94299999999999995</v>
      </c>
    </row>
    <row r="49" spans="2:7" x14ac:dyDescent="0.2">
      <c r="B49" s="10">
        <v>13</v>
      </c>
      <c r="C49" s="11">
        <v>0.81399999999999995</v>
      </c>
      <c r="D49" s="10">
        <v>0.83699999999999997</v>
      </c>
      <c r="E49" s="10">
        <v>0.86599999999999999</v>
      </c>
      <c r="F49" s="10">
        <v>0.88900000000000001</v>
      </c>
      <c r="G49" s="10">
        <v>0.94499999999999995</v>
      </c>
    </row>
    <row r="50" spans="2:7" x14ac:dyDescent="0.2">
      <c r="B50" s="10">
        <v>14</v>
      </c>
      <c r="C50" s="11">
        <v>0.82499999999999996</v>
      </c>
      <c r="D50" s="10">
        <v>0.84599999999999997</v>
      </c>
      <c r="E50" s="10">
        <v>0.874</v>
      </c>
      <c r="F50" s="10">
        <v>0.89500000000000002</v>
      </c>
      <c r="G50" s="10">
        <v>0.94699999999999995</v>
      </c>
    </row>
    <row r="51" spans="2:7" x14ac:dyDescent="0.2">
      <c r="B51" s="10">
        <v>15</v>
      </c>
      <c r="C51" s="11">
        <v>0.83499999999999996</v>
      </c>
      <c r="D51" s="10">
        <v>0.85499999999999998</v>
      </c>
      <c r="E51" s="10">
        <v>0.88100000000000001</v>
      </c>
      <c r="F51" s="10">
        <v>0.90100000000000002</v>
      </c>
      <c r="G51" s="10">
        <v>0.95</v>
      </c>
    </row>
    <row r="52" spans="2:7" x14ac:dyDescent="0.2">
      <c r="B52" s="10">
        <v>16</v>
      </c>
      <c r="C52" s="11">
        <v>0.84399999999999997</v>
      </c>
      <c r="D52" s="10">
        <v>0.86299999999999999</v>
      </c>
      <c r="E52" s="10">
        <v>0.88700000000000001</v>
      </c>
      <c r="F52" s="10">
        <v>0.90600000000000003</v>
      </c>
      <c r="G52" s="10">
        <v>0.95199999999999996</v>
      </c>
    </row>
    <row r="53" spans="2:7" x14ac:dyDescent="0.2">
      <c r="B53" s="10">
        <v>17</v>
      </c>
      <c r="C53" s="11">
        <v>0.85099999999999998</v>
      </c>
      <c r="D53" s="10">
        <v>0.86899999999999999</v>
      </c>
      <c r="E53" s="10">
        <v>0.89200000000000002</v>
      </c>
      <c r="F53" s="10">
        <v>0.91</v>
      </c>
      <c r="G53" s="10">
        <v>0.95399999999999996</v>
      </c>
    </row>
    <row r="54" spans="2:7" x14ac:dyDescent="0.2">
      <c r="B54" s="10">
        <v>18</v>
      </c>
      <c r="C54" s="11">
        <v>0.85799999999999998</v>
      </c>
      <c r="D54" s="10">
        <v>0.874</v>
      </c>
      <c r="E54" s="10">
        <v>0.89700000000000002</v>
      </c>
      <c r="F54" s="10">
        <v>0.91400000000000003</v>
      </c>
      <c r="G54" s="10">
        <v>0.95599999999999996</v>
      </c>
    </row>
    <row r="55" spans="2:7" x14ac:dyDescent="0.2">
      <c r="B55" s="10">
        <v>19</v>
      </c>
      <c r="C55" s="11">
        <v>0.86299999999999999</v>
      </c>
      <c r="D55" s="10">
        <v>0.879</v>
      </c>
      <c r="E55" s="10">
        <v>0.90100000000000002</v>
      </c>
      <c r="F55" s="10">
        <v>0.91700000000000004</v>
      </c>
      <c r="G55" s="10">
        <v>0.95699999999999996</v>
      </c>
    </row>
    <row r="56" spans="2:7" x14ac:dyDescent="0.2">
      <c r="B56" s="10">
        <v>20</v>
      </c>
      <c r="C56" s="11">
        <v>0.86799999999999999</v>
      </c>
      <c r="D56" s="10">
        <v>0.88400000000000001</v>
      </c>
      <c r="E56" s="10">
        <v>0.90500000000000003</v>
      </c>
      <c r="F56" s="10">
        <v>0.92</v>
      </c>
      <c r="G56" s="10">
        <v>0.95899999999999996</v>
      </c>
    </row>
    <row r="57" spans="2:7" x14ac:dyDescent="0.2">
      <c r="B57" s="10">
        <v>21</v>
      </c>
      <c r="C57" s="11">
        <v>0.873</v>
      </c>
      <c r="D57" s="10">
        <v>0.88800000000000001</v>
      </c>
      <c r="E57" s="10">
        <v>0.90800000000000003</v>
      </c>
      <c r="F57" s="10">
        <v>0.92300000000000004</v>
      </c>
      <c r="G57" s="10">
        <v>0.96</v>
      </c>
    </row>
    <row r="58" spans="2:7" x14ac:dyDescent="0.2">
      <c r="B58" s="10">
        <v>22</v>
      </c>
      <c r="C58" s="11">
        <v>0.878</v>
      </c>
      <c r="D58" s="10">
        <v>0.89200000000000002</v>
      </c>
      <c r="E58" s="10">
        <v>0.91100000000000003</v>
      </c>
      <c r="F58" s="10">
        <v>0.92600000000000005</v>
      </c>
      <c r="G58" s="10">
        <v>0.96099999999999997</v>
      </c>
    </row>
    <row r="59" spans="2:7" x14ac:dyDescent="0.2">
      <c r="B59" s="10">
        <v>23</v>
      </c>
      <c r="C59" s="11">
        <v>0.88100000000000001</v>
      </c>
      <c r="D59" s="10">
        <v>0.89500000000000002</v>
      </c>
      <c r="E59" s="10">
        <v>0.91400000000000003</v>
      </c>
      <c r="F59" s="10">
        <v>0.92800000000000005</v>
      </c>
      <c r="G59" s="10">
        <v>0.96199999999999997</v>
      </c>
    </row>
    <row r="60" spans="2:7" x14ac:dyDescent="0.2">
      <c r="B60" s="10">
        <v>24</v>
      </c>
      <c r="C60" s="11">
        <v>0.88400000000000001</v>
      </c>
      <c r="D60" s="10">
        <v>0.89800000000000002</v>
      </c>
      <c r="E60" s="10">
        <v>0.91600000000000004</v>
      </c>
      <c r="F60" s="10">
        <v>0.93</v>
      </c>
      <c r="G60" s="10">
        <v>0.96299999999999997</v>
      </c>
    </row>
    <row r="61" spans="2:7" x14ac:dyDescent="0.2">
      <c r="B61" s="10">
        <v>25</v>
      </c>
      <c r="C61" s="11">
        <v>0.88600000000000001</v>
      </c>
      <c r="D61" s="10">
        <v>0.90100000000000002</v>
      </c>
      <c r="E61" s="10">
        <v>0.91800000000000004</v>
      </c>
      <c r="F61" s="10">
        <v>0.93100000000000005</v>
      </c>
      <c r="G61" s="10">
        <v>0.96399999999999997</v>
      </c>
    </row>
    <row r="62" spans="2:7" x14ac:dyDescent="0.2">
      <c r="B62" s="10">
        <v>26</v>
      </c>
      <c r="C62" s="11">
        <v>0.89100000000000001</v>
      </c>
      <c r="D62" s="10">
        <v>0.90400000000000003</v>
      </c>
      <c r="E62" s="10">
        <v>0.92</v>
      </c>
      <c r="F62" s="10">
        <v>0.93300000000000005</v>
      </c>
      <c r="G62" s="10">
        <v>0.96499999999999997</v>
      </c>
    </row>
    <row r="63" spans="2:7" x14ac:dyDescent="0.2">
      <c r="B63" s="10">
        <v>27</v>
      </c>
      <c r="C63" s="11">
        <v>0.89400000000000002</v>
      </c>
      <c r="D63" s="10">
        <v>0.90600000000000003</v>
      </c>
      <c r="E63" s="10">
        <v>0.92300000000000004</v>
      </c>
      <c r="F63" s="10">
        <v>0.93500000000000005</v>
      </c>
      <c r="G63" s="10">
        <v>0.96499999999999997</v>
      </c>
    </row>
    <row r="64" spans="2:7" x14ac:dyDescent="0.2">
      <c r="B64" s="10">
        <v>28</v>
      </c>
      <c r="C64" s="11">
        <v>0.89600000000000002</v>
      </c>
      <c r="D64" s="10">
        <v>0.90800000000000003</v>
      </c>
      <c r="E64" s="10">
        <v>0.92400000000000004</v>
      </c>
      <c r="F64" s="10">
        <v>0.93600000000000005</v>
      </c>
      <c r="G64" s="10">
        <v>0.96599999999999997</v>
      </c>
    </row>
    <row r="65" spans="2:7" x14ac:dyDescent="0.2">
      <c r="B65" s="10">
        <v>29</v>
      </c>
      <c r="C65" s="11">
        <v>0.89800000000000002</v>
      </c>
      <c r="D65" s="10">
        <v>0.91</v>
      </c>
      <c r="E65" s="10">
        <v>0.92600000000000005</v>
      </c>
      <c r="F65" s="10">
        <v>0.93700000000000006</v>
      </c>
      <c r="G65" s="10">
        <v>0.96599999999999997</v>
      </c>
    </row>
    <row r="66" spans="2:7" x14ac:dyDescent="0.2">
      <c r="B66" s="10">
        <v>30</v>
      </c>
      <c r="C66" s="11">
        <v>0.9</v>
      </c>
      <c r="D66" s="10">
        <v>0.91200000000000003</v>
      </c>
      <c r="E66" s="10">
        <v>0.92700000000000005</v>
      </c>
      <c r="F66" s="10">
        <v>0.93899999999999995</v>
      </c>
      <c r="G66" s="10">
        <v>0.96699999999999997</v>
      </c>
    </row>
    <row r="67" spans="2:7" x14ac:dyDescent="0.2">
      <c r="B67" s="10">
        <v>31</v>
      </c>
      <c r="C67" s="11">
        <v>0.90200000000000002</v>
      </c>
      <c r="D67" s="10">
        <v>0.91400000000000003</v>
      </c>
      <c r="E67" s="10">
        <v>0.92900000000000005</v>
      </c>
      <c r="F67" s="10">
        <v>0.94</v>
      </c>
      <c r="G67" s="10">
        <v>0.96699999999999997</v>
      </c>
    </row>
    <row r="68" spans="2:7" x14ac:dyDescent="0.2">
      <c r="B68" s="10">
        <v>32</v>
      </c>
      <c r="C68" s="11">
        <v>0.90400000000000003</v>
      </c>
      <c r="D68" s="10">
        <v>0.91500000000000004</v>
      </c>
      <c r="E68" s="10">
        <v>0.93</v>
      </c>
      <c r="F68" s="10">
        <v>0.94099999999999995</v>
      </c>
      <c r="G68" s="10">
        <v>0.96799999999999997</v>
      </c>
    </row>
    <row r="69" spans="2:7" x14ac:dyDescent="0.2">
      <c r="B69" s="10">
        <v>33</v>
      </c>
      <c r="C69" s="11">
        <v>0.90600000000000003</v>
      </c>
      <c r="D69" s="10">
        <v>0.91700000000000004</v>
      </c>
      <c r="E69" s="10">
        <v>0.93100000000000005</v>
      </c>
      <c r="F69" s="10">
        <v>0.94199999999999995</v>
      </c>
      <c r="G69" s="10">
        <v>0.96799999999999997</v>
      </c>
    </row>
    <row r="70" spans="2:7" x14ac:dyDescent="0.2">
      <c r="B70" s="10">
        <v>34</v>
      </c>
      <c r="C70" s="11">
        <v>0.90800000000000003</v>
      </c>
      <c r="D70" s="10">
        <v>0.91900000000000004</v>
      </c>
      <c r="E70" s="10">
        <v>0.93300000000000005</v>
      </c>
      <c r="F70" s="10">
        <v>0.94299999999999995</v>
      </c>
      <c r="G70" s="10">
        <v>0.96899999999999997</v>
      </c>
    </row>
    <row r="71" spans="2:7" x14ac:dyDescent="0.2">
      <c r="B71" s="10">
        <v>35</v>
      </c>
      <c r="C71" s="11">
        <v>0.91</v>
      </c>
      <c r="D71" s="10">
        <v>0.92</v>
      </c>
      <c r="E71" s="10">
        <v>0.93400000000000005</v>
      </c>
      <c r="F71" s="10">
        <v>0.94399999999999995</v>
      </c>
      <c r="G71" s="10">
        <v>0.96899999999999997</v>
      </c>
    </row>
    <row r="72" spans="2:7" x14ac:dyDescent="0.2">
      <c r="B72" s="10">
        <v>36</v>
      </c>
      <c r="C72" s="11">
        <v>0.91200000000000003</v>
      </c>
      <c r="D72" s="10">
        <v>0.92200000000000004</v>
      </c>
      <c r="E72" s="10">
        <v>0.93500000000000005</v>
      </c>
      <c r="F72" s="10">
        <v>0.94499999999999995</v>
      </c>
      <c r="G72" s="10">
        <v>0.97</v>
      </c>
    </row>
    <row r="73" spans="2:7" x14ac:dyDescent="0.2">
      <c r="B73" s="10">
        <v>37</v>
      </c>
      <c r="C73" s="11">
        <v>0.91400000000000003</v>
      </c>
      <c r="D73" s="10">
        <v>0.92400000000000004</v>
      </c>
      <c r="E73" s="10">
        <v>0.93600000000000005</v>
      </c>
      <c r="F73" s="10">
        <v>0.94599999999999995</v>
      </c>
      <c r="G73" s="10">
        <v>0.97</v>
      </c>
    </row>
    <row r="74" spans="2:7" x14ac:dyDescent="0.2">
      <c r="B74" s="10">
        <v>38</v>
      </c>
      <c r="C74" s="11">
        <v>0.91600000000000004</v>
      </c>
      <c r="D74" s="10">
        <v>0.92500000000000004</v>
      </c>
      <c r="E74" s="10">
        <v>0.93799999999999994</v>
      </c>
      <c r="F74" s="10">
        <v>0.94699999999999995</v>
      </c>
      <c r="G74" s="10">
        <v>0.97099999999999997</v>
      </c>
    </row>
    <row r="75" spans="2:7" x14ac:dyDescent="0.2">
      <c r="B75" s="10">
        <v>39</v>
      </c>
      <c r="C75" s="11">
        <v>0.91700000000000004</v>
      </c>
      <c r="D75" s="10">
        <v>0.92700000000000005</v>
      </c>
      <c r="E75" s="10">
        <v>0.93899999999999995</v>
      </c>
      <c r="F75" s="10">
        <v>0.94799999999999995</v>
      </c>
      <c r="G75" s="10">
        <v>0.97099999999999997</v>
      </c>
    </row>
    <row r="76" spans="2:7" x14ac:dyDescent="0.2">
      <c r="B76" s="10">
        <v>40</v>
      </c>
      <c r="C76" s="11">
        <v>0.91900000000000004</v>
      </c>
      <c r="D76" s="10">
        <v>0.92800000000000005</v>
      </c>
      <c r="E76" s="10">
        <v>0.94</v>
      </c>
      <c r="F76" s="10">
        <v>0.94899999999999995</v>
      </c>
      <c r="G76" s="10">
        <v>0.97199999999999998</v>
      </c>
    </row>
    <row r="77" spans="2:7" x14ac:dyDescent="0.2">
      <c r="B77" s="10">
        <v>41</v>
      </c>
      <c r="C77" s="11">
        <v>0.92</v>
      </c>
      <c r="D77" s="10">
        <v>0.92900000000000005</v>
      </c>
      <c r="E77" s="10">
        <v>0.94099999999999995</v>
      </c>
      <c r="F77" s="10">
        <v>0.95</v>
      </c>
      <c r="G77" s="10">
        <v>0.97199999999999998</v>
      </c>
    </row>
    <row r="78" spans="2:7" x14ac:dyDescent="0.2">
      <c r="B78" s="10">
        <v>42</v>
      </c>
      <c r="C78" s="11">
        <v>0.92200000000000004</v>
      </c>
      <c r="D78" s="10">
        <v>0.93</v>
      </c>
      <c r="E78" s="10">
        <v>0.94199999999999995</v>
      </c>
      <c r="F78" s="10">
        <v>0.95099999999999996</v>
      </c>
      <c r="G78" s="10">
        <v>0.97199999999999998</v>
      </c>
    </row>
    <row r="79" spans="2:7" x14ac:dyDescent="0.2">
      <c r="B79" s="10">
        <v>43</v>
      </c>
      <c r="C79" s="11">
        <v>0.92300000000000004</v>
      </c>
      <c r="D79" s="10">
        <v>0.93200000000000005</v>
      </c>
      <c r="E79" s="10">
        <v>0.94299999999999995</v>
      </c>
      <c r="F79" s="10">
        <v>0.95099999999999996</v>
      </c>
      <c r="G79" s="10">
        <v>0.97299999999999998</v>
      </c>
    </row>
    <row r="80" spans="2:7" x14ac:dyDescent="0.2">
      <c r="B80" s="10">
        <v>44</v>
      </c>
      <c r="C80" s="11">
        <v>0.92400000000000004</v>
      </c>
      <c r="D80" s="10">
        <v>0.93300000000000005</v>
      </c>
      <c r="E80" s="10">
        <v>0.94399999999999995</v>
      </c>
      <c r="F80" s="10">
        <v>0.95199999999999996</v>
      </c>
      <c r="G80" s="10">
        <v>0.97299999999999998</v>
      </c>
    </row>
    <row r="81" spans="2:7" x14ac:dyDescent="0.2">
      <c r="B81" s="10">
        <v>45</v>
      </c>
      <c r="C81" s="11">
        <v>0.92600000000000005</v>
      </c>
      <c r="D81" s="10">
        <v>0.93400000000000005</v>
      </c>
      <c r="E81" s="10">
        <v>0.94499999999999995</v>
      </c>
      <c r="F81" s="10">
        <v>0.95299999999999996</v>
      </c>
      <c r="G81" s="10">
        <v>0.97299999999999998</v>
      </c>
    </row>
    <row r="82" spans="2:7" x14ac:dyDescent="0.2">
      <c r="B82" s="10">
        <v>46</v>
      </c>
      <c r="C82" s="11">
        <v>0.92700000000000005</v>
      </c>
      <c r="D82" s="10">
        <v>0.93500000000000005</v>
      </c>
      <c r="E82" s="10">
        <v>0.94499999999999995</v>
      </c>
      <c r="F82" s="10">
        <v>0.95299999999999996</v>
      </c>
      <c r="G82" s="10">
        <v>0.97399999999999998</v>
      </c>
    </row>
    <row r="83" spans="2:7" x14ac:dyDescent="0.2">
      <c r="B83" s="10">
        <v>47</v>
      </c>
      <c r="C83" s="11">
        <v>0.92800000000000005</v>
      </c>
      <c r="D83" s="10">
        <v>0.93600000000000005</v>
      </c>
      <c r="E83" s="10">
        <v>0.94599999999999995</v>
      </c>
      <c r="F83" s="10">
        <v>0.95399999999999996</v>
      </c>
      <c r="G83" s="10">
        <v>0.97399999999999998</v>
      </c>
    </row>
    <row r="84" spans="2:7" x14ac:dyDescent="0.2">
      <c r="B84" s="10">
        <v>48</v>
      </c>
      <c r="C84" s="11">
        <v>0.92900000000000005</v>
      </c>
      <c r="D84" s="10">
        <v>0.93700000000000006</v>
      </c>
      <c r="E84" s="10">
        <v>0.94699999999999995</v>
      </c>
      <c r="F84" s="10">
        <v>0.95399999999999996</v>
      </c>
      <c r="G84" s="10">
        <v>0.97399999999999998</v>
      </c>
    </row>
    <row r="85" spans="2:7" x14ac:dyDescent="0.2">
      <c r="B85" s="10">
        <v>49</v>
      </c>
      <c r="C85" s="11">
        <v>0.92900000000000005</v>
      </c>
      <c r="D85" s="10">
        <v>0.93700000000000006</v>
      </c>
      <c r="E85" s="10">
        <v>0.94699999999999995</v>
      </c>
      <c r="F85" s="10">
        <v>0.95499999999999996</v>
      </c>
      <c r="G85" s="10">
        <v>0.97399999999999998</v>
      </c>
    </row>
    <row r="86" spans="2:7" x14ac:dyDescent="0.2">
      <c r="B86" s="10">
        <v>50</v>
      </c>
      <c r="C86" s="11">
        <v>0.93</v>
      </c>
      <c r="D86" s="10">
        <v>0.93799999999999994</v>
      </c>
      <c r="E86" s="10">
        <v>0.94699999999999995</v>
      </c>
      <c r="F86" s="10">
        <v>0.95499999999999996</v>
      </c>
      <c r="G86" s="10">
        <v>0.97399999999999998</v>
      </c>
    </row>
    <row r="89" spans="2:7" x14ac:dyDescent="0.2">
      <c r="B89" s="673" t="s">
        <v>132</v>
      </c>
      <c r="C89" s="673"/>
    </row>
    <row r="90" spans="2:7" x14ac:dyDescent="0.2">
      <c r="B90" s="10" t="s">
        <v>26</v>
      </c>
      <c r="C90" s="10" t="s">
        <v>133</v>
      </c>
    </row>
    <row r="91" spans="2:7" x14ac:dyDescent="0.2">
      <c r="B91" s="10">
        <v>3</v>
      </c>
      <c r="C91" s="10">
        <v>2.8091200000000001</v>
      </c>
    </row>
    <row r="92" spans="2:7" x14ac:dyDescent="0.2">
      <c r="B92" s="10">
        <v>4</v>
      </c>
      <c r="C92" s="10">
        <v>2.4530799999999999</v>
      </c>
    </row>
    <row r="93" spans="2:7" x14ac:dyDescent="0.2">
      <c r="B93" s="10">
        <v>5</v>
      </c>
      <c r="C93" s="10">
        <v>2.28592</v>
      </c>
    </row>
    <row r="94" spans="2:7" x14ac:dyDescent="0.2">
      <c r="B94" s="10">
        <v>6</v>
      </c>
      <c r="C94" s="10">
        <v>2.1869999999999998</v>
      </c>
    </row>
    <row r="95" spans="2:7" x14ac:dyDescent="0.2">
      <c r="B95" s="10">
        <v>7</v>
      </c>
      <c r="C95" s="10">
        <v>2.12</v>
      </c>
    </row>
    <row r="96" spans="2:7" x14ac:dyDescent="0.2">
      <c r="B96" s="10">
        <v>8</v>
      </c>
      <c r="C96" s="10">
        <v>2.0720000000000001</v>
      </c>
    </row>
    <row r="97" spans="2:3" x14ac:dyDescent="0.2">
      <c r="B97" s="10">
        <v>9</v>
      </c>
      <c r="C97" s="10">
        <v>2.0350000000000001</v>
      </c>
    </row>
    <row r="98" spans="2:3" x14ac:dyDescent="0.2">
      <c r="B98" s="10">
        <v>10</v>
      </c>
      <c r="C98" s="10">
        <v>2.0049999999999999</v>
      </c>
    </row>
    <row r="99" spans="2:3" x14ac:dyDescent="0.2">
      <c r="B99" s="10">
        <v>11</v>
      </c>
      <c r="C99" s="10">
        <v>1.9810000000000001</v>
      </c>
    </row>
    <row r="100" spans="2:3" x14ac:dyDescent="0.2">
      <c r="B100" s="10">
        <v>12</v>
      </c>
      <c r="C100" s="10">
        <v>1.9610000000000001</v>
      </c>
    </row>
    <row r="101" spans="2:3" x14ac:dyDescent="0.2">
      <c r="B101" s="10">
        <v>13</v>
      </c>
      <c r="C101" s="10">
        <v>1.944</v>
      </c>
    </row>
    <row r="102" spans="2:3" x14ac:dyDescent="0.2">
      <c r="B102" s="10">
        <v>14</v>
      </c>
      <c r="C102" s="10">
        <v>1.929</v>
      </c>
    </row>
    <row r="103" spans="2:3" x14ac:dyDescent="0.2">
      <c r="B103" s="10">
        <v>15</v>
      </c>
      <c r="C103" s="10">
        <v>1.917</v>
      </c>
    </row>
    <row r="104" spans="2:3" x14ac:dyDescent="0.2">
      <c r="B104" s="10">
        <v>16</v>
      </c>
      <c r="C104" s="10">
        <v>1.905</v>
      </c>
    </row>
    <row r="105" spans="2:3" x14ac:dyDescent="0.2">
      <c r="B105" s="10">
        <v>17</v>
      </c>
      <c r="C105" s="10">
        <v>1.895</v>
      </c>
    </row>
    <row r="106" spans="2:3" x14ac:dyDescent="0.2">
      <c r="B106" s="10">
        <v>18</v>
      </c>
      <c r="C106" s="10">
        <v>1.8859999999999999</v>
      </c>
    </row>
    <row r="107" spans="2:3" x14ac:dyDescent="0.2">
      <c r="B107" s="10">
        <v>19</v>
      </c>
      <c r="C107" s="10">
        <v>1.8779999999999999</v>
      </c>
    </row>
    <row r="108" spans="2:3" x14ac:dyDescent="0.2">
      <c r="B108" s="10">
        <v>20</v>
      </c>
      <c r="C108" s="10">
        <v>1.87</v>
      </c>
    </row>
    <row r="109" spans="2:3" x14ac:dyDescent="0.2">
      <c r="B109" s="10">
        <v>21</v>
      </c>
      <c r="C109" s="10">
        <v>1.863</v>
      </c>
    </row>
    <row r="110" spans="2:3" x14ac:dyDescent="0.2">
      <c r="B110" s="10">
        <v>22</v>
      </c>
      <c r="C110" s="10">
        <v>1.857</v>
      </c>
    </row>
    <row r="111" spans="2:3" x14ac:dyDescent="0.2">
      <c r="B111" s="10">
        <v>23</v>
      </c>
      <c r="C111" s="10">
        <v>1.851</v>
      </c>
    </row>
    <row r="112" spans="2:3" x14ac:dyDescent="0.2">
      <c r="B112" s="10">
        <v>24</v>
      </c>
      <c r="C112" s="10">
        <v>1.8460000000000001</v>
      </c>
    </row>
    <row r="113" spans="2:3" x14ac:dyDescent="0.2">
      <c r="B113" s="10">
        <v>25</v>
      </c>
      <c r="C113" s="10">
        <v>1.841</v>
      </c>
    </row>
    <row r="114" spans="2:3" x14ac:dyDescent="0.2">
      <c r="B114" s="10">
        <v>26</v>
      </c>
      <c r="C114" s="10">
        <v>1.8360000000000001</v>
      </c>
    </row>
    <row r="115" spans="2:3" x14ac:dyDescent="0.2">
      <c r="B115" s="10">
        <v>27</v>
      </c>
      <c r="C115" s="10">
        <v>1.8320000000000001</v>
      </c>
    </row>
    <row r="116" spans="2:3" x14ac:dyDescent="0.2">
      <c r="B116" s="10">
        <v>28</v>
      </c>
      <c r="C116" s="10">
        <v>1.8280000000000001</v>
      </c>
    </row>
    <row r="117" spans="2:3" x14ac:dyDescent="0.2">
      <c r="B117" s="10">
        <v>29</v>
      </c>
      <c r="C117" s="10">
        <v>1.8240000000000001</v>
      </c>
    </row>
    <row r="118" spans="2:3" x14ac:dyDescent="0.2">
      <c r="B118" s="10">
        <v>30</v>
      </c>
      <c r="C118" s="10">
        <v>1.82</v>
      </c>
    </row>
    <row r="119" spans="2:3" x14ac:dyDescent="0.2">
      <c r="B119" s="10">
        <v>31</v>
      </c>
      <c r="C119" s="10">
        <v>1.8169999999999999</v>
      </c>
    </row>
    <row r="120" spans="2:3" x14ac:dyDescent="0.2">
      <c r="B120" s="10">
        <v>32</v>
      </c>
      <c r="C120" s="10">
        <v>1.8140000000000001</v>
      </c>
    </row>
    <row r="121" spans="2:3" x14ac:dyDescent="0.2">
      <c r="B121" s="10">
        <v>33</v>
      </c>
      <c r="C121" s="10">
        <v>1.8109999999999999</v>
      </c>
    </row>
    <row r="122" spans="2:3" x14ac:dyDescent="0.2">
      <c r="B122" s="10">
        <v>34</v>
      </c>
      <c r="C122" s="10">
        <v>1.8080000000000001</v>
      </c>
    </row>
    <row r="123" spans="2:3" x14ac:dyDescent="0.2">
      <c r="B123" s="10">
        <v>35</v>
      </c>
      <c r="C123" s="10">
        <v>1.8049999999999999</v>
      </c>
    </row>
    <row r="124" spans="2:3" x14ac:dyDescent="0.2">
      <c r="B124" s="10">
        <v>36</v>
      </c>
      <c r="C124" s="10">
        <v>1.802</v>
      </c>
    </row>
    <row r="125" spans="2:3" x14ac:dyDescent="0.2">
      <c r="B125" s="10">
        <v>37</v>
      </c>
      <c r="C125" s="10">
        <v>1.8</v>
      </c>
    </row>
    <row r="126" spans="2:3" x14ac:dyDescent="0.2">
      <c r="B126" s="10">
        <v>38</v>
      </c>
      <c r="C126" s="10">
        <v>1.7969999999999999</v>
      </c>
    </row>
    <row r="127" spans="2:3" x14ac:dyDescent="0.2">
      <c r="B127" s="10">
        <v>39</v>
      </c>
      <c r="C127" s="10">
        <v>1.7949999999999999</v>
      </c>
    </row>
    <row r="128" spans="2:3" x14ac:dyDescent="0.2">
      <c r="B128" s="10">
        <v>40</v>
      </c>
      <c r="C128" s="10">
        <v>1.7929999999999999</v>
      </c>
    </row>
    <row r="129" spans="2:4" x14ac:dyDescent="0.2">
      <c r="B129" s="10">
        <v>41</v>
      </c>
      <c r="C129" s="10">
        <v>1.7909999999999999</v>
      </c>
    </row>
    <row r="130" spans="2:4" x14ac:dyDescent="0.2">
      <c r="B130" s="10">
        <v>42</v>
      </c>
      <c r="C130" s="10">
        <v>1.7889999999999999</v>
      </c>
    </row>
    <row r="131" spans="2:4" x14ac:dyDescent="0.2">
      <c r="B131" s="10">
        <v>43</v>
      </c>
      <c r="C131" s="10">
        <v>1.7869999999999999</v>
      </c>
    </row>
    <row r="132" spans="2:4" x14ac:dyDescent="0.2">
      <c r="B132" s="10">
        <v>44</v>
      </c>
      <c r="C132" s="10">
        <v>1.7849999999999999</v>
      </c>
    </row>
    <row r="133" spans="2:4" x14ac:dyDescent="0.2">
      <c r="B133" s="10">
        <v>45</v>
      </c>
      <c r="C133" s="10">
        <v>1.7829999999999999</v>
      </c>
    </row>
    <row r="134" spans="2:4" x14ac:dyDescent="0.2">
      <c r="B134" s="10">
        <v>46</v>
      </c>
      <c r="C134" s="10">
        <v>1.7809999999999999</v>
      </c>
    </row>
    <row r="135" spans="2:4" x14ac:dyDescent="0.2">
      <c r="B135" s="10">
        <v>47</v>
      </c>
      <c r="C135" s="10">
        <v>1.78</v>
      </c>
    </row>
    <row r="136" spans="2:4" x14ac:dyDescent="0.2">
      <c r="B136" s="10">
        <v>48</v>
      </c>
      <c r="C136" s="10">
        <v>1.778</v>
      </c>
    </row>
    <row r="137" spans="2:4" x14ac:dyDescent="0.2">
      <c r="B137" s="10">
        <v>49</v>
      </c>
      <c r="C137" s="10">
        <v>1.776</v>
      </c>
    </row>
    <row r="138" spans="2:4" x14ac:dyDescent="0.2">
      <c r="B138" s="10">
        <v>50</v>
      </c>
      <c r="C138" s="10">
        <v>1.7749999999999999</v>
      </c>
    </row>
    <row r="141" spans="2:4" x14ac:dyDescent="0.2">
      <c r="B141" s="660" t="s">
        <v>167</v>
      </c>
      <c r="C141" s="660"/>
      <c r="D141" s="660"/>
    </row>
    <row r="142" spans="2:4" x14ac:dyDescent="0.2">
      <c r="B142" s="27">
        <v>3</v>
      </c>
      <c r="C142" s="27">
        <v>42</v>
      </c>
      <c r="D142" s="11">
        <v>0.1</v>
      </c>
    </row>
    <row r="143" spans="2:4" x14ac:dyDescent="0.2">
      <c r="B143" s="28">
        <v>4</v>
      </c>
      <c r="C143" s="28">
        <v>43</v>
      </c>
      <c r="D143" s="11">
        <v>0.15</v>
      </c>
    </row>
    <row r="144" spans="2:4" x14ac:dyDescent="0.2">
      <c r="B144" s="28">
        <v>5</v>
      </c>
      <c r="C144" s="28">
        <v>44</v>
      </c>
      <c r="D144" s="11">
        <v>0.2</v>
      </c>
    </row>
    <row r="147" spans="2:9" x14ac:dyDescent="0.2">
      <c r="B147" s="32" t="s">
        <v>188</v>
      </c>
      <c r="C147" s="31" t="s">
        <v>189</v>
      </c>
      <c r="D147" s="34"/>
      <c r="E147" s="34" t="s">
        <v>190</v>
      </c>
    </row>
    <row r="148" spans="2:9" x14ac:dyDescent="0.2">
      <c r="B148" s="35">
        <v>0</v>
      </c>
      <c r="C148" s="35" t="s">
        <v>182</v>
      </c>
      <c r="D148" s="36"/>
      <c r="E148" s="37">
        <f>IF(Calc!$AB$1="Normal",$E$152,IF(Calc!$AB$1="Log-normal",$D$152,'Tables (statistics)'!$H$148))</f>
        <v>4</v>
      </c>
      <c r="G148" t="s">
        <v>191</v>
      </c>
      <c r="H148">
        <f>VLOOKUP(IF(Calc!$X$3&lt;3,1,IF(AND(Calc!$X$1&gt;3,Calc!$X$3&gt;2,Calc!$X$1&lt;=10),4,IF(AND('Stats - distribution'!$L$4="A4",Calc!$X$1&gt;10),6,5))),$B$148:$E$153,IF('Stats - distribution'!$L$4="A4",4,3))</f>
        <v>4</v>
      </c>
      <c r="I148">
        <f>VLOOKUP(IF(Calc!$X$3&lt;3,1,IF(AND(Calc!$X$1&gt;3,Calc!$X$3&gt;2,Calc!$X$1&lt;=10),4,IF(AND('Stats - distribution'!$L$4="A4",Calc!$X$1&gt;10),6,5))),$B$148:$E$153,IF('Stats - distribution'!$L$4="A4",4,3))</f>
        <v>4</v>
      </c>
    </row>
    <row r="149" spans="2:9" x14ac:dyDescent="0.2">
      <c r="B149" s="35">
        <v>1</v>
      </c>
      <c r="C149" s="38" t="s">
        <v>183</v>
      </c>
      <c r="D149" s="37">
        <v>1</v>
      </c>
      <c r="E149" s="37">
        <v>1</v>
      </c>
      <c r="G149" t="s">
        <v>192</v>
      </c>
      <c r="H149">
        <f>VLOOKUP(VALUE(LEFT(Calc!$AB$2,1)),'Tables (statistics)'!$B$148:$E$153,IF(VALUE(LEFT(Calc!$AB$2,1))=0,4,IF('Stats - distribution'!$L$4="A4",4,3)))</f>
        <v>4</v>
      </c>
      <c r="I149">
        <f>VLOOKUP(VALUE(LEFT(Calc!$AB$2,1)),'Tables (statistics)'!$B$148:$E$153,IF(VALUE(LEFT(Calc!$AB$2,1))=0,4,IF('Stats - distribution'!$L$4="A4",4,3)))</f>
        <v>4</v>
      </c>
    </row>
    <row r="150" spans="2:9" x14ac:dyDescent="0.2">
      <c r="B150" s="35">
        <v>2</v>
      </c>
      <c r="C150" s="39" t="s">
        <v>184</v>
      </c>
      <c r="D150" s="37">
        <v>2</v>
      </c>
      <c r="E150" s="40">
        <v>2</v>
      </c>
    </row>
    <row r="151" spans="2:9" x14ac:dyDescent="0.2">
      <c r="B151" s="13">
        <v>3</v>
      </c>
      <c r="C151" s="39" t="s">
        <v>185</v>
      </c>
      <c r="D151" s="37">
        <v>3</v>
      </c>
      <c r="E151" s="40">
        <v>3</v>
      </c>
    </row>
    <row r="152" spans="2:9" x14ac:dyDescent="0.2">
      <c r="B152" s="13">
        <v>4</v>
      </c>
      <c r="C152" s="39" t="s">
        <v>186</v>
      </c>
      <c r="D152" s="37">
        <v>4</v>
      </c>
      <c r="E152" s="40">
        <v>5</v>
      </c>
    </row>
    <row r="153" spans="2:9" x14ac:dyDescent="0.2">
      <c r="B153" s="13">
        <v>5</v>
      </c>
      <c r="C153" s="39" t="s">
        <v>187</v>
      </c>
      <c r="D153" s="37">
        <v>1</v>
      </c>
      <c r="E153" s="40">
        <v>1</v>
      </c>
    </row>
    <row r="155" spans="2:9" x14ac:dyDescent="0.2">
      <c r="B155" s="660" t="s">
        <v>281</v>
      </c>
      <c r="C155" s="660"/>
      <c r="D155" s="660"/>
    </row>
    <row r="156" spans="2:9" x14ac:dyDescent="0.2">
      <c r="B156" s="2" t="s">
        <v>26</v>
      </c>
    </row>
    <row r="157" spans="2:9" x14ac:dyDescent="0.2">
      <c r="B157">
        <v>3</v>
      </c>
      <c r="C157">
        <v>0.1</v>
      </c>
      <c r="D157" t="str">
        <f>_xlfn.CONCAT("&lt; ",C157*100," %")</f>
        <v>&lt; 10 %</v>
      </c>
    </row>
    <row r="158" spans="2:9" x14ac:dyDescent="0.2">
      <c r="B158">
        <v>4</v>
      </c>
      <c r="C158">
        <v>0.15</v>
      </c>
      <c r="D158" t="str">
        <f>_xlfn.CONCAT("&lt; ",C158*100," %")</f>
        <v>&lt; 15 %</v>
      </c>
    </row>
    <row r="159" spans="2:9" x14ac:dyDescent="0.2">
      <c r="B159">
        <v>5</v>
      </c>
      <c r="C159">
        <v>0.2</v>
      </c>
      <c r="D159" t="str">
        <f>_xlfn.CONCAT("&lt; ",C159*100," %")</f>
        <v>&lt; 20 %</v>
      </c>
    </row>
  </sheetData>
  <mergeCells count="5">
    <mergeCell ref="B4:AW4"/>
    <mergeCell ref="B35:G35"/>
    <mergeCell ref="B89:C89"/>
    <mergeCell ref="B141:D141"/>
    <mergeCell ref="B155:D15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33ED1-7CBC-47BA-A2FA-62722F10C6FE}">
  <sheetPr>
    <tabColor theme="1"/>
  </sheetPr>
  <dimension ref="A1:U265"/>
  <sheetViews>
    <sheetView showGridLines="0" topLeftCell="B1" zoomScale="88" workbookViewId="0">
      <selection activeCell="C30" sqref="C30"/>
    </sheetView>
  </sheetViews>
  <sheetFormatPr baseColWidth="10" defaultRowHeight="15" x14ac:dyDescent="0.2"/>
  <cols>
    <col min="2" max="2" width="86.5" style="7" customWidth="1"/>
    <col min="3" max="3" width="70.1640625" style="7" customWidth="1"/>
    <col min="4" max="4" width="85.33203125" style="95" customWidth="1"/>
  </cols>
  <sheetData>
    <row r="1" spans="2:21" ht="16" x14ac:dyDescent="0.2">
      <c r="B1" s="279" t="s">
        <v>2</v>
      </c>
      <c r="C1" s="279" t="s">
        <v>3</v>
      </c>
      <c r="D1" s="370" t="s">
        <v>1763</v>
      </c>
      <c r="F1" s="359"/>
      <c r="G1" s="359"/>
      <c r="H1" s="359"/>
      <c r="I1" s="359"/>
      <c r="J1" s="359"/>
      <c r="K1" s="359"/>
      <c r="L1" s="359"/>
      <c r="M1" s="359"/>
      <c r="N1" s="359"/>
      <c r="O1" s="359"/>
      <c r="P1" s="359"/>
      <c r="Q1" s="359"/>
      <c r="R1" s="359"/>
      <c r="S1" s="359"/>
      <c r="T1" s="359"/>
      <c r="U1" s="359"/>
    </row>
    <row r="2" spans="2:21" ht="32" x14ac:dyDescent="0.2">
      <c r="B2" s="7" t="s">
        <v>1643</v>
      </c>
      <c r="C2" s="7" t="s">
        <v>1674</v>
      </c>
      <c r="D2" s="371" t="s">
        <v>1770</v>
      </c>
    </row>
    <row r="3" spans="2:21" ht="16" x14ac:dyDescent="0.2">
      <c r="B3" s="7" t="s">
        <v>401</v>
      </c>
      <c r="C3" s="7" t="s">
        <v>1647</v>
      </c>
      <c r="D3" s="372" t="s">
        <v>1771</v>
      </c>
    </row>
    <row r="4" spans="2:21" ht="16" x14ac:dyDescent="0.2">
      <c r="B4" s="7" t="s">
        <v>1706</v>
      </c>
      <c r="C4" s="7" t="s">
        <v>1648</v>
      </c>
      <c r="D4" s="372" t="s">
        <v>1772</v>
      </c>
    </row>
    <row r="5" spans="2:21" ht="16" x14ac:dyDescent="0.2">
      <c r="B5" s="7" t="s">
        <v>7</v>
      </c>
      <c r="C5" s="7" t="s">
        <v>8</v>
      </c>
      <c r="D5" s="372" t="s">
        <v>1773</v>
      </c>
    </row>
    <row r="6" spans="2:21" ht="16" x14ac:dyDescent="0.2">
      <c r="B6" s="7" t="s">
        <v>6</v>
      </c>
      <c r="C6" s="7" t="s">
        <v>10</v>
      </c>
      <c r="D6" s="372" t="s">
        <v>1774</v>
      </c>
    </row>
    <row r="7" spans="2:21" ht="16" x14ac:dyDescent="0.2">
      <c r="B7" s="7" t="s">
        <v>14</v>
      </c>
      <c r="C7" s="7" t="s">
        <v>12</v>
      </c>
      <c r="D7" s="372" t="s">
        <v>1775</v>
      </c>
    </row>
    <row r="8" spans="2:21" ht="16" x14ac:dyDescent="0.2">
      <c r="B8" s="7" t="s">
        <v>15</v>
      </c>
      <c r="C8" s="7" t="s">
        <v>13</v>
      </c>
      <c r="D8" s="372" t="s">
        <v>1776</v>
      </c>
    </row>
    <row r="9" spans="2:21" ht="16" x14ac:dyDescent="0.2">
      <c r="B9" s="7" t="s">
        <v>9</v>
      </c>
      <c r="C9" s="7" t="s">
        <v>11</v>
      </c>
      <c r="D9" s="372" t="s">
        <v>11</v>
      </c>
    </row>
    <row r="10" spans="2:21" ht="16" x14ac:dyDescent="0.2">
      <c r="B10" s="7" t="s">
        <v>0</v>
      </c>
      <c r="C10" s="7" t="s">
        <v>5</v>
      </c>
      <c r="D10" s="372" t="s">
        <v>1777</v>
      </c>
    </row>
    <row r="11" spans="2:21" ht="16" x14ac:dyDescent="0.2">
      <c r="B11" s="7" t="s">
        <v>1752</v>
      </c>
      <c r="C11" s="7" t="s">
        <v>1974</v>
      </c>
      <c r="D11" s="372" t="s">
        <v>1778</v>
      </c>
    </row>
    <row r="12" spans="2:21" ht="16" x14ac:dyDescent="0.2">
      <c r="B12" s="7" t="s">
        <v>1720</v>
      </c>
      <c r="C12" s="7" t="s">
        <v>25</v>
      </c>
      <c r="D12" s="372" t="s">
        <v>1779</v>
      </c>
    </row>
    <row r="13" spans="2:21" ht="16" x14ac:dyDescent="0.2">
      <c r="B13" s="7" t="str">
        <f>_xlfn.CONCAT("av ",$B$3)</f>
        <v>av Grenseverdi</v>
      </c>
      <c r="C13" s="7" t="str">
        <f>_xlfn.CONCAT("of ",$C$3)</f>
        <v>of OELV</v>
      </c>
      <c r="D13" s="84" t="str">
        <f>_xlfn.CONCAT("de ",$D$3)</f>
        <v>de VLA</v>
      </c>
    </row>
    <row r="14" spans="2:21" ht="16" x14ac:dyDescent="0.2">
      <c r="B14" s="7" t="s">
        <v>1644</v>
      </c>
      <c r="C14" s="7" t="s">
        <v>27</v>
      </c>
      <c r="D14" s="372" t="s">
        <v>1780</v>
      </c>
    </row>
    <row r="15" spans="2:21" ht="16" x14ac:dyDescent="0.2">
      <c r="B15" s="7" t="s">
        <v>17</v>
      </c>
      <c r="C15" s="7" t="s">
        <v>29</v>
      </c>
      <c r="D15" s="372" t="s">
        <v>1781</v>
      </c>
    </row>
    <row r="16" spans="2:21" ht="16" x14ac:dyDescent="0.2">
      <c r="B16" s="7" t="s">
        <v>18</v>
      </c>
      <c r="C16" s="7" t="s">
        <v>1650</v>
      </c>
      <c r="D16" s="372" t="s">
        <v>1782</v>
      </c>
    </row>
    <row r="17" spans="2:4" ht="16" x14ac:dyDescent="0.2">
      <c r="B17" s="7" t="s">
        <v>1735</v>
      </c>
      <c r="C17" s="7" t="s">
        <v>1733</v>
      </c>
      <c r="D17" s="372" t="s">
        <v>1989</v>
      </c>
    </row>
    <row r="18" spans="2:4" ht="16" x14ac:dyDescent="0.2">
      <c r="B18" s="7" t="s">
        <v>1732</v>
      </c>
      <c r="C18" s="7" t="s">
        <v>1734</v>
      </c>
      <c r="D18" s="372" t="s">
        <v>1783</v>
      </c>
    </row>
    <row r="19" spans="2:4" ht="16" x14ac:dyDescent="0.2">
      <c r="B19" s="7" t="s">
        <v>23</v>
      </c>
      <c r="C19" s="7" t="s">
        <v>23</v>
      </c>
      <c r="D19" s="372" t="s">
        <v>1784</v>
      </c>
    </row>
    <row r="20" spans="2:4" ht="16" x14ac:dyDescent="0.2">
      <c r="B20" s="7" t="s">
        <v>16</v>
      </c>
      <c r="C20" s="7" t="s">
        <v>28</v>
      </c>
      <c r="D20" s="372" t="s">
        <v>1785</v>
      </c>
    </row>
    <row r="21" spans="2:4" ht="16" x14ac:dyDescent="0.2">
      <c r="B21" s="7" t="s">
        <v>32</v>
      </c>
      <c r="C21" s="7" t="s">
        <v>33</v>
      </c>
      <c r="D21" s="372" t="s">
        <v>1786</v>
      </c>
    </row>
    <row r="22" spans="2:4" ht="16" x14ac:dyDescent="0.2">
      <c r="B22" s="7" t="s">
        <v>1615</v>
      </c>
      <c r="C22" s="7" t="s">
        <v>1616</v>
      </c>
      <c r="D22" s="372" t="s">
        <v>1787</v>
      </c>
    </row>
    <row r="23" spans="2:4" ht="16" x14ac:dyDescent="0.2">
      <c r="B23" s="7" t="s">
        <v>35</v>
      </c>
      <c r="C23" s="7" t="s">
        <v>34</v>
      </c>
      <c r="D23" s="372" t="s">
        <v>1788</v>
      </c>
    </row>
    <row r="24" spans="2:4" ht="16" x14ac:dyDescent="0.2">
      <c r="B24" s="7" t="s">
        <v>1753</v>
      </c>
      <c r="C24" s="7" t="s">
        <v>1754</v>
      </c>
      <c r="D24" s="372" t="s">
        <v>1789</v>
      </c>
    </row>
    <row r="25" spans="2:4" ht="16" x14ac:dyDescent="0.2">
      <c r="B25" s="7" t="s">
        <v>1645</v>
      </c>
      <c r="C25" s="7" t="s">
        <v>1675</v>
      </c>
      <c r="D25" s="372" t="s">
        <v>1790</v>
      </c>
    </row>
    <row r="26" spans="2:4" ht="16" x14ac:dyDescent="0.2">
      <c r="B26" s="7" t="s">
        <v>45</v>
      </c>
      <c r="C26" s="7" t="s">
        <v>44</v>
      </c>
      <c r="D26" s="372" t="s">
        <v>1791</v>
      </c>
    </row>
    <row r="27" spans="2:4" ht="16" x14ac:dyDescent="0.2">
      <c r="B27" s="7" t="s">
        <v>1700</v>
      </c>
      <c r="C27" s="7" t="s">
        <v>1701</v>
      </c>
      <c r="D27" s="372" t="s">
        <v>1792</v>
      </c>
    </row>
    <row r="28" spans="2:4" ht="16" x14ac:dyDescent="0.2">
      <c r="B28" s="7" t="s">
        <v>48</v>
      </c>
      <c r="C28" s="7" t="s">
        <v>47</v>
      </c>
      <c r="D28" s="372" t="s">
        <v>1793</v>
      </c>
    </row>
    <row r="29" spans="2:4" ht="16" x14ac:dyDescent="0.2">
      <c r="B29" s="7" t="s">
        <v>1628</v>
      </c>
      <c r="C29" s="7" t="s">
        <v>1629</v>
      </c>
      <c r="D29" s="372" t="s">
        <v>1794</v>
      </c>
    </row>
    <row r="30" spans="2:4" ht="32" x14ac:dyDescent="0.2">
      <c r="B30" s="7" t="s">
        <v>58</v>
      </c>
      <c r="C30" s="7" t="s">
        <v>59</v>
      </c>
      <c r="D30" s="371" t="s">
        <v>1795</v>
      </c>
    </row>
    <row r="31" spans="2:4" ht="16" x14ac:dyDescent="0.2">
      <c r="B31" s="7" t="s">
        <v>1707</v>
      </c>
      <c r="C31" s="7" t="s">
        <v>1708</v>
      </c>
      <c r="D31" s="372" t="s">
        <v>1796</v>
      </c>
    </row>
    <row r="32" spans="2:4" ht="16" x14ac:dyDescent="0.2">
      <c r="B32" s="7" t="s">
        <v>1723</v>
      </c>
      <c r="C32" s="7" t="s">
        <v>1724</v>
      </c>
      <c r="D32" s="372" t="s">
        <v>1797</v>
      </c>
    </row>
    <row r="33" spans="2:4" ht="16" x14ac:dyDescent="0.2">
      <c r="B33" s="7" t="s">
        <v>19</v>
      </c>
      <c r="C33" s="7" t="s">
        <v>64</v>
      </c>
      <c r="D33" s="372" t="s">
        <v>1798</v>
      </c>
    </row>
    <row r="34" spans="2:4" ht="16" x14ac:dyDescent="0.2">
      <c r="B34" s="7" t="s">
        <v>37</v>
      </c>
      <c r="C34" s="7" t="s">
        <v>37</v>
      </c>
      <c r="D34" s="372" t="s">
        <v>37</v>
      </c>
    </row>
    <row r="35" spans="2:4" ht="16" x14ac:dyDescent="0.2">
      <c r="B35" s="7" t="s">
        <v>36</v>
      </c>
      <c r="C35" s="7" t="s">
        <v>36</v>
      </c>
      <c r="D35" s="372" t="s">
        <v>36</v>
      </c>
    </row>
    <row r="36" spans="2:4" ht="16" x14ac:dyDescent="0.2">
      <c r="B36" s="7" t="s">
        <v>1755</v>
      </c>
      <c r="C36" s="7" t="s">
        <v>1756</v>
      </c>
      <c r="D36" s="372" t="s">
        <v>1800</v>
      </c>
    </row>
    <row r="37" spans="2:4" ht="16" x14ac:dyDescent="0.2">
      <c r="B37" s="7" t="s">
        <v>66</v>
      </c>
      <c r="C37" s="7" t="s">
        <v>70</v>
      </c>
      <c r="D37" s="372" t="s">
        <v>1801</v>
      </c>
    </row>
    <row r="38" spans="2:4" ht="16" x14ac:dyDescent="0.2">
      <c r="B38" s="7" t="s">
        <v>24</v>
      </c>
      <c r="C38" s="7" t="s">
        <v>69</v>
      </c>
      <c r="D38" s="372" t="s">
        <v>1802</v>
      </c>
    </row>
    <row r="39" spans="2:4" ht="16" x14ac:dyDescent="0.2">
      <c r="B39" s="7" t="s">
        <v>1592</v>
      </c>
      <c r="C39" s="7" t="s">
        <v>1593</v>
      </c>
      <c r="D39" s="372" t="s">
        <v>1803</v>
      </c>
    </row>
    <row r="40" spans="2:4" ht="16" x14ac:dyDescent="0.2">
      <c r="B40" s="7" t="s">
        <v>276</v>
      </c>
      <c r="C40" s="7" t="s">
        <v>277</v>
      </c>
      <c r="D40" s="372" t="s">
        <v>1804</v>
      </c>
    </row>
    <row r="41" spans="2:4" ht="16" x14ac:dyDescent="0.2">
      <c r="B41" s="7" t="s">
        <v>1681</v>
      </c>
      <c r="C41" s="7" t="s">
        <v>121</v>
      </c>
      <c r="D41" s="372" t="s">
        <v>1805</v>
      </c>
    </row>
    <row r="42" spans="2:4" ht="48" x14ac:dyDescent="0.2">
      <c r="B42" s="7" t="s">
        <v>168</v>
      </c>
      <c r="C42" s="7" t="s">
        <v>1646</v>
      </c>
      <c r="D42" s="371" t="s">
        <v>1806</v>
      </c>
    </row>
    <row r="43" spans="2:4" ht="16" x14ac:dyDescent="0.2">
      <c r="B43" s="7" t="s">
        <v>279</v>
      </c>
      <c r="C43" s="7" t="s">
        <v>1677</v>
      </c>
      <c r="D43" s="372" t="s">
        <v>1807</v>
      </c>
    </row>
    <row r="44" spans="2:4" ht="16" x14ac:dyDescent="0.2">
      <c r="B44" s="7" t="s">
        <v>283</v>
      </c>
      <c r="C44" s="7" t="s">
        <v>282</v>
      </c>
      <c r="D44" s="372" t="s">
        <v>1808</v>
      </c>
    </row>
    <row r="45" spans="2:4" ht="16" x14ac:dyDescent="0.2">
      <c r="B45" s="7" t="s">
        <v>171</v>
      </c>
      <c r="C45" s="7" t="s">
        <v>1659</v>
      </c>
      <c r="D45" s="372" t="s">
        <v>1809</v>
      </c>
    </row>
    <row r="46" spans="2:4" ht="16" x14ac:dyDescent="0.2">
      <c r="B46" s="7" t="s">
        <v>170</v>
      </c>
      <c r="C46" s="7" t="s">
        <v>169</v>
      </c>
      <c r="D46" s="372" t="s">
        <v>1810</v>
      </c>
    </row>
    <row r="47" spans="2:4" ht="16" x14ac:dyDescent="0.2">
      <c r="B47" s="7" t="s">
        <v>71</v>
      </c>
      <c r="C47" s="7" t="s">
        <v>136</v>
      </c>
      <c r="D47" s="372" t="s">
        <v>1811</v>
      </c>
    </row>
    <row r="48" spans="2:4" ht="16" x14ac:dyDescent="0.2">
      <c r="B48" s="7" t="s">
        <v>1725</v>
      </c>
      <c r="C48" s="7" t="s">
        <v>1726</v>
      </c>
      <c r="D48" s="372" t="s">
        <v>1812</v>
      </c>
    </row>
    <row r="49" spans="2:5" ht="16" x14ac:dyDescent="0.2">
      <c r="B49" s="7" t="s">
        <v>198</v>
      </c>
      <c r="C49" s="7" t="s">
        <v>197</v>
      </c>
      <c r="D49" s="372" t="s">
        <v>1813</v>
      </c>
    </row>
    <row r="50" spans="2:5" ht="16" x14ac:dyDescent="0.2">
      <c r="B50" s="7" t="s">
        <v>1641</v>
      </c>
      <c r="C50" s="7" t="s">
        <v>1642</v>
      </c>
      <c r="D50" s="372" t="s">
        <v>1814</v>
      </c>
    </row>
    <row r="51" spans="2:5" ht="32" x14ac:dyDescent="0.2">
      <c r="B51" s="7" t="s">
        <v>216</v>
      </c>
      <c r="C51" s="7" t="s">
        <v>217</v>
      </c>
      <c r="D51" s="371" t="s">
        <v>1815</v>
      </c>
    </row>
    <row r="52" spans="2:5" ht="16" x14ac:dyDescent="0.2">
      <c r="B52" s="7" t="s">
        <v>220</v>
      </c>
      <c r="C52" s="7" t="s">
        <v>28</v>
      </c>
      <c r="D52" s="372" t="s">
        <v>1785</v>
      </c>
    </row>
    <row r="53" spans="2:5" ht="16" x14ac:dyDescent="0.2">
      <c r="B53" s="7" t="s">
        <v>221</v>
      </c>
      <c r="C53" s="7" t="s">
        <v>222</v>
      </c>
      <c r="D53" s="372" t="s">
        <v>1816</v>
      </c>
    </row>
    <row r="54" spans="2:5" ht="16" x14ac:dyDescent="0.2">
      <c r="B54" s="7" t="s">
        <v>229</v>
      </c>
      <c r="C54" s="7" t="s">
        <v>230</v>
      </c>
      <c r="D54" s="372" t="s">
        <v>1817</v>
      </c>
    </row>
    <row r="55" spans="2:5" ht="16" x14ac:dyDescent="0.2">
      <c r="B55" s="7" t="s">
        <v>233</v>
      </c>
      <c r="C55" s="7" t="s">
        <v>234</v>
      </c>
      <c r="D55" s="372" t="s">
        <v>1818</v>
      </c>
    </row>
    <row r="56" spans="2:5" ht="16" x14ac:dyDescent="0.2">
      <c r="B56" s="7" t="s">
        <v>227</v>
      </c>
      <c r="C56" s="7" t="s">
        <v>227</v>
      </c>
      <c r="D56" s="372" t="s">
        <v>227</v>
      </c>
    </row>
    <row r="57" spans="2:5" ht="16" x14ac:dyDescent="0.2">
      <c r="B57" s="7" t="s">
        <v>231</v>
      </c>
      <c r="C57" s="7" t="s">
        <v>228</v>
      </c>
      <c r="D57" s="372" t="s">
        <v>1819</v>
      </c>
    </row>
    <row r="58" spans="2:5" ht="16" x14ac:dyDescent="0.2">
      <c r="B58" s="7" t="s">
        <v>232</v>
      </c>
      <c r="C58" s="7" t="s">
        <v>135</v>
      </c>
      <c r="D58" s="372" t="s">
        <v>135</v>
      </c>
    </row>
    <row r="59" spans="2:5" ht="16" x14ac:dyDescent="0.2">
      <c r="B59" s="7" t="s">
        <v>238</v>
      </c>
      <c r="C59" s="7" t="s">
        <v>239</v>
      </c>
      <c r="D59" s="372" t="s">
        <v>1820</v>
      </c>
    </row>
    <row r="60" spans="2:5" ht="16" x14ac:dyDescent="0.2">
      <c r="B60" s="7" t="s">
        <v>1682</v>
      </c>
      <c r="C60" s="7" t="s">
        <v>257</v>
      </c>
      <c r="D60" s="372" t="s">
        <v>1821</v>
      </c>
      <c r="E60" t="s">
        <v>1682</v>
      </c>
    </row>
    <row r="61" spans="2:5" ht="16" x14ac:dyDescent="0.2">
      <c r="B61" s="7" t="s">
        <v>1683</v>
      </c>
      <c r="C61" s="7" t="s">
        <v>258</v>
      </c>
      <c r="D61" s="372" t="s">
        <v>1822</v>
      </c>
      <c r="E61" t="s">
        <v>1683</v>
      </c>
    </row>
    <row r="62" spans="2:5" ht="16" x14ac:dyDescent="0.2">
      <c r="B62" s="7" t="s">
        <v>261</v>
      </c>
      <c r="C62" s="7" t="s">
        <v>262</v>
      </c>
      <c r="D62" s="372" t="s">
        <v>1823</v>
      </c>
    </row>
    <row r="63" spans="2:5" ht="16" x14ac:dyDescent="0.2">
      <c r="B63" s="7" t="s">
        <v>263</v>
      </c>
      <c r="C63" s="7" t="s">
        <v>196</v>
      </c>
      <c r="D63" s="372" t="s">
        <v>1824</v>
      </c>
    </row>
    <row r="64" spans="2:5" ht="16" x14ac:dyDescent="0.2">
      <c r="B64" s="7" t="s">
        <v>264</v>
      </c>
      <c r="C64" s="7" t="s">
        <v>203</v>
      </c>
      <c r="D64" s="372" t="s">
        <v>1825</v>
      </c>
    </row>
    <row r="65" spans="2:4" ht="16" x14ac:dyDescent="0.2">
      <c r="B65" s="7" t="s">
        <v>1727</v>
      </c>
      <c r="C65" s="7" t="s">
        <v>1728</v>
      </c>
      <c r="D65" s="372" t="s">
        <v>1826</v>
      </c>
    </row>
    <row r="66" spans="2:4" ht="16" x14ac:dyDescent="0.2">
      <c r="B66" s="7" t="s">
        <v>278</v>
      </c>
      <c r="C66" s="7" t="s">
        <v>1587</v>
      </c>
      <c r="D66" s="372" t="s">
        <v>1827</v>
      </c>
    </row>
    <row r="67" spans="2:4" ht="16" x14ac:dyDescent="0.2">
      <c r="B67" s="7" t="s">
        <v>284</v>
      </c>
      <c r="C67" s="7" t="s">
        <v>285</v>
      </c>
      <c r="D67" s="372" t="s">
        <v>1828</v>
      </c>
    </row>
    <row r="68" spans="2:4" ht="16" x14ac:dyDescent="0.2">
      <c r="B68" s="7" t="s">
        <v>286</v>
      </c>
      <c r="C68" s="7" t="s">
        <v>287</v>
      </c>
      <c r="D68" s="372" t="s">
        <v>1829</v>
      </c>
    </row>
    <row r="69" spans="2:4" ht="16" x14ac:dyDescent="0.2">
      <c r="B69" s="7" t="s">
        <v>1741</v>
      </c>
      <c r="C69" s="7" t="s">
        <v>1742</v>
      </c>
      <c r="D69" s="372" t="s">
        <v>1830</v>
      </c>
    </row>
    <row r="70" spans="2:4" ht="16" x14ac:dyDescent="0.2">
      <c r="B70" s="7" t="s">
        <v>312</v>
      </c>
      <c r="C70" s="7" t="s">
        <v>311</v>
      </c>
      <c r="D70" s="372" t="s">
        <v>1831</v>
      </c>
    </row>
    <row r="71" spans="2:4" ht="16" x14ac:dyDescent="0.2">
      <c r="B71" s="7" t="s">
        <v>313</v>
      </c>
      <c r="C71" s="7" t="s">
        <v>309</v>
      </c>
      <c r="D71" s="372" t="s">
        <v>1832</v>
      </c>
    </row>
    <row r="72" spans="2:4" ht="16" x14ac:dyDescent="0.2">
      <c r="B72" s="7" t="s">
        <v>1740</v>
      </c>
      <c r="C72" s="7" t="s">
        <v>1739</v>
      </c>
      <c r="D72" s="372" t="s">
        <v>1833</v>
      </c>
    </row>
    <row r="73" spans="2:4" ht="16" x14ac:dyDescent="0.2">
      <c r="B73" s="7" t="s">
        <v>1684</v>
      </c>
      <c r="C73" s="7" t="s">
        <v>310</v>
      </c>
      <c r="D73" s="372" t="s">
        <v>1834</v>
      </c>
    </row>
    <row r="74" spans="2:4" ht="16" x14ac:dyDescent="0.2">
      <c r="B74" s="7" t="s">
        <v>314</v>
      </c>
      <c r="C74" s="7" t="s">
        <v>315</v>
      </c>
      <c r="D74" s="372" t="s">
        <v>1835</v>
      </c>
    </row>
    <row r="75" spans="2:4" ht="16" x14ac:dyDescent="0.2">
      <c r="B75" s="7" t="s">
        <v>46</v>
      </c>
      <c r="C75" s="7" t="s">
        <v>316</v>
      </c>
      <c r="D75" s="372" t="s">
        <v>1836</v>
      </c>
    </row>
    <row r="76" spans="2:4" ht="16" x14ac:dyDescent="0.2">
      <c r="B76" s="7" t="s">
        <v>317</v>
      </c>
      <c r="C76" s="7" t="s">
        <v>302</v>
      </c>
      <c r="D76" s="372" t="s">
        <v>1837</v>
      </c>
    </row>
    <row r="77" spans="2:4" ht="16" x14ac:dyDescent="0.2">
      <c r="B77" s="7" t="s">
        <v>1709</v>
      </c>
      <c r="C77" s="7" t="s">
        <v>1710</v>
      </c>
      <c r="D77" s="372" t="s">
        <v>1838</v>
      </c>
    </row>
    <row r="78" spans="2:4" ht="16" x14ac:dyDescent="0.2">
      <c r="B78" s="7" t="s">
        <v>319</v>
      </c>
      <c r="C78" s="7" t="s">
        <v>300</v>
      </c>
      <c r="D78" s="372" t="s">
        <v>1839</v>
      </c>
    </row>
    <row r="79" spans="2:4" ht="16" x14ac:dyDescent="0.2">
      <c r="B79" s="7" t="s">
        <v>320</v>
      </c>
      <c r="C79" s="7" t="s">
        <v>301</v>
      </c>
      <c r="D79" s="372" t="s">
        <v>1840</v>
      </c>
    </row>
    <row r="80" spans="2:4" ht="16" x14ac:dyDescent="0.2">
      <c r="B80" s="7" t="s">
        <v>321</v>
      </c>
      <c r="C80" s="7" t="s">
        <v>288</v>
      </c>
      <c r="D80" s="372" t="s">
        <v>1841</v>
      </c>
    </row>
    <row r="81" spans="2:4" ht="16" x14ac:dyDescent="0.2">
      <c r="B81" s="7" t="s">
        <v>322</v>
      </c>
      <c r="C81" s="7" t="s">
        <v>293</v>
      </c>
      <c r="D81" s="372" t="s">
        <v>1842</v>
      </c>
    </row>
    <row r="82" spans="2:4" ht="16" x14ac:dyDescent="0.2">
      <c r="B82" s="7" t="s">
        <v>324</v>
      </c>
      <c r="C82" s="7" t="s">
        <v>323</v>
      </c>
      <c r="D82" s="372" t="s">
        <v>1843</v>
      </c>
    </row>
    <row r="83" spans="2:4" ht="32" x14ac:dyDescent="0.2">
      <c r="B83" s="7" t="s">
        <v>325</v>
      </c>
      <c r="C83" s="7" t="s">
        <v>305</v>
      </c>
      <c r="D83" s="371" t="s">
        <v>1844</v>
      </c>
    </row>
    <row r="84" spans="2:4" ht="32" x14ac:dyDescent="0.2">
      <c r="B84" s="7" t="s">
        <v>326</v>
      </c>
      <c r="C84" s="7" t="s">
        <v>327</v>
      </c>
      <c r="D84" s="371" t="s">
        <v>1845</v>
      </c>
    </row>
    <row r="85" spans="2:4" ht="16" x14ac:dyDescent="0.2">
      <c r="B85" s="7" t="s">
        <v>328</v>
      </c>
      <c r="C85" s="7" t="s">
        <v>62</v>
      </c>
      <c r="D85" s="372" t="s">
        <v>1846</v>
      </c>
    </row>
    <row r="86" spans="2:4" ht="32" x14ac:dyDescent="0.2">
      <c r="B86" s="7" t="s">
        <v>330</v>
      </c>
      <c r="C86" s="7" t="s">
        <v>329</v>
      </c>
      <c r="D86" s="372" t="s">
        <v>1847</v>
      </c>
    </row>
    <row r="87" spans="2:4" ht="16" x14ac:dyDescent="0.2">
      <c r="B87" s="7" t="s">
        <v>334</v>
      </c>
      <c r="C87" s="7" t="s">
        <v>335</v>
      </c>
      <c r="D87" s="372" t="s">
        <v>1848</v>
      </c>
    </row>
    <row r="88" spans="2:4" ht="16" x14ac:dyDescent="0.2">
      <c r="B88" s="7" t="s">
        <v>1702</v>
      </c>
      <c r="C88" s="7" t="s">
        <v>1703</v>
      </c>
      <c r="D88" s="372" t="s">
        <v>1849</v>
      </c>
    </row>
    <row r="89" spans="2:4" ht="16" x14ac:dyDescent="0.2">
      <c r="B89" s="7" t="s">
        <v>336</v>
      </c>
      <c r="C89" s="7" t="s">
        <v>332</v>
      </c>
      <c r="D89" s="372" t="s">
        <v>1850</v>
      </c>
    </row>
    <row r="90" spans="2:4" ht="16" x14ac:dyDescent="0.2">
      <c r="B90" s="7" t="s">
        <v>265</v>
      </c>
      <c r="C90" s="7" t="s">
        <v>333</v>
      </c>
      <c r="D90" s="372" t="s">
        <v>1851</v>
      </c>
    </row>
    <row r="91" spans="2:4" ht="16" x14ac:dyDescent="0.2">
      <c r="B91" s="7" t="s">
        <v>1541</v>
      </c>
      <c r="C91" s="7" t="s">
        <v>1544</v>
      </c>
      <c r="D91" s="372" t="s">
        <v>1852</v>
      </c>
    </row>
    <row r="92" spans="2:4" ht="16" x14ac:dyDescent="0.2">
      <c r="B92" s="7" t="s">
        <v>1542</v>
      </c>
      <c r="C92" s="7" t="s">
        <v>1543</v>
      </c>
      <c r="D92" s="372" t="s">
        <v>1853</v>
      </c>
    </row>
    <row r="93" spans="2:4" ht="16" x14ac:dyDescent="0.2">
      <c r="B93" s="7" t="s">
        <v>1552</v>
      </c>
      <c r="C93" s="7" t="s">
        <v>337</v>
      </c>
      <c r="D93" s="372" t="s">
        <v>1854</v>
      </c>
    </row>
    <row r="94" spans="2:4" ht="16" x14ac:dyDescent="0.2">
      <c r="B94" s="7" t="s">
        <v>331</v>
      </c>
      <c r="C94" s="7" t="s">
        <v>338</v>
      </c>
      <c r="D94" s="372" t="s">
        <v>1855</v>
      </c>
    </row>
    <row r="95" spans="2:4" ht="16" x14ac:dyDescent="0.2">
      <c r="B95" s="7" t="s">
        <v>307</v>
      </c>
      <c r="C95" s="7" t="s">
        <v>339</v>
      </c>
      <c r="D95" s="372" t="s">
        <v>1856</v>
      </c>
    </row>
    <row r="96" spans="2:4" ht="16" x14ac:dyDescent="0.2">
      <c r="B96" s="7" t="s">
        <v>306</v>
      </c>
      <c r="C96" s="7" t="s">
        <v>1676</v>
      </c>
      <c r="D96" s="372" t="s">
        <v>1857</v>
      </c>
    </row>
    <row r="97" spans="2:4" ht="16" x14ac:dyDescent="0.2">
      <c r="B97" s="7" t="s">
        <v>266</v>
      </c>
      <c r="C97" s="7" t="s">
        <v>340</v>
      </c>
      <c r="D97" s="372" t="s">
        <v>1858</v>
      </c>
    </row>
    <row r="98" spans="2:4" ht="16" x14ac:dyDescent="0.2">
      <c r="B98" s="7" t="s">
        <v>268</v>
      </c>
      <c r="C98" s="7" t="s">
        <v>341</v>
      </c>
      <c r="D98" s="372" t="s">
        <v>1859</v>
      </c>
    </row>
    <row r="99" spans="2:4" ht="16" x14ac:dyDescent="0.2">
      <c r="B99" s="7" t="s">
        <v>1546</v>
      </c>
      <c r="C99" s="7" t="s">
        <v>1545</v>
      </c>
      <c r="D99" s="372" t="s">
        <v>1860</v>
      </c>
    </row>
    <row r="100" spans="2:4" ht="16" x14ac:dyDescent="0.2">
      <c r="B100" s="7" t="s">
        <v>269</v>
      </c>
      <c r="C100" s="7" t="s">
        <v>342</v>
      </c>
      <c r="D100" s="372" t="s">
        <v>1861</v>
      </c>
    </row>
    <row r="101" spans="2:4" ht="16" x14ac:dyDescent="0.2">
      <c r="B101" s="7" t="s">
        <v>270</v>
      </c>
      <c r="C101" s="7" t="s">
        <v>343</v>
      </c>
      <c r="D101" s="372" t="s">
        <v>1862</v>
      </c>
    </row>
    <row r="102" spans="2:4" ht="16" x14ac:dyDescent="0.2">
      <c r="B102" s="7" t="str">
        <f>"MK = Metningskonsentrasjon | EE = Estimert eksponering"</f>
        <v>MK = Metningskonsentrasjon | EE = Estimert eksponering</v>
      </c>
      <c r="C102" s="7" t="str">
        <f>"SC = Saturation concentration | EE = Estimated exposure"</f>
        <v>SC = Saturation concentration | EE = Estimated exposure</v>
      </c>
      <c r="D102" s="372" t="s">
        <v>1863</v>
      </c>
    </row>
    <row r="103" spans="2:4" ht="16" x14ac:dyDescent="0.2">
      <c r="B103" s="7" t="str">
        <f>"MK (ppm)= (stoffetsdamptrykk /atmosfæretrykk) * 1000000"</f>
        <v>MK (ppm)= (stoffetsdamptrykk /atmosfæretrykk) * 1000000</v>
      </c>
      <c r="C103" s="7" t="str">
        <f>"SC (ppm)= (substance vapour pressure / atmospheric pressure) * 1000000"</f>
        <v>SC (ppm)= (substance vapour pressure / atmospheric pressure) * 1000000</v>
      </c>
      <c r="D103" s="372" t="s">
        <v>1864</v>
      </c>
    </row>
    <row r="104" spans="2:4" ht="16" x14ac:dyDescent="0.2">
      <c r="B104" s="7" t="s">
        <v>345</v>
      </c>
      <c r="C104" s="7" t="s">
        <v>344</v>
      </c>
      <c r="D104" s="372" t="s">
        <v>1865</v>
      </c>
    </row>
    <row r="105" spans="2:4" ht="16" x14ac:dyDescent="0.2">
      <c r="B105" s="7" t="str">
        <f xml:space="preserve"> "EE (ppm) = MK * forventet fortynning"</f>
        <v>EE (ppm) = MK * forventet fortynning</v>
      </c>
      <c r="C105" s="7" t="s">
        <v>396</v>
      </c>
      <c r="D105" s="372" t="s">
        <v>1866</v>
      </c>
    </row>
    <row r="106" spans="2:4" ht="16" x14ac:dyDescent="0.2">
      <c r="B106" s="7" t="s">
        <v>347</v>
      </c>
      <c r="C106" s="7" t="s">
        <v>346</v>
      </c>
      <c r="D106" s="372" t="s">
        <v>1867</v>
      </c>
    </row>
    <row r="107" spans="2:4" ht="16" x14ac:dyDescent="0.2">
      <c r="B107" s="7" t="s">
        <v>267</v>
      </c>
      <c r="C107" s="7" t="s">
        <v>348</v>
      </c>
      <c r="D107" s="372" t="s">
        <v>1868</v>
      </c>
    </row>
    <row r="108" spans="2:4" ht="16" x14ac:dyDescent="0.2">
      <c r="B108" s="7" t="s">
        <v>349</v>
      </c>
      <c r="C108" s="7" t="s">
        <v>350</v>
      </c>
      <c r="D108" s="372" t="s">
        <v>1869</v>
      </c>
    </row>
    <row r="109" spans="2:4" ht="16" x14ac:dyDescent="0.2">
      <c r="B109" s="7" t="s">
        <v>356</v>
      </c>
      <c r="C109" s="7" t="s">
        <v>357</v>
      </c>
      <c r="D109" s="372" t="s">
        <v>1870</v>
      </c>
    </row>
    <row r="110" spans="2:4" ht="16" x14ac:dyDescent="0.2">
      <c r="B110" s="7" t="s">
        <v>1665</v>
      </c>
      <c r="C110" s="7" t="s">
        <v>1661</v>
      </c>
      <c r="D110" s="372" t="s">
        <v>1871</v>
      </c>
    </row>
    <row r="111" spans="2:4" ht="16" x14ac:dyDescent="0.2">
      <c r="B111" s="7" t="s">
        <v>1660</v>
      </c>
      <c r="C111" s="7" t="s">
        <v>1662</v>
      </c>
      <c r="D111" s="372" t="s">
        <v>1872</v>
      </c>
    </row>
    <row r="112" spans="2:4" ht="16" x14ac:dyDescent="0.2">
      <c r="B112" s="7" t="s">
        <v>358</v>
      </c>
      <c r="C112" s="7" t="s">
        <v>303</v>
      </c>
      <c r="D112" s="372" t="s">
        <v>1873</v>
      </c>
    </row>
    <row r="113" spans="2:4" ht="16" x14ac:dyDescent="0.2">
      <c r="B113" s="7" t="s">
        <v>1697</v>
      </c>
      <c r="C113" s="7" t="s">
        <v>1698</v>
      </c>
      <c r="D113" s="372" t="s">
        <v>1874</v>
      </c>
    </row>
    <row r="114" spans="2:4" ht="16" x14ac:dyDescent="0.2">
      <c r="B114" s="7" t="s">
        <v>363</v>
      </c>
      <c r="C114" s="7" t="s">
        <v>368</v>
      </c>
      <c r="D114" s="372" t="s">
        <v>1875</v>
      </c>
    </row>
    <row r="115" spans="2:4" ht="16" x14ac:dyDescent="0.2">
      <c r="B115" s="7" t="s">
        <v>367</v>
      </c>
      <c r="C115" s="7" t="s">
        <v>369</v>
      </c>
      <c r="D115" s="372" t="s">
        <v>1876</v>
      </c>
    </row>
    <row r="116" spans="2:4" ht="16" x14ac:dyDescent="0.2">
      <c r="B116" s="7" t="s">
        <v>364</v>
      </c>
      <c r="C116" s="7" t="s">
        <v>370</v>
      </c>
      <c r="D116" s="372" t="s">
        <v>1877</v>
      </c>
    </row>
    <row r="117" spans="2:4" ht="16" x14ac:dyDescent="0.2">
      <c r="B117" s="7" t="s">
        <v>365</v>
      </c>
      <c r="C117" s="7" t="s">
        <v>1695</v>
      </c>
      <c r="D117" s="372" t="s">
        <v>1878</v>
      </c>
    </row>
    <row r="118" spans="2:4" ht="16" x14ac:dyDescent="0.2">
      <c r="B118" s="7" t="s">
        <v>371</v>
      </c>
      <c r="C118" s="7" t="s">
        <v>1696</v>
      </c>
      <c r="D118" s="372" t="s">
        <v>1879</v>
      </c>
    </row>
    <row r="119" spans="2:4" ht="16" x14ac:dyDescent="0.2">
      <c r="B119" s="7" t="s">
        <v>366</v>
      </c>
      <c r="C119" s="7" t="s">
        <v>372</v>
      </c>
      <c r="D119" s="372" t="s">
        <v>1880</v>
      </c>
    </row>
    <row r="120" spans="2:4" ht="16" x14ac:dyDescent="0.2">
      <c r="B120" s="7" t="s">
        <v>360</v>
      </c>
      <c r="C120" s="7" t="s">
        <v>1649</v>
      </c>
      <c r="D120" s="372" t="s">
        <v>1881</v>
      </c>
    </row>
    <row r="121" spans="2:4" ht="16" x14ac:dyDescent="0.2">
      <c r="B121" s="7" t="s">
        <v>1670</v>
      </c>
      <c r="C121" s="7" t="s">
        <v>1671</v>
      </c>
      <c r="D121" s="372" t="s">
        <v>1882</v>
      </c>
    </row>
    <row r="122" spans="2:4" ht="16" x14ac:dyDescent="0.2">
      <c r="B122" s="7" t="s">
        <v>375</v>
      </c>
      <c r="C122" s="7" t="s">
        <v>377</v>
      </c>
      <c r="D122" s="372" t="s">
        <v>1883</v>
      </c>
    </row>
    <row r="123" spans="2:4" ht="16" x14ac:dyDescent="0.2">
      <c r="B123" s="7" t="s">
        <v>378</v>
      </c>
      <c r="C123" s="7" t="s">
        <v>379</v>
      </c>
      <c r="D123" s="372" t="s">
        <v>1884</v>
      </c>
    </row>
    <row r="124" spans="2:4" ht="48" x14ac:dyDescent="0.2">
      <c r="B124" s="7" t="s">
        <v>381</v>
      </c>
      <c r="C124" s="7" t="s">
        <v>382</v>
      </c>
      <c r="D124" s="371" t="s">
        <v>1885</v>
      </c>
    </row>
    <row r="125" spans="2:4" ht="32" x14ac:dyDescent="0.2">
      <c r="B125" s="7" t="s">
        <v>1685</v>
      </c>
      <c r="C125" s="7" t="s">
        <v>383</v>
      </c>
      <c r="D125" s="371" t="s">
        <v>1886</v>
      </c>
    </row>
    <row r="126" spans="2:4" ht="32" x14ac:dyDescent="0.2">
      <c r="B126" s="7" t="s">
        <v>380</v>
      </c>
      <c r="C126" s="7" t="s">
        <v>384</v>
      </c>
      <c r="D126" s="371" t="s">
        <v>1887</v>
      </c>
    </row>
    <row r="127" spans="2:4" ht="32" x14ac:dyDescent="0.2">
      <c r="B127" s="7" t="s">
        <v>385</v>
      </c>
      <c r="C127" s="7" t="s">
        <v>1651</v>
      </c>
      <c r="D127" s="371" t="s">
        <v>1888</v>
      </c>
    </row>
    <row r="128" spans="2:4" ht="16" x14ac:dyDescent="0.2">
      <c r="B128" s="7" t="s">
        <v>376</v>
      </c>
      <c r="C128" s="7" t="s">
        <v>387</v>
      </c>
      <c r="D128" s="372" t="s">
        <v>1889</v>
      </c>
    </row>
    <row r="129" spans="2:4" ht="16" x14ac:dyDescent="0.2">
      <c r="B129" s="7" t="s">
        <v>386</v>
      </c>
      <c r="C129" s="7" t="s">
        <v>388</v>
      </c>
      <c r="D129" s="372" t="s">
        <v>1890</v>
      </c>
    </row>
    <row r="130" spans="2:4" ht="16" x14ac:dyDescent="0.2">
      <c r="B130" s="7" t="s">
        <v>389</v>
      </c>
      <c r="C130" s="7" t="s">
        <v>390</v>
      </c>
      <c r="D130" s="372" t="s">
        <v>1891</v>
      </c>
    </row>
    <row r="131" spans="2:4" ht="16" x14ac:dyDescent="0.2">
      <c r="B131" s="7" t="s">
        <v>362</v>
      </c>
      <c r="C131" s="7" t="s">
        <v>391</v>
      </c>
      <c r="D131" s="372" t="s">
        <v>1892</v>
      </c>
    </row>
    <row r="132" spans="2:4" ht="16" x14ac:dyDescent="0.2">
      <c r="B132" s="7" t="s">
        <v>393</v>
      </c>
      <c r="C132" s="7" t="s">
        <v>392</v>
      </c>
      <c r="D132" s="372" t="s">
        <v>1893</v>
      </c>
    </row>
    <row r="133" spans="2:4" ht="16" x14ac:dyDescent="0.2">
      <c r="B133" s="7" t="s">
        <v>1550</v>
      </c>
      <c r="C133" s="7" t="s">
        <v>1551</v>
      </c>
      <c r="D133" s="372" t="s">
        <v>1894</v>
      </c>
    </row>
    <row r="134" spans="2:4" ht="16" x14ac:dyDescent="0.2">
      <c r="B134" s="7" t="s">
        <v>373</v>
      </c>
      <c r="C134" s="7" t="s">
        <v>394</v>
      </c>
      <c r="D134" s="372" t="s">
        <v>1895</v>
      </c>
    </row>
    <row r="135" spans="2:4" ht="16" x14ac:dyDescent="0.2">
      <c r="B135" s="7" t="s">
        <v>374</v>
      </c>
      <c r="C135" s="7" t="s">
        <v>395</v>
      </c>
      <c r="D135" s="372" t="s">
        <v>1896</v>
      </c>
    </row>
    <row r="136" spans="2:4" ht="64" x14ac:dyDescent="0.2">
      <c r="B136" s="7" t="s">
        <v>1757</v>
      </c>
      <c r="C136" s="7" t="s">
        <v>1758</v>
      </c>
      <c r="D136" s="371" t="s">
        <v>1897</v>
      </c>
    </row>
    <row r="137" spans="2:4" ht="16" x14ac:dyDescent="0.2">
      <c r="B137" s="7" t="s">
        <v>397</v>
      </c>
      <c r="C137" s="7" t="s">
        <v>398</v>
      </c>
      <c r="D137" s="372" t="s">
        <v>1898</v>
      </c>
    </row>
    <row r="138" spans="2:4" ht="48" x14ac:dyDescent="0.2">
      <c r="B138" s="7" t="s">
        <v>1667</v>
      </c>
      <c r="C138" s="7" t="s">
        <v>1666</v>
      </c>
      <c r="D138" s="371" t="s">
        <v>1990</v>
      </c>
    </row>
    <row r="139" spans="2:4" ht="16" x14ac:dyDescent="0.2">
      <c r="B139" s="7" t="s">
        <v>399</v>
      </c>
      <c r="C139" s="7" t="s">
        <v>400</v>
      </c>
      <c r="D139" s="372" t="s">
        <v>1899</v>
      </c>
    </row>
    <row r="140" spans="2:4" ht="16" x14ac:dyDescent="0.2">
      <c r="B140" s="7" t="s">
        <v>271</v>
      </c>
      <c r="C140" s="7" t="s">
        <v>1647</v>
      </c>
      <c r="D140" s="372" t="s">
        <v>1771</v>
      </c>
    </row>
    <row r="141" spans="2:4" ht="16" x14ac:dyDescent="0.2">
      <c r="B141" s="7" t="s">
        <v>1713</v>
      </c>
      <c r="C141" s="7" t="s">
        <v>1714</v>
      </c>
      <c r="D141" s="372" t="s">
        <v>1900</v>
      </c>
    </row>
    <row r="142" spans="2:4" ht="16" x14ac:dyDescent="0.2">
      <c r="B142" s="7" t="s">
        <v>1534</v>
      </c>
      <c r="C142" s="7" t="s">
        <v>1535</v>
      </c>
      <c r="D142" s="372" t="s">
        <v>1901</v>
      </c>
    </row>
    <row r="143" spans="2:4" ht="16" x14ac:dyDescent="0.2">
      <c r="B143" s="7" t="s">
        <v>1536</v>
      </c>
      <c r="C143" s="7" t="s">
        <v>1537</v>
      </c>
      <c r="D143" s="372" t="s">
        <v>1902</v>
      </c>
    </row>
    <row r="144" spans="2:4" ht="16" x14ac:dyDescent="0.2">
      <c r="B144" s="7" t="s">
        <v>1548</v>
      </c>
      <c r="C144" s="7" t="s">
        <v>1549</v>
      </c>
      <c r="D144" s="372" t="s">
        <v>1903</v>
      </c>
    </row>
    <row r="145" spans="2:12" ht="16" x14ac:dyDescent="0.2">
      <c r="B145" s="7" t="s">
        <v>1562</v>
      </c>
      <c r="C145" s="7" t="s">
        <v>1563</v>
      </c>
      <c r="D145" s="372" t="s">
        <v>1904</v>
      </c>
    </row>
    <row r="146" spans="2:12" ht="16" x14ac:dyDescent="0.2">
      <c r="B146" s="7" t="s">
        <v>1558</v>
      </c>
      <c r="C146" s="7" t="s">
        <v>175</v>
      </c>
      <c r="D146" s="372" t="s">
        <v>1905</v>
      </c>
    </row>
    <row r="147" spans="2:12" ht="16" x14ac:dyDescent="0.2">
      <c r="B147" s="7" t="s">
        <v>1559</v>
      </c>
      <c r="C147" s="7" t="s">
        <v>174</v>
      </c>
      <c r="D147" s="372" t="s">
        <v>1906</v>
      </c>
    </row>
    <row r="148" spans="2:12" ht="16" x14ac:dyDescent="0.2">
      <c r="B148" s="7" t="s">
        <v>1749</v>
      </c>
      <c r="C148" s="7" t="s">
        <v>1750</v>
      </c>
      <c r="D148" s="372" t="s">
        <v>1907</v>
      </c>
    </row>
    <row r="149" spans="2:12" ht="16" x14ac:dyDescent="0.2">
      <c r="B149" s="7" t="s">
        <v>1762</v>
      </c>
      <c r="C149" s="7" t="s">
        <v>1973</v>
      </c>
      <c r="D149" s="372" t="s">
        <v>1973</v>
      </c>
    </row>
    <row r="150" spans="2:12" ht="16" customHeight="1" x14ac:dyDescent="0.2">
      <c r="B150" s="243" t="s">
        <v>1707</v>
      </c>
      <c r="C150" s="319" t="s">
        <v>1736</v>
      </c>
      <c r="D150" s="373" t="s">
        <v>1796</v>
      </c>
    </row>
    <row r="151" spans="2:12" s="59" customFormat="1" ht="128" x14ac:dyDescent="0.2">
      <c r="B151" s="242" t="s">
        <v>1688</v>
      </c>
      <c r="C151" s="242" t="s">
        <v>1689</v>
      </c>
      <c r="D151" s="368" t="s">
        <v>1908</v>
      </c>
      <c r="E151"/>
      <c r="I151" s="375">
        <v>5</v>
      </c>
      <c r="K151" s="242"/>
      <c r="L151" s="242"/>
    </row>
    <row r="152" spans="2:12" ht="16" x14ac:dyDescent="0.2">
      <c r="B152" s="243" t="s">
        <v>1737</v>
      </c>
      <c r="C152" s="367" t="s">
        <v>1765</v>
      </c>
      <c r="D152" s="373" t="s">
        <v>1909</v>
      </c>
      <c r="G152" s="242"/>
      <c r="H152" s="242"/>
      <c r="I152" s="242"/>
      <c r="J152" s="518"/>
      <c r="K152" s="518"/>
      <c r="L152" s="518"/>
    </row>
    <row r="153" spans="2:12" ht="16" x14ac:dyDescent="0.2">
      <c r="B153" s="7" t="s">
        <v>1738</v>
      </c>
      <c r="C153" s="242" t="s">
        <v>1766</v>
      </c>
      <c r="D153" s="372" t="s">
        <v>1910</v>
      </c>
      <c r="G153" s="242"/>
      <c r="H153" s="242"/>
      <c r="I153" s="242"/>
      <c r="J153" s="518"/>
      <c r="K153" s="518"/>
      <c r="L153" s="518"/>
    </row>
    <row r="154" spans="2:12" ht="16" x14ac:dyDescent="0.2">
      <c r="B154" s="243" t="s">
        <v>1562</v>
      </c>
      <c r="C154" s="243" t="s">
        <v>1563</v>
      </c>
      <c r="D154" s="373" t="s">
        <v>1904</v>
      </c>
      <c r="E154" s="1"/>
      <c r="G154" s="242"/>
      <c r="H154" s="242"/>
      <c r="I154" s="242"/>
      <c r="J154" s="518"/>
      <c r="K154" s="518"/>
      <c r="L154" s="518"/>
    </row>
    <row r="155" spans="2:12" ht="16" x14ac:dyDescent="0.2">
      <c r="B155" s="7" t="s">
        <v>1564</v>
      </c>
      <c r="C155" s="7" t="s">
        <v>1565</v>
      </c>
      <c r="D155" s="372" t="s">
        <v>1911</v>
      </c>
      <c r="E155" s="1"/>
      <c r="G155" s="242"/>
      <c r="H155" s="242"/>
      <c r="I155" s="242"/>
      <c r="J155" s="518"/>
      <c r="K155" s="518"/>
      <c r="L155" s="518"/>
    </row>
    <row r="156" spans="2:12" ht="48" x14ac:dyDescent="0.2">
      <c r="B156" s="7" t="s">
        <v>1566</v>
      </c>
      <c r="C156" s="7" t="s">
        <v>1678</v>
      </c>
      <c r="D156" s="371" t="s">
        <v>1912</v>
      </c>
      <c r="G156" s="242"/>
      <c r="H156" s="242"/>
      <c r="I156" s="242"/>
      <c r="J156" s="518"/>
      <c r="K156" s="518"/>
      <c r="L156" s="518"/>
    </row>
    <row r="157" spans="2:12" ht="16" x14ac:dyDescent="0.2">
      <c r="B157" s="243" t="s">
        <v>7</v>
      </c>
      <c r="C157" s="243" t="s">
        <v>8</v>
      </c>
      <c r="D157" s="373" t="s">
        <v>1773</v>
      </c>
      <c r="G157" s="242"/>
      <c r="H157" s="242"/>
      <c r="J157" s="518"/>
      <c r="K157" s="518"/>
      <c r="L157" s="518"/>
    </row>
    <row r="158" spans="2:12" ht="32" x14ac:dyDescent="0.2">
      <c r="B158" s="7" t="s">
        <v>1686</v>
      </c>
      <c r="C158" s="7" t="s">
        <v>1679</v>
      </c>
      <c r="D158" s="371" t="s">
        <v>1913</v>
      </c>
      <c r="G158" s="242"/>
      <c r="H158" s="242"/>
      <c r="J158" s="518"/>
      <c r="K158" s="518"/>
      <c r="L158" s="518"/>
    </row>
    <row r="159" spans="2:12" ht="16" x14ac:dyDescent="0.2">
      <c r="B159" s="243" t="s">
        <v>312</v>
      </c>
      <c r="C159" s="243" t="s">
        <v>311</v>
      </c>
      <c r="D159" s="373" t="s">
        <v>1831</v>
      </c>
      <c r="G159" s="242"/>
      <c r="H159" s="242"/>
      <c r="I159" s="59"/>
      <c r="J159" s="59"/>
      <c r="K159" s="59"/>
      <c r="L159" s="59"/>
    </row>
    <row r="160" spans="2:12" ht="48" x14ac:dyDescent="0.2">
      <c r="B160" s="7" t="s">
        <v>1687</v>
      </c>
      <c r="C160" s="7" t="s">
        <v>1680</v>
      </c>
      <c r="D160" s="371" t="s">
        <v>1914</v>
      </c>
    </row>
    <row r="161" spans="1:5" ht="16" x14ac:dyDescent="0.2">
      <c r="B161" s="243" t="s">
        <v>0</v>
      </c>
      <c r="C161" s="243" t="s">
        <v>5</v>
      </c>
      <c r="D161" s="373" t="s">
        <v>1777</v>
      </c>
    </row>
    <row r="162" spans="1:5" ht="16" x14ac:dyDescent="0.2">
      <c r="B162" s="7" t="s">
        <v>1573</v>
      </c>
      <c r="C162" s="7" t="s">
        <v>1574</v>
      </c>
      <c r="D162" s="372" t="s">
        <v>1915</v>
      </c>
    </row>
    <row r="163" spans="1:5" ht="64" x14ac:dyDescent="0.2">
      <c r="B163" s="7" t="s">
        <v>1610</v>
      </c>
      <c r="C163" s="7" t="s">
        <v>1611</v>
      </c>
      <c r="D163" s="371" t="s">
        <v>1916</v>
      </c>
    </row>
    <row r="164" spans="1:5" ht="16" x14ac:dyDescent="0.2">
      <c r="B164" s="243" t="s">
        <v>1567</v>
      </c>
      <c r="C164" s="244" t="s">
        <v>1560</v>
      </c>
      <c r="D164" s="373" t="s">
        <v>1917</v>
      </c>
    </row>
    <row r="165" spans="1:5" ht="16" x14ac:dyDescent="0.2">
      <c r="B165" s="7" t="s">
        <v>1568</v>
      </c>
      <c r="C165" s="242" t="s">
        <v>1569</v>
      </c>
      <c r="D165" s="372" t="s">
        <v>1918</v>
      </c>
    </row>
    <row r="166" spans="1:5" ht="16" x14ac:dyDescent="0.2">
      <c r="B166" s="243" t="s">
        <v>314</v>
      </c>
      <c r="C166" s="243" t="s">
        <v>315</v>
      </c>
      <c r="D166" s="373" t="s">
        <v>1835</v>
      </c>
    </row>
    <row r="167" spans="1:5" ht="16" x14ac:dyDescent="0.2">
      <c r="B167" s="7" t="s">
        <v>1570</v>
      </c>
      <c r="C167" s="242" t="s">
        <v>1561</v>
      </c>
      <c r="D167" s="372" t="s">
        <v>1919</v>
      </c>
      <c r="E167" s="59"/>
    </row>
    <row r="168" spans="1:5" ht="16" x14ac:dyDescent="0.2">
      <c r="B168" s="7" t="s">
        <v>1571</v>
      </c>
      <c r="C168" s="242" t="s">
        <v>1572</v>
      </c>
      <c r="D168" s="372" t="s">
        <v>1920</v>
      </c>
      <c r="E168" s="59"/>
    </row>
    <row r="169" spans="1:5" x14ac:dyDescent="0.2">
      <c r="D169" s="372"/>
    </row>
    <row r="170" spans="1:5" ht="16" x14ac:dyDescent="0.2">
      <c r="B170" s="243" t="s">
        <v>162</v>
      </c>
      <c r="C170" s="243" t="s">
        <v>163</v>
      </c>
      <c r="D170" s="373" t="s">
        <v>1921</v>
      </c>
      <c r="E170">
        <v>110</v>
      </c>
    </row>
    <row r="171" spans="1:5" ht="16" x14ac:dyDescent="0.2">
      <c r="A171" t="s">
        <v>137</v>
      </c>
      <c r="B171" s="7" t="s">
        <v>273</v>
      </c>
      <c r="C171" s="7" t="s">
        <v>1653</v>
      </c>
      <c r="D171" s="372" t="s">
        <v>1922</v>
      </c>
      <c r="E171">
        <v>111</v>
      </c>
    </row>
    <row r="172" spans="1:5" ht="16" x14ac:dyDescent="0.2">
      <c r="A172" t="s">
        <v>140</v>
      </c>
      <c r="B172" s="7" t="s">
        <v>272</v>
      </c>
      <c r="C172" s="7" t="s">
        <v>141</v>
      </c>
      <c r="D172" s="372" t="s">
        <v>1923</v>
      </c>
      <c r="E172">
        <v>112</v>
      </c>
    </row>
    <row r="173" spans="1:5" ht="16" x14ac:dyDescent="0.2">
      <c r="A173" t="s">
        <v>142</v>
      </c>
      <c r="B173" s="7" t="s">
        <v>172</v>
      </c>
      <c r="C173" s="7" t="s">
        <v>274</v>
      </c>
      <c r="D173" s="372" t="s">
        <v>1924</v>
      </c>
      <c r="E173">
        <v>113</v>
      </c>
    </row>
    <row r="174" spans="1:5" ht="16" x14ac:dyDescent="0.2">
      <c r="A174" t="s">
        <v>143</v>
      </c>
      <c r="B174" s="7" t="s">
        <v>164</v>
      </c>
      <c r="C174" s="7" t="s">
        <v>164</v>
      </c>
      <c r="D174" s="372" t="s">
        <v>1925</v>
      </c>
      <c r="E174">
        <v>114</v>
      </c>
    </row>
    <row r="175" spans="1:5" x14ac:dyDescent="0.2">
      <c r="D175" s="372"/>
      <c r="E175">
        <v>115</v>
      </c>
    </row>
    <row r="176" spans="1:5" x14ac:dyDescent="0.2">
      <c r="D176" s="372"/>
      <c r="E176">
        <v>116</v>
      </c>
    </row>
    <row r="177" spans="1:5" ht="15" customHeight="1" x14ac:dyDescent="0.2">
      <c r="B177" s="243" t="s">
        <v>71</v>
      </c>
      <c r="C177" s="243" t="s">
        <v>144</v>
      </c>
      <c r="D177" s="373" t="s">
        <v>1926</v>
      </c>
      <c r="E177">
        <v>117</v>
      </c>
    </row>
    <row r="178" spans="1:5" ht="16" x14ac:dyDescent="0.2">
      <c r="A178" t="s">
        <v>145</v>
      </c>
      <c r="B178" s="7" t="s">
        <v>146</v>
      </c>
      <c r="C178" s="7" t="s">
        <v>1652</v>
      </c>
      <c r="D178" s="372" t="s">
        <v>1927</v>
      </c>
      <c r="E178">
        <v>118</v>
      </c>
    </row>
    <row r="179" spans="1:5" ht="16" x14ac:dyDescent="0.2">
      <c r="A179" t="s">
        <v>148</v>
      </c>
      <c r="B179" s="7" t="s">
        <v>149</v>
      </c>
      <c r="C179" s="7" t="s">
        <v>159</v>
      </c>
      <c r="D179" s="372" t="s">
        <v>1928</v>
      </c>
      <c r="E179">
        <v>119</v>
      </c>
    </row>
    <row r="180" spans="1:5" ht="16" x14ac:dyDescent="0.2">
      <c r="A180" t="s">
        <v>150</v>
      </c>
      <c r="B180" s="7" t="s">
        <v>36</v>
      </c>
      <c r="C180" s="7" t="s">
        <v>36</v>
      </c>
      <c r="D180" s="372" t="s">
        <v>36</v>
      </c>
      <c r="E180">
        <v>120</v>
      </c>
    </row>
    <row r="181" spans="1:5" ht="16" x14ac:dyDescent="0.2">
      <c r="A181" t="s">
        <v>151</v>
      </c>
      <c r="B181" s="7" t="s">
        <v>37</v>
      </c>
      <c r="C181" s="7" t="s">
        <v>37</v>
      </c>
      <c r="D181" s="372" t="s">
        <v>37</v>
      </c>
      <c r="E181">
        <v>121</v>
      </c>
    </row>
    <row r="182" spans="1:5" x14ac:dyDescent="0.2">
      <c r="D182" s="372"/>
      <c r="E182">
        <v>122</v>
      </c>
    </row>
    <row r="183" spans="1:5" ht="16" x14ac:dyDescent="0.2">
      <c r="B183" s="243" t="s">
        <v>160</v>
      </c>
      <c r="C183" s="243" t="s">
        <v>161</v>
      </c>
      <c r="D183" s="373" t="s">
        <v>1929</v>
      </c>
      <c r="E183">
        <v>123</v>
      </c>
    </row>
    <row r="184" spans="1:5" ht="16" x14ac:dyDescent="0.2">
      <c r="A184" t="s">
        <v>152</v>
      </c>
      <c r="B184" s="7" t="s">
        <v>138</v>
      </c>
      <c r="C184" s="7" t="s">
        <v>1653</v>
      </c>
      <c r="D184" s="372" t="s">
        <v>1922</v>
      </c>
      <c r="E184">
        <v>124</v>
      </c>
    </row>
    <row r="185" spans="1:5" ht="16" x14ac:dyDescent="0.2">
      <c r="A185" t="s">
        <v>153</v>
      </c>
      <c r="B185" s="7" t="s">
        <v>154</v>
      </c>
      <c r="C185" s="7" t="s">
        <v>155</v>
      </c>
      <c r="D185" s="372" t="s">
        <v>1930</v>
      </c>
      <c r="E185">
        <v>125</v>
      </c>
    </row>
    <row r="186" spans="1:5" ht="16" x14ac:dyDescent="0.2">
      <c r="A186" t="s">
        <v>156</v>
      </c>
      <c r="B186" s="7" t="s">
        <v>275</v>
      </c>
      <c r="C186" s="7" t="s">
        <v>141</v>
      </c>
      <c r="D186" s="372" t="s">
        <v>1923</v>
      </c>
      <c r="E186">
        <v>126</v>
      </c>
    </row>
    <row r="187" spans="1:5" ht="16" x14ac:dyDescent="0.2">
      <c r="A187" t="s">
        <v>157</v>
      </c>
      <c r="B187" s="7" t="s">
        <v>172</v>
      </c>
      <c r="C187" s="7" t="s">
        <v>274</v>
      </c>
      <c r="D187" s="372" t="s">
        <v>1924</v>
      </c>
      <c r="E187">
        <v>127</v>
      </c>
    </row>
    <row r="188" spans="1:5" ht="16" x14ac:dyDescent="0.2">
      <c r="A188" t="s">
        <v>158</v>
      </c>
      <c r="B188" s="7" t="s">
        <v>164</v>
      </c>
      <c r="C188" s="7" t="s">
        <v>164</v>
      </c>
      <c r="D188" s="372" t="s">
        <v>1925</v>
      </c>
    </row>
    <row r="189" spans="1:5" x14ac:dyDescent="0.2">
      <c r="D189" s="372"/>
    </row>
    <row r="190" spans="1:5" ht="16" x14ac:dyDescent="0.25">
      <c r="B190" s="29" t="s">
        <v>280</v>
      </c>
      <c r="C190" s="30" t="s">
        <v>173</v>
      </c>
      <c r="D190" s="374" t="s">
        <v>1931</v>
      </c>
    </row>
    <row r="191" spans="1:5" x14ac:dyDescent="0.2">
      <c r="D191" s="372"/>
    </row>
    <row r="192" spans="1:5" x14ac:dyDescent="0.2">
      <c r="D192" s="372"/>
    </row>
    <row r="193" spans="2:4" ht="16" x14ac:dyDescent="0.2">
      <c r="B193" s="243" t="s">
        <v>1737</v>
      </c>
      <c r="C193" s="243" t="s">
        <v>1767</v>
      </c>
      <c r="D193" s="373" t="s">
        <v>1909</v>
      </c>
    </row>
    <row r="194" spans="2:4" ht="16" x14ac:dyDescent="0.25">
      <c r="B194" s="29" t="s">
        <v>181</v>
      </c>
      <c r="C194" s="30" t="s">
        <v>1768</v>
      </c>
      <c r="D194" s="374" t="s">
        <v>1932</v>
      </c>
    </row>
    <row r="195" spans="2:4" ht="16" x14ac:dyDescent="0.25">
      <c r="B195" s="29" t="s">
        <v>177</v>
      </c>
      <c r="C195" s="30" t="s">
        <v>1654</v>
      </c>
      <c r="D195" s="374" t="s">
        <v>1654</v>
      </c>
    </row>
    <row r="196" spans="2:4" ht="16" x14ac:dyDescent="0.25">
      <c r="B196" s="29" t="s">
        <v>178</v>
      </c>
      <c r="C196" s="30" t="s">
        <v>1655</v>
      </c>
      <c r="D196" s="374" t="s">
        <v>1655</v>
      </c>
    </row>
    <row r="197" spans="2:4" ht="16" x14ac:dyDescent="0.25">
      <c r="B197" s="29" t="s">
        <v>179</v>
      </c>
      <c r="C197" s="30" t="s">
        <v>1656</v>
      </c>
      <c r="D197" s="374" t="s">
        <v>1656</v>
      </c>
    </row>
    <row r="198" spans="2:4" ht="16" x14ac:dyDescent="0.25">
      <c r="B198" s="29" t="s">
        <v>180</v>
      </c>
      <c r="C198" s="30" t="s">
        <v>180</v>
      </c>
      <c r="D198" s="374" t="s">
        <v>180</v>
      </c>
    </row>
    <row r="199" spans="2:4" x14ac:dyDescent="0.2">
      <c r="D199" s="372"/>
    </row>
    <row r="200" spans="2:4" x14ac:dyDescent="0.2">
      <c r="D200" s="372"/>
    </row>
    <row r="201" spans="2:4" ht="16" x14ac:dyDescent="0.2">
      <c r="B201" s="7" t="s">
        <v>1715</v>
      </c>
      <c r="C201" s="7" t="s">
        <v>1716</v>
      </c>
      <c r="D201" s="372" t="s">
        <v>1933</v>
      </c>
    </row>
    <row r="202" spans="2:4" ht="16" x14ac:dyDescent="0.2">
      <c r="B202" s="7" t="s">
        <v>36</v>
      </c>
      <c r="C202" s="7" t="s">
        <v>36</v>
      </c>
      <c r="D202" s="372" t="s">
        <v>1799</v>
      </c>
    </row>
    <row r="203" spans="2:4" ht="16" x14ac:dyDescent="0.2">
      <c r="B203" s="7" t="s">
        <v>37</v>
      </c>
      <c r="C203" s="7" t="s">
        <v>37</v>
      </c>
      <c r="D203" s="372" t="s">
        <v>37</v>
      </c>
    </row>
    <row r="204" spans="2:4" x14ac:dyDescent="0.2">
      <c r="D204" s="372"/>
    </row>
    <row r="205" spans="2:4" ht="16" x14ac:dyDescent="0.2">
      <c r="B205" s="7" t="s">
        <v>238</v>
      </c>
      <c r="C205" s="7" t="s">
        <v>239</v>
      </c>
      <c r="D205" s="372" t="s">
        <v>1820</v>
      </c>
    </row>
    <row r="206" spans="2:4" ht="32" x14ac:dyDescent="0.2">
      <c r="B206" s="7" t="s">
        <v>1586</v>
      </c>
      <c r="C206" s="7" t="s">
        <v>1657</v>
      </c>
      <c r="D206" s="372" t="s">
        <v>1934</v>
      </c>
    </row>
    <row r="207" spans="2:4" x14ac:dyDescent="0.2">
      <c r="D207" s="372"/>
    </row>
    <row r="208" spans="2:4" ht="16" x14ac:dyDescent="0.2">
      <c r="B208" s="7" t="s">
        <v>1606</v>
      </c>
      <c r="C208" s="7" t="s">
        <v>1605</v>
      </c>
      <c r="D208" s="372" t="s">
        <v>1935</v>
      </c>
    </row>
    <row r="209" spans="2:5" ht="16" x14ac:dyDescent="0.2">
      <c r="B209" s="7" t="s">
        <v>1607</v>
      </c>
      <c r="C209" s="7" t="s">
        <v>1604</v>
      </c>
      <c r="D209" s="372" t="s">
        <v>1936</v>
      </c>
    </row>
    <row r="210" spans="2:5" ht="16" x14ac:dyDescent="0.2">
      <c r="B210" s="7" t="s">
        <v>1608</v>
      </c>
      <c r="C210" s="7" t="s">
        <v>1609</v>
      </c>
      <c r="D210" s="372" t="s">
        <v>1937</v>
      </c>
    </row>
    <row r="211" spans="2:5" ht="16" x14ac:dyDescent="0.2">
      <c r="B211" s="7" t="s">
        <v>22</v>
      </c>
      <c r="C211" s="7" t="s">
        <v>65</v>
      </c>
      <c r="D211" s="372" t="s">
        <v>1938</v>
      </c>
    </row>
    <row r="212" spans="2:5" ht="16" x14ac:dyDescent="0.2">
      <c r="B212" s="7" t="s">
        <v>67</v>
      </c>
      <c r="C212" s="7" t="s">
        <v>68</v>
      </c>
      <c r="D212" s="372" t="s">
        <v>1939</v>
      </c>
    </row>
    <row r="213" spans="2:5" x14ac:dyDescent="0.2">
      <c r="D213" s="372"/>
    </row>
    <row r="214" spans="2:5" ht="16" x14ac:dyDescent="0.2">
      <c r="B214" s="7" t="s">
        <v>1624</v>
      </c>
      <c r="C214" s="7" t="s">
        <v>1623</v>
      </c>
      <c r="D214" s="372" t="s">
        <v>1940</v>
      </c>
    </row>
    <row r="215" spans="2:5" ht="16" x14ac:dyDescent="0.2">
      <c r="B215" s="7" t="s">
        <v>1704</v>
      </c>
      <c r="C215" s="7" t="s">
        <v>1705</v>
      </c>
      <c r="D215" s="372" t="s">
        <v>1941</v>
      </c>
    </row>
    <row r="216" spans="2:5" ht="16" x14ac:dyDescent="0.2">
      <c r="B216" s="7" t="s">
        <v>1613</v>
      </c>
      <c r="C216" s="7" t="s">
        <v>1621</v>
      </c>
      <c r="D216" s="372" t="s">
        <v>1942</v>
      </c>
    </row>
    <row r="217" spans="2:5" ht="16" x14ac:dyDescent="0.2">
      <c r="B217" s="7" t="s">
        <v>1612</v>
      </c>
      <c r="C217" s="7" t="s">
        <v>1620</v>
      </c>
      <c r="D217" s="372" t="s">
        <v>1943</v>
      </c>
    </row>
    <row r="218" spans="2:5" ht="16" x14ac:dyDescent="0.2">
      <c r="B218" s="7" t="s">
        <v>1625</v>
      </c>
      <c r="C218" s="7" t="s">
        <v>1622</v>
      </c>
      <c r="D218" s="372" t="s">
        <v>1944</v>
      </c>
    </row>
    <row r="219" spans="2:5" ht="16" x14ac:dyDescent="0.2">
      <c r="B219" s="7" t="s">
        <v>318</v>
      </c>
      <c r="C219" s="7" t="s">
        <v>299</v>
      </c>
      <c r="D219" s="372" t="s">
        <v>1945</v>
      </c>
    </row>
    <row r="220" spans="2:5" ht="16" x14ac:dyDescent="0.2">
      <c r="B220" s="7" t="s">
        <v>1699</v>
      </c>
      <c r="C220" s="7" t="s">
        <v>1699</v>
      </c>
      <c r="D220" s="372" t="s">
        <v>1699</v>
      </c>
    </row>
    <row r="221" spans="2:5" s="146" customFormat="1" ht="62.25" customHeight="1" x14ac:dyDescent="0.2">
      <c r="B221" s="320" t="s">
        <v>1745</v>
      </c>
      <c r="C221" s="320" t="s">
        <v>1672</v>
      </c>
      <c r="D221" s="376" t="s">
        <v>1946</v>
      </c>
      <c r="E221"/>
    </row>
    <row r="222" spans="2:5" s="59" customFormat="1" ht="67.5" customHeight="1" x14ac:dyDescent="0.2">
      <c r="B222" s="319" t="s">
        <v>1626</v>
      </c>
      <c r="C222" s="319" t="s">
        <v>1627</v>
      </c>
      <c r="D222" s="369" t="s">
        <v>1947</v>
      </c>
      <c r="E222"/>
    </row>
    <row r="223" spans="2:5" x14ac:dyDescent="0.2">
      <c r="D223" s="372"/>
    </row>
    <row r="224" spans="2:5" ht="16" x14ac:dyDescent="0.2">
      <c r="B224" s="7" t="s">
        <v>1631</v>
      </c>
      <c r="C224" s="7" t="s">
        <v>1631</v>
      </c>
      <c r="D224" s="372" t="s">
        <v>1948</v>
      </c>
    </row>
    <row r="225" spans="2:4" ht="16" x14ac:dyDescent="0.2">
      <c r="B225" s="7" t="s">
        <v>1632</v>
      </c>
      <c r="C225" s="7" t="s">
        <v>1633</v>
      </c>
      <c r="D225" s="372" t="s">
        <v>1949</v>
      </c>
    </row>
    <row r="226" spans="2:4" x14ac:dyDescent="0.2">
      <c r="D226" s="372"/>
    </row>
    <row r="227" spans="2:4" ht="16" x14ac:dyDescent="0.2">
      <c r="B227" s="7" t="s">
        <v>1634</v>
      </c>
      <c r="C227" s="7" t="s">
        <v>1658</v>
      </c>
      <c r="D227" s="372" t="s">
        <v>1950</v>
      </c>
    </row>
    <row r="228" spans="2:4" ht="16" x14ac:dyDescent="0.2">
      <c r="B228" s="7" t="s">
        <v>1635</v>
      </c>
      <c r="C228" s="7" t="s">
        <v>1636</v>
      </c>
      <c r="D228" s="372" t="s">
        <v>1951</v>
      </c>
    </row>
    <row r="229" spans="2:4" x14ac:dyDescent="0.2">
      <c r="D229" s="372"/>
    </row>
    <row r="230" spans="2:4" ht="16" x14ac:dyDescent="0.2">
      <c r="B230" s="7" t="s">
        <v>1638</v>
      </c>
      <c r="C230" s="7" t="s">
        <v>1637</v>
      </c>
      <c r="D230" s="372" t="s">
        <v>1952</v>
      </c>
    </row>
    <row r="231" spans="2:4" ht="16" x14ac:dyDescent="0.2">
      <c r="B231" s="7" t="s">
        <v>1639</v>
      </c>
      <c r="C231" s="7" t="s">
        <v>1769</v>
      </c>
      <c r="D231" s="372" t="s">
        <v>1953</v>
      </c>
    </row>
    <row r="232" spans="2:4" x14ac:dyDescent="0.2">
      <c r="D232" s="372"/>
    </row>
    <row r="233" spans="2:4" x14ac:dyDescent="0.2">
      <c r="D233" s="372"/>
    </row>
    <row r="234" spans="2:4" x14ac:dyDescent="0.2">
      <c r="D234" s="372"/>
    </row>
    <row r="235" spans="2:4" x14ac:dyDescent="0.2">
      <c r="D235" s="372"/>
    </row>
    <row r="236" spans="2:4" x14ac:dyDescent="0.2">
      <c r="D236" s="372"/>
    </row>
    <row r="237" spans="2:4" x14ac:dyDescent="0.2">
      <c r="D237" s="372"/>
    </row>
    <row r="238" spans="2:4" x14ac:dyDescent="0.2">
      <c r="D238" s="372"/>
    </row>
    <row r="239" spans="2:4" x14ac:dyDescent="0.2">
      <c r="D239" s="372"/>
    </row>
    <row r="240" spans="2:4" ht="16" x14ac:dyDescent="0.2">
      <c r="B240" s="7" t="s">
        <v>1759</v>
      </c>
      <c r="C240" s="7" t="s">
        <v>1692</v>
      </c>
      <c r="D240" s="372" t="s">
        <v>1954</v>
      </c>
    </row>
    <row r="241" spans="2:4" ht="16" x14ac:dyDescent="0.2">
      <c r="B241" s="7" t="s">
        <v>1693</v>
      </c>
      <c r="C241" s="7" t="s">
        <v>1693</v>
      </c>
      <c r="D241" s="372" t="s">
        <v>1955</v>
      </c>
    </row>
    <row r="242" spans="2:4" ht="16" x14ac:dyDescent="0.2">
      <c r="B242" s="7" t="s">
        <v>1694</v>
      </c>
      <c r="C242" s="7" t="s">
        <v>1694</v>
      </c>
      <c r="D242" s="372" t="s">
        <v>1956</v>
      </c>
    </row>
    <row r="243" spans="2:4" ht="16" x14ac:dyDescent="0.2">
      <c r="B243" s="7" t="s">
        <v>1663</v>
      </c>
      <c r="C243" s="7" t="s">
        <v>1664</v>
      </c>
      <c r="D243" s="372" t="s">
        <v>1957</v>
      </c>
    </row>
    <row r="244" spans="2:4" x14ac:dyDescent="0.2">
      <c r="D244" s="372"/>
    </row>
    <row r="245" spans="2:4" ht="16" x14ac:dyDescent="0.2">
      <c r="B245" s="7" t="s">
        <v>1668</v>
      </c>
      <c r="C245" s="7" t="s">
        <v>1669</v>
      </c>
      <c r="D245" s="372" t="s">
        <v>1958</v>
      </c>
    </row>
    <row r="246" spans="2:4" ht="16" x14ac:dyDescent="0.2">
      <c r="B246" s="7" t="s">
        <v>1673</v>
      </c>
      <c r="C246" s="7" t="s">
        <v>1614</v>
      </c>
      <c r="D246" s="372" t="s">
        <v>1959</v>
      </c>
    </row>
    <row r="247" spans="2:4" ht="16" x14ac:dyDescent="0.2">
      <c r="B247" s="7" t="s">
        <v>1712</v>
      </c>
      <c r="C247" s="7" t="s">
        <v>1711</v>
      </c>
      <c r="D247" s="372" t="s">
        <v>1960</v>
      </c>
    </row>
    <row r="248" spans="2:4" ht="16" x14ac:dyDescent="0.2">
      <c r="B248" s="7" t="s">
        <v>1717</v>
      </c>
      <c r="C248" s="7" t="s">
        <v>1718</v>
      </c>
      <c r="D248" s="372" t="s">
        <v>1961</v>
      </c>
    </row>
    <row r="249" spans="2:4" ht="16" x14ac:dyDescent="0.2">
      <c r="B249" s="7" t="s">
        <v>1719</v>
      </c>
      <c r="C249" t="s">
        <v>1972</v>
      </c>
      <c r="D249" s="372" t="s">
        <v>1971</v>
      </c>
    </row>
    <row r="250" spans="2:4" ht="16" x14ac:dyDescent="0.2">
      <c r="B250" s="7" t="s">
        <v>1721</v>
      </c>
      <c r="C250" s="7" t="s">
        <v>1722</v>
      </c>
      <c r="D250" s="372" t="s">
        <v>1962</v>
      </c>
    </row>
    <row r="251" spans="2:4" ht="16" x14ac:dyDescent="0.2">
      <c r="B251" s="7" t="s">
        <v>1729</v>
      </c>
      <c r="C251" s="7" t="s">
        <v>199</v>
      </c>
      <c r="D251" s="372" t="s">
        <v>1963</v>
      </c>
    </row>
    <row r="252" spans="2:4" ht="16" x14ac:dyDescent="0.2">
      <c r="B252" s="7" t="s">
        <v>1730</v>
      </c>
      <c r="C252" s="7" t="s">
        <v>1731</v>
      </c>
      <c r="D252" s="372" t="s">
        <v>1964</v>
      </c>
    </row>
    <row r="253" spans="2:4" x14ac:dyDescent="0.2">
      <c r="D253" s="372"/>
    </row>
    <row r="254" spans="2:4" ht="16" x14ac:dyDescent="0.2">
      <c r="B254" s="7" t="s">
        <v>1743</v>
      </c>
      <c r="C254" s="7" t="s">
        <v>1744</v>
      </c>
      <c r="D254" s="372" t="s">
        <v>1965</v>
      </c>
    </row>
    <row r="255" spans="2:4" ht="15" customHeight="1" x14ac:dyDescent="0.2">
      <c r="B255" s="7" t="s">
        <v>1746</v>
      </c>
      <c r="C255" s="7" t="s">
        <v>131</v>
      </c>
      <c r="D255" s="372" t="s">
        <v>1966</v>
      </c>
    </row>
    <row r="256" spans="2:4" ht="15" customHeight="1" x14ac:dyDescent="0.2">
      <c r="B256" s="7" t="s">
        <v>1747</v>
      </c>
      <c r="C256" s="7" t="s">
        <v>1748</v>
      </c>
      <c r="D256" s="372" t="s">
        <v>1748</v>
      </c>
    </row>
    <row r="258" spans="2:4" ht="16" x14ac:dyDescent="0.2">
      <c r="B258" s="7" t="s">
        <v>52</v>
      </c>
      <c r="C258" s="7" t="s">
        <v>55</v>
      </c>
      <c r="D258" s="95" t="s">
        <v>1967</v>
      </c>
    </row>
    <row r="259" spans="2:4" ht="16" x14ac:dyDescent="0.2">
      <c r="B259" s="7" t="s">
        <v>53</v>
      </c>
      <c r="C259" s="7" t="s">
        <v>56</v>
      </c>
      <c r="D259" s="95" t="s">
        <v>56</v>
      </c>
    </row>
    <row r="261" spans="2:4" ht="16" x14ac:dyDescent="0.2">
      <c r="B261" s="7" t="s">
        <v>1760</v>
      </c>
      <c r="C261" s="7" t="s">
        <v>1761</v>
      </c>
      <c r="D261" s="95" t="s">
        <v>1968</v>
      </c>
    </row>
    <row r="262" spans="2:4" ht="16" x14ac:dyDescent="0.2">
      <c r="B262" s="7" t="s">
        <v>1764</v>
      </c>
      <c r="C262" s="7" t="s">
        <v>1764</v>
      </c>
      <c r="D262" s="95" t="s">
        <v>1969</v>
      </c>
    </row>
    <row r="263" spans="2:4" ht="16" x14ac:dyDescent="0.2">
      <c r="B263" s="7" t="s">
        <v>50</v>
      </c>
      <c r="C263" s="7" t="s">
        <v>50</v>
      </c>
      <c r="D263" s="95" t="s">
        <v>1970</v>
      </c>
    </row>
    <row r="265" spans="2:4" ht="16" x14ac:dyDescent="0.2">
      <c r="B265" s="7" t="s">
        <v>1991</v>
      </c>
      <c r="C265" s="7" t="s">
        <v>1992</v>
      </c>
      <c r="D265" s="95" t="s">
        <v>1993</v>
      </c>
    </row>
  </sheetData>
  <mergeCells count="1">
    <mergeCell ref="J152:L15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7D9385ECA13548895F0F8CB897D7E0" ma:contentTypeVersion="2" ma:contentTypeDescription="Create a new document." ma:contentTypeScope="" ma:versionID="42394148b9574b39130a8c6ac6b4fd3a">
  <xsd:schema xmlns:xsd="http://www.w3.org/2001/XMLSchema" xmlns:xs="http://www.w3.org/2001/XMLSchema" xmlns:p="http://schemas.microsoft.com/office/2006/metadata/properties" xmlns:ns3="2c234cb5-4d0c-4a01-9370-31c08340efb0" targetNamespace="http://schemas.microsoft.com/office/2006/metadata/properties" ma:root="true" ma:fieldsID="989b126e04ec3bd852b6a45b7d811d14" ns3:_="">
    <xsd:import namespace="2c234cb5-4d0c-4a01-9370-31c08340efb0"/>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234cb5-4d0c-4a01-9370-31c08340ef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86D7B2-32F9-4D21-B109-F25CDE3031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234cb5-4d0c-4a01-9370-31c08340ef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44CCFA-5FE9-47A8-8C28-B9CED7CCC9EC}">
  <ds:schemaRefs>
    <ds:schemaRef ds:uri="http://schemas.microsoft.com/sharepoint/v3/contenttype/forms"/>
  </ds:schemaRefs>
</ds:datastoreItem>
</file>

<file path=customXml/itemProps3.xml><?xml version="1.0" encoding="utf-8"?>
<ds:datastoreItem xmlns:ds="http://schemas.openxmlformats.org/officeDocument/2006/customXml" ds:itemID="{02EA26C7-8C33-418C-8C67-96CCA57E0804}">
  <ds:schemaRefs>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http://www.w3.org/XML/1998/namespace"/>
    <ds:schemaRef ds:uri="2c234cb5-4d0c-4a01-9370-31c08340efb0"/>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Information</vt:lpstr>
      <vt:lpstr>1. Estimate exposure</vt:lpstr>
      <vt:lpstr>Survey</vt:lpstr>
      <vt:lpstr>Analysis</vt:lpstr>
      <vt:lpstr>2-3. Multiple exposure</vt:lpstr>
      <vt:lpstr>Beta</vt:lpstr>
      <vt:lpstr>Calc</vt:lpstr>
      <vt:lpstr>Calc (W-test)</vt:lpstr>
      <vt:lpstr>Data graphs</vt:lpstr>
      <vt:lpstr>Grenseverdier</vt:lpstr>
      <vt:lpstr>Stats - distribution</vt:lpstr>
      <vt:lpstr>Tabeller</vt:lpstr>
      <vt:lpstr>Tables (statistics)</vt:lpstr>
      <vt:lpstr>Tekst</vt:lpstr>
      <vt:lpstr>Tekst!_GoBack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Einar Leidland</dc:creator>
  <cp:lastModifiedBy>Hans Thore Smedbold (NYF)</cp:lastModifiedBy>
  <dcterms:created xsi:type="dcterms:W3CDTF">2020-08-04T13:10:22Z</dcterms:created>
  <dcterms:modified xsi:type="dcterms:W3CDTF">2023-10-29T06:48:39Z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0x010100F27D9385ECA13548895F0F8CB897D7E0</vt:lpwstr>
  </property>
</Properties>
</file>