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ctho\OneDrive - IdrettsKontor\Documents\NSBF - Generalforsamling og konferanser\2019\"/>
    </mc:Choice>
  </mc:AlternateContent>
  <xr:revisionPtr revIDLastSave="591" documentId="11_0DD89885CBD6531F0899E23075E68F026EAA6570" xr6:coauthVersionLast="41" xr6:coauthVersionMax="41" xr10:uidLastSave="{F2ACB423-E07A-4FB8-B1E9-3D9C347DD4A1}"/>
  <bookViews>
    <workbookView xWindow="-108" yWindow="-108" windowWidth="23256" windowHeight="12576" tabRatio="973" activeTab="5" xr2:uid="{00000000-000D-0000-FFFF-FFFF00000000}"/>
  </bookViews>
  <sheets>
    <sheet name="Overordnet prosjektplan" sheetId="2" r:id="rId1"/>
    <sheet name="Hvor kan penger brukes" sheetId="25" r:id="rId2"/>
    <sheet name="Lønnsmatrise" sheetId="22" r:id="rId3"/>
    <sheet name="Sammendrag Prosjektplan" sheetId="21" r:id="rId4"/>
    <sheet name="Sammendrag kontoplan - resultat" sheetId="26" r:id="rId5"/>
    <sheet name="Sammendrag Kontoplan - budsjett" sheetId="24" r:id="rId6"/>
    <sheet name="1 Administrasjon" sheetId="7" r:id="rId7"/>
    <sheet name="2 Ekstern kommunikasjon" sheetId="13" r:id="rId8"/>
    <sheet name="3 Forbundsutvikling" sheetId="14" r:id="rId9"/>
    <sheet name="4. Utvilklingstiltak" sheetId="15" r:id="rId10"/>
    <sheet name="5 Klubbutvikling" sheetId="16" r:id="rId11"/>
    <sheet name="6 Barn og Ungdom" sheetId="17" r:id="rId12"/>
    <sheet name="7 Konkurranse" sheetId="18" r:id="rId13"/>
    <sheet name="8 Eliteaktivitet" sheetId="19" r:id="rId14"/>
    <sheet name="9 Anlegg og infrastruktur" sheetId="20" r:id="rId15"/>
  </sheets>
  <definedNames>
    <definedName name="_xlnm.Print_Area" localSheetId="6">'1 Administrasjon'!$A$1:$BE$70</definedName>
    <definedName name="_xlnm.Print_Area" localSheetId="7">'2 Ekstern kommunikasjon'!$A$1:$Z$56</definedName>
    <definedName name="_xlnm.Print_Area" localSheetId="8">'3 Forbundsutvikling'!$A$1:$AD$53</definedName>
    <definedName name="_xlnm.Print_Area" localSheetId="9">'4. Utvilklingstiltak'!$A$1:$BB$59</definedName>
    <definedName name="_xlnm.Print_Area" localSheetId="5">'Sammendrag Kontoplan - budsjett'!$A$1:$L$73</definedName>
    <definedName name="_xlnm.Print_Area" localSheetId="3">'Sammendrag Prosjektplan'!$A$1:$G$91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7" i="21" l="1"/>
  <c r="E87" i="21"/>
  <c r="D78" i="21"/>
  <c r="D67" i="21"/>
  <c r="D56" i="21"/>
  <c r="E56" i="21"/>
  <c r="D46" i="21"/>
  <c r="E46" i="21"/>
  <c r="D33" i="21"/>
  <c r="E33" i="21"/>
  <c r="D26" i="21"/>
  <c r="D21" i="21"/>
  <c r="E21" i="21"/>
  <c r="D6" i="21"/>
  <c r="E6" i="21"/>
  <c r="D20" i="17"/>
  <c r="D19" i="17"/>
  <c r="D16" i="17"/>
  <c r="D15" i="17"/>
  <c r="D12" i="17"/>
  <c r="D22" i="15"/>
  <c r="D20" i="15"/>
  <c r="D17" i="15"/>
  <c r="D16" i="15"/>
  <c r="D12" i="15"/>
  <c r="E3" i="21" l="1"/>
  <c r="D3" i="21"/>
  <c r="F90" i="21"/>
  <c r="F16" i="21"/>
  <c r="H68" i="18"/>
  <c r="I9" i="24" l="1"/>
  <c r="I8" i="24"/>
  <c r="K61" i="24"/>
  <c r="Y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4" i="20"/>
  <c r="J56" i="24"/>
  <c r="J54" i="24"/>
  <c r="J53" i="24"/>
  <c r="J51" i="24"/>
  <c r="J46" i="24"/>
  <c r="J37" i="24"/>
  <c r="J32" i="24"/>
  <c r="J29" i="24"/>
  <c r="J26" i="24"/>
  <c r="J25" i="24"/>
  <c r="J18" i="24"/>
  <c r="J14" i="24"/>
  <c r="AS5" i="19"/>
  <c r="AS6" i="19"/>
  <c r="AS7" i="19"/>
  <c r="AS8" i="19"/>
  <c r="AS9" i="19"/>
  <c r="AS10" i="19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43" i="19"/>
  <c r="AS44" i="19"/>
  <c r="AS45" i="19"/>
  <c r="AS46" i="19"/>
  <c r="AS47" i="19"/>
  <c r="AS48" i="19"/>
  <c r="AS49" i="19"/>
  <c r="AS50" i="19"/>
  <c r="AS51" i="19"/>
  <c r="AS52" i="19"/>
  <c r="AS53" i="19"/>
  <c r="AS54" i="19"/>
  <c r="AS55" i="19"/>
  <c r="AS56" i="19"/>
  <c r="AS57" i="19"/>
  <c r="AS4" i="19"/>
  <c r="AS69" i="18"/>
  <c r="I72" i="24"/>
  <c r="I67" i="24"/>
  <c r="I64" i="24"/>
  <c r="I62" i="24"/>
  <c r="I61" i="24"/>
  <c r="I54" i="24"/>
  <c r="I55" i="24"/>
  <c r="I56" i="24"/>
  <c r="I53" i="24"/>
  <c r="I51" i="24"/>
  <c r="I49" i="24"/>
  <c r="I50" i="24"/>
  <c r="I48" i="24"/>
  <c r="I37" i="24"/>
  <c r="I30" i="24"/>
  <c r="I29" i="24"/>
  <c r="I26" i="24"/>
  <c r="I25" i="24"/>
  <c r="L23" i="24"/>
  <c r="I23" i="24"/>
  <c r="I22" i="24"/>
  <c r="I18" i="24"/>
  <c r="I7" i="24"/>
  <c r="I11" i="24"/>
  <c r="I12" i="24"/>
  <c r="I13" i="24"/>
  <c r="I14" i="24"/>
  <c r="I16" i="24"/>
  <c r="I5" i="24"/>
  <c r="I6" i="24"/>
  <c r="I4" i="24"/>
  <c r="AS5" i="18"/>
  <c r="AS6" i="18"/>
  <c r="AS7" i="18"/>
  <c r="AS8" i="18"/>
  <c r="AS9" i="18"/>
  <c r="AS10" i="18"/>
  <c r="AS11" i="18"/>
  <c r="AS12" i="18"/>
  <c r="AS13" i="18"/>
  <c r="AS14" i="18"/>
  <c r="AS15" i="18"/>
  <c r="I15" i="24" s="1"/>
  <c r="AS16" i="18"/>
  <c r="AS17" i="18"/>
  <c r="AS19" i="18"/>
  <c r="AS20" i="18"/>
  <c r="AS21" i="18"/>
  <c r="AS22" i="18"/>
  <c r="AS23" i="18"/>
  <c r="AS24" i="18"/>
  <c r="AS25" i="18"/>
  <c r="AS26" i="18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43" i="18"/>
  <c r="AS44" i="18"/>
  <c r="AS45" i="18"/>
  <c r="AS46" i="18"/>
  <c r="AS47" i="18"/>
  <c r="AS48" i="18"/>
  <c r="AS49" i="18"/>
  <c r="AS50" i="18"/>
  <c r="AS51" i="18"/>
  <c r="AS52" i="18"/>
  <c r="AS53" i="18"/>
  <c r="AS54" i="18"/>
  <c r="AS55" i="18"/>
  <c r="AS56" i="18"/>
  <c r="AS57" i="18"/>
  <c r="AS58" i="18"/>
  <c r="AS59" i="18"/>
  <c r="AS60" i="18"/>
  <c r="AS61" i="18"/>
  <c r="AS62" i="18"/>
  <c r="AS63" i="18"/>
  <c r="AS64" i="18"/>
  <c r="AS65" i="18"/>
  <c r="AS66" i="18"/>
  <c r="AS67" i="18"/>
  <c r="AS4" i="18"/>
  <c r="H61" i="24"/>
  <c r="H56" i="24"/>
  <c r="H54" i="24"/>
  <c r="H53" i="24"/>
  <c r="H51" i="24"/>
  <c r="H46" i="24"/>
  <c r="H37" i="24"/>
  <c r="H32" i="24"/>
  <c r="H31" i="24"/>
  <c r="H29" i="24"/>
  <c r="H26" i="24"/>
  <c r="H21" i="24"/>
  <c r="AO5" i="17"/>
  <c r="AO6" i="17"/>
  <c r="AO7" i="17"/>
  <c r="AO8" i="17"/>
  <c r="AO9" i="17"/>
  <c r="AO10" i="17"/>
  <c r="AO11" i="17"/>
  <c r="AO12" i="17"/>
  <c r="H18" i="24" s="1"/>
  <c r="AO13" i="17"/>
  <c r="AO14" i="17"/>
  <c r="AO15" i="17"/>
  <c r="H25" i="24" s="1"/>
  <c r="AO16" i="17"/>
  <c r="AO17" i="17"/>
  <c r="AO18" i="17"/>
  <c r="AO19" i="17"/>
  <c r="AO20" i="17"/>
  <c r="H30" i="24" s="1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O34" i="17"/>
  <c r="AO35" i="17"/>
  <c r="AO36" i="17"/>
  <c r="AO37" i="17"/>
  <c r="AO38" i="17"/>
  <c r="AO39" i="17"/>
  <c r="AO40" i="17"/>
  <c r="AO41" i="17"/>
  <c r="AO42" i="17"/>
  <c r="AO43" i="17"/>
  <c r="AO44" i="17"/>
  <c r="AO45" i="17"/>
  <c r="AO46" i="17"/>
  <c r="AO47" i="17"/>
  <c r="AO48" i="17"/>
  <c r="AO49" i="17"/>
  <c r="AO50" i="17"/>
  <c r="AO51" i="17"/>
  <c r="AO52" i="17"/>
  <c r="AO53" i="17"/>
  <c r="AO54" i="17"/>
  <c r="AO4" i="17"/>
  <c r="G61" i="24"/>
  <c r="AO5" i="16"/>
  <c r="AO6" i="16"/>
  <c r="AO7" i="16"/>
  <c r="AO8" i="16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4" i="16"/>
  <c r="F61" i="24"/>
  <c r="F60" i="24"/>
  <c r="F54" i="24"/>
  <c r="F55" i="24"/>
  <c r="F56" i="24"/>
  <c r="F53" i="24"/>
  <c r="F51" i="24"/>
  <c r="F50" i="24"/>
  <c r="F46" i="24"/>
  <c r="F44" i="24"/>
  <c r="F32" i="24"/>
  <c r="F20" i="24"/>
  <c r="BA10" i="15"/>
  <c r="BA11" i="15"/>
  <c r="BA15" i="15"/>
  <c r="BA18" i="15"/>
  <c r="BA19" i="15"/>
  <c r="BA21" i="15"/>
  <c r="BA23" i="15"/>
  <c r="BA24" i="15"/>
  <c r="BA25" i="15"/>
  <c r="BA26" i="15"/>
  <c r="BA27" i="15"/>
  <c r="BA28" i="15"/>
  <c r="BA29" i="15"/>
  <c r="BA30" i="15"/>
  <c r="BA31" i="15"/>
  <c r="BA32" i="15"/>
  <c r="BA33" i="15"/>
  <c r="BA34" i="15"/>
  <c r="BA35" i="15"/>
  <c r="BA36" i="15"/>
  <c r="BA37" i="15"/>
  <c r="BA38" i="15"/>
  <c r="BA39" i="15"/>
  <c r="BA40" i="15"/>
  <c r="BA41" i="15"/>
  <c r="BA42" i="15"/>
  <c r="BA43" i="15"/>
  <c r="BA44" i="15"/>
  <c r="BA45" i="15"/>
  <c r="BA46" i="15"/>
  <c r="BA47" i="15"/>
  <c r="BA48" i="15"/>
  <c r="BA49" i="15"/>
  <c r="BA50" i="15"/>
  <c r="BA51" i="15"/>
  <c r="BA52" i="15"/>
  <c r="BA53" i="15"/>
  <c r="BA54" i="15"/>
  <c r="BA55" i="15"/>
  <c r="BA56" i="15"/>
  <c r="BA57" i="15"/>
  <c r="BA4" i="15"/>
  <c r="BA5" i="15"/>
  <c r="BA6" i="15"/>
  <c r="BA7" i="15"/>
  <c r="BA8" i="15"/>
  <c r="BA9" i="15"/>
  <c r="E62" i="24"/>
  <c r="E59" i="24"/>
  <c r="E56" i="24"/>
  <c r="E55" i="24"/>
  <c r="E54" i="24"/>
  <c r="E53" i="24"/>
  <c r="E51" i="24"/>
  <c r="E48" i="24"/>
  <c r="E14" i="24"/>
  <c r="AC5" i="14"/>
  <c r="AC6" i="14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53" i="14"/>
  <c r="AC4" i="14"/>
  <c r="I17" i="24" l="1"/>
  <c r="AS68" i="18"/>
  <c r="D34" i="24"/>
  <c r="Y13" i="13"/>
  <c r="Y14" i="13"/>
  <c r="Y15" i="13"/>
  <c r="Y18" i="13"/>
  <c r="Y19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D48" i="24" s="1"/>
  <c r="Y35" i="13"/>
  <c r="Y36" i="13"/>
  <c r="D50" i="24" s="1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D57" i="24" s="1"/>
  <c r="Y5" i="13"/>
  <c r="Y6" i="13"/>
  <c r="Y7" i="13"/>
  <c r="Y8" i="13"/>
  <c r="Y9" i="13"/>
  <c r="Y10" i="13"/>
  <c r="Y11" i="13"/>
  <c r="D15" i="24" s="1"/>
  <c r="Y4" i="13"/>
  <c r="C51" i="24"/>
  <c r="C56" i="24"/>
  <c r="C38" i="24"/>
  <c r="C33" i="24"/>
  <c r="C45" i="24"/>
  <c r="C47" i="24"/>
  <c r="C34" i="24"/>
  <c r="C37" i="24"/>
  <c r="C40" i="24"/>
  <c r="L40" i="24" s="1"/>
  <c r="C41" i="24"/>
  <c r="L41" i="24" s="1"/>
  <c r="C42" i="24"/>
  <c r="C28" i="24"/>
  <c r="C10" i="24"/>
  <c r="C14" i="24"/>
  <c r="BD5" i="7"/>
  <c r="BC5" i="7"/>
  <c r="BD16" i="7"/>
  <c r="BD21" i="7"/>
  <c r="BD24" i="7"/>
  <c r="BD25" i="7"/>
  <c r="C32" i="24" s="1"/>
  <c r="BD26" i="7"/>
  <c r="BD27" i="7"/>
  <c r="BD28" i="7"/>
  <c r="C35" i="24" s="1"/>
  <c r="BD29" i="7"/>
  <c r="C36" i="24" s="1"/>
  <c r="BD30" i="7"/>
  <c r="BD31" i="7"/>
  <c r="BD32" i="7"/>
  <c r="BD33" i="7"/>
  <c r="C39" i="24" s="1"/>
  <c r="BD34" i="7"/>
  <c r="BD35" i="7"/>
  <c r="BD36" i="7"/>
  <c r="BD37" i="7"/>
  <c r="C44" i="24" s="1"/>
  <c r="BD38" i="7"/>
  <c r="BD39" i="7"/>
  <c r="C46" i="24" s="1"/>
  <c r="BD40" i="7"/>
  <c r="BD41" i="7"/>
  <c r="C48" i="24" s="1"/>
  <c r="BD42" i="7"/>
  <c r="C49" i="24" s="1"/>
  <c r="BD43" i="7"/>
  <c r="C50" i="24" s="1"/>
  <c r="BD44" i="7"/>
  <c r="BD45" i="7"/>
  <c r="BD46" i="7"/>
  <c r="BD47" i="7"/>
  <c r="C53" i="24" s="1"/>
  <c r="BD48" i="7"/>
  <c r="C54" i="24" s="1"/>
  <c r="BD49" i="7"/>
  <c r="C55" i="24" s="1"/>
  <c r="BD50" i="7"/>
  <c r="BD51" i="7"/>
  <c r="BD52" i="7"/>
  <c r="BD53" i="7"/>
  <c r="BD54" i="7"/>
  <c r="BD55" i="7"/>
  <c r="BD56" i="7"/>
  <c r="BD57" i="7"/>
  <c r="BD58" i="7"/>
  <c r="BD59" i="7"/>
  <c r="BD60" i="7"/>
  <c r="BD61" i="7"/>
  <c r="BD62" i="7"/>
  <c r="C66" i="24" s="1"/>
  <c r="BD63" i="7"/>
  <c r="BD64" i="7"/>
  <c r="BD65" i="7"/>
  <c r="BD66" i="7"/>
  <c r="BD67" i="7"/>
  <c r="C70" i="24" s="1"/>
  <c r="BD68" i="7"/>
  <c r="BD6" i="7"/>
  <c r="C11" i="24" s="1"/>
  <c r="BD7" i="7"/>
  <c r="C12" i="24" s="1"/>
  <c r="BD8" i="7"/>
  <c r="C13" i="24" s="1"/>
  <c r="BD9" i="7"/>
  <c r="BD10" i="7"/>
  <c r="C15" i="24" s="1"/>
  <c r="BD11" i="7"/>
  <c r="C16" i="24" s="1"/>
  <c r="BD4" i="7"/>
  <c r="C9" i="24" s="1"/>
  <c r="C63" i="26"/>
  <c r="L40" i="26"/>
  <c r="L6" i="26"/>
  <c r="P9" i="19"/>
  <c r="AF24" i="18"/>
  <c r="T25" i="18"/>
  <c r="L25" i="18"/>
  <c r="P25" i="18"/>
  <c r="P24" i="18"/>
  <c r="L24" i="18"/>
  <c r="T24" i="18"/>
  <c r="P47" i="16"/>
  <c r="D31" i="14"/>
  <c r="C17" i="24" l="1"/>
  <c r="N45" i="22"/>
  <c r="N44" i="22" s="1"/>
  <c r="L45" i="22"/>
  <c r="J53" i="22"/>
  <c r="T53" i="22" s="1"/>
  <c r="H37" i="22"/>
  <c r="F37" i="22"/>
  <c r="F36" i="22" s="1"/>
  <c r="L44" i="22"/>
  <c r="T35" i="22"/>
  <c r="F33" i="22"/>
  <c r="F34" i="22" s="1"/>
  <c r="R36" i="22"/>
  <c r="P36" i="22"/>
  <c r="N36" i="22"/>
  <c r="L36" i="22"/>
  <c r="J36" i="22"/>
  <c r="D36" i="22"/>
  <c r="R33" i="22"/>
  <c r="R34" i="22" s="1"/>
  <c r="P33" i="22"/>
  <c r="P34" i="22" s="1"/>
  <c r="N33" i="22"/>
  <c r="N34" i="22" s="1"/>
  <c r="L33" i="22"/>
  <c r="L34" i="22" s="1"/>
  <c r="J33" i="22"/>
  <c r="J34" i="22" s="1"/>
  <c r="H33" i="22"/>
  <c r="H34" i="22" s="1"/>
  <c r="D33" i="22"/>
  <c r="D34" i="22" s="1"/>
  <c r="T32" i="22"/>
  <c r="T31" i="22"/>
  <c r="T30" i="22"/>
  <c r="G30" i="22" s="1"/>
  <c r="J7" i="22"/>
  <c r="H7" i="22"/>
  <c r="F7" i="22"/>
  <c r="F10" i="22" s="1"/>
  <c r="D7" i="22"/>
  <c r="D10" i="22" s="1"/>
  <c r="T37" i="22" l="1"/>
  <c r="T45" i="22"/>
  <c r="J52" i="22"/>
  <c r="H36" i="22"/>
  <c r="T36" i="22" s="1"/>
  <c r="H10" i="22"/>
  <c r="I30" i="22"/>
  <c r="J10" i="22"/>
  <c r="T34" i="22"/>
  <c r="T33" i="22"/>
  <c r="X37" i="13"/>
  <c r="D51" i="26" s="1"/>
  <c r="X38" i="13"/>
  <c r="D52" i="26" s="1"/>
  <c r="X39" i="13"/>
  <c r="D54" i="26" s="1"/>
  <c r="X40" i="13"/>
  <c r="D55" i="26" s="1"/>
  <c r="X41" i="13"/>
  <c r="D56" i="26" s="1"/>
  <c r="X42" i="13"/>
  <c r="D57" i="26" s="1"/>
  <c r="X43" i="13"/>
  <c r="D58" i="26" s="1"/>
  <c r="X44" i="13"/>
  <c r="D59" i="26" s="1"/>
  <c r="X45" i="13"/>
  <c r="D61" i="26" s="1"/>
  <c r="X46" i="13"/>
  <c r="D62" i="26" s="1"/>
  <c r="X47" i="13"/>
  <c r="D63" i="26" s="1"/>
  <c r="X48" i="13"/>
  <c r="D64" i="26" s="1"/>
  <c r="X49" i="13"/>
  <c r="D65" i="26" s="1"/>
  <c r="X50" i="13"/>
  <c r="D66" i="26" s="1"/>
  <c r="X51" i="13"/>
  <c r="D67" i="26" s="1"/>
  <c r="X52" i="13"/>
  <c r="D68" i="26" s="1"/>
  <c r="X53" i="13"/>
  <c r="D69" i="26" s="1"/>
  <c r="X54" i="13"/>
  <c r="X11" i="14" l="1"/>
  <c r="X15" i="14"/>
  <c r="X16" i="14" s="1"/>
  <c r="X19" i="14"/>
  <c r="Z53" i="14"/>
  <c r="AF15" i="15"/>
  <c r="AF20" i="15" s="1"/>
  <c r="AB15" i="15"/>
  <c r="AB20" i="15" s="1"/>
  <c r="T41" i="19"/>
  <c r="L18" i="19"/>
  <c r="L58" i="19" s="1"/>
  <c r="T21" i="19"/>
  <c r="H9" i="19"/>
  <c r="X52" i="14" l="1"/>
  <c r="X53" i="14" s="1"/>
  <c r="AB37" i="18"/>
  <c r="T6" i="18"/>
  <c r="P5" i="18"/>
  <c r="L5" i="18"/>
  <c r="D62" i="18"/>
  <c r="D4" i="18"/>
  <c r="H9" i="18" l="1"/>
  <c r="H7" i="18"/>
  <c r="D43" i="14"/>
  <c r="H12" i="13"/>
  <c r="L12" i="13"/>
  <c r="R61" i="22"/>
  <c r="R60" i="22"/>
  <c r="R59" i="22"/>
  <c r="P61" i="22"/>
  <c r="P60" i="22"/>
  <c r="P59" i="22"/>
  <c r="N61" i="22"/>
  <c r="N60" i="22"/>
  <c r="N59" i="22"/>
  <c r="L61" i="22"/>
  <c r="L60" i="22"/>
  <c r="L59" i="22"/>
  <c r="J61" i="22"/>
  <c r="J60" i="22"/>
  <c r="J59" i="22"/>
  <c r="H61" i="22"/>
  <c r="H60" i="22"/>
  <c r="H59" i="22"/>
  <c r="F61" i="22"/>
  <c r="F60" i="22"/>
  <c r="F59" i="22"/>
  <c r="D61" i="22"/>
  <c r="D60" i="22"/>
  <c r="D59" i="22"/>
  <c r="C61" i="24" l="1"/>
  <c r="BC30" i="7"/>
  <c r="BC31" i="7"/>
  <c r="BC57" i="7"/>
  <c r="C37" i="26" l="1"/>
  <c r="L6" i="24"/>
  <c r="X5" i="20" l="1"/>
  <c r="K10" i="26" s="1"/>
  <c r="X6" i="20"/>
  <c r="X7" i="20"/>
  <c r="K12" i="26" s="1"/>
  <c r="X8" i="20"/>
  <c r="K13" i="26" s="1"/>
  <c r="X9" i="20"/>
  <c r="K14" i="26" s="1"/>
  <c r="X10" i="20"/>
  <c r="K15" i="26" s="1"/>
  <c r="X11" i="20"/>
  <c r="X13" i="20"/>
  <c r="K18" i="26" s="1"/>
  <c r="X14" i="20"/>
  <c r="K19" i="26" s="1"/>
  <c r="X15" i="20"/>
  <c r="K21" i="26" s="1"/>
  <c r="X16" i="20"/>
  <c r="K24" i="26" s="1"/>
  <c r="X17" i="20"/>
  <c r="K25" i="26" s="1"/>
  <c r="X18" i="20"/>
  <c r="K26" i="26" s="1"/>
  <c r="X19" i="20"/>
  <c r="K27" i="26" s="1"/>
  <c r="X20" i="20"/>
  <c r="K28" i="26" s="1"/>
  <c r="X21" i="20"/>
  <c r="K29" i="26" s="1"/>
  <c r="X22" i="20"/>
  <c r="K30" i="26" s="1"/>
  <c r="X23" i="20"/>
  <c r="K31" i="26" s="1"/>
  <c r="X24" i="20"/>
  <c r="X25" i="20"/>
  <c r="K34" i="26" s="1"/>
  <c r="L34" i="26" s="1"/>
  <c r="X26" i="20"/>
  <c r="K35" i="26" s="1"/>
  <c r="X27" i="20"/>
  <c r="K36" i="26" s="1"/>
  <c r="X28" i="20"/>
  <c r="K37" i="26" s="1"/>
  <c r="X29" i="20"/>
  <c r="K42" i="26" s="1"/>
  <c r="X30" i="20"/>
  <c r="K44" i="26" s="1"/>
  <c r="X31" i="20"/>
  <c r="K45" i="26" s="1"/>
  <c r="X32" i="20"/>
  <c r="K46" i="26" s="1"/>
  <c r="X33" i="20"/>
  <c r="K48" i="26" s="1"/>
  <c r="X34" i="20"/>
  <c r="K49" i="26" s="1"/>
  <c r="X35" i="20"/>
  <c r="X36" i="20"/>
  <c r="K51" i="26" s="1"/>
  <c r="X37" i="20"/>
  <c r="K52" i="26" s="1"/>
  <c r="X38" i="20"/>
  <c r="K54" i="26" s="1"/>
  <c r="X39" i="20"/>
  <c r="K55" i="26" s="1"/>
  <c r="X40" i="20"/>
  <c r="K56" i="26" s="1"/>
  <c r="X41" i="20"/>
  <c r="K57" i="26" s="1"/>
  <c r="X42" i="20"/>
  <c r="K58" i="26" s="1"/>
  <c r="X43" i="20"/>
  <c r="K59" i="26" s="1"/>
  <c r="X44" i="20"/>
  <c r="K61" i="26" s="1"/>
  <c r="X45" i="20"/>
  <c r="K62" i="26" s="1"/>
  <c r="X46" i="20"/>
  <c r="X47" i="20"/>
  <c r="X48" i="20"/>
  <c r="K63" i="26" s="1"/>
  <c r="X49" i="20"/>
  <c r="K64" i="26" s="1"/>
  <c r="X50" i="20"/>
  <c r="K65" i="26" s="1"/>
  <c r="X51" i="20"/>
  <c r="K66" i="26" s="1"/>
  <c r="X52" i="20"/>
  <c r="K67" i="26" s="1"/>
  <c r="X53" i="20"/>
  <c r="K68" i="26" s="1"/>
  <c r="X54" i="20"/>
  <c r="K69" i="26" s="1"/>
  <c r="X4" i="20"/>
  <c r="K9" i="26" s="1"/>
  <c r="J55" i="20"/>
  <c r="J12" i="20"/>
  <c r="F55" i="20"/>
  <c r="AR5" i="19"/>
  <c r="J10" i="26" s="1"/>
  <c r="AR6" i="19"/>
  <c r="J11" i="26" s="1"/>
  <c r="AR7" i="19"/>
  <c r="J12" i="26" s="1"/>
  <c r="AR8" i="19"/>
  <c r="J13" i="26" s="1"/>
  <c r="AR9" i="19"/>
  <c r="J14" i="26" s="1"/>
  <c r="AR10" i="19"/>
  <c r="J15" i="26" s="1"/>
  <c r="AR13" i="19"/>
  <c r="J19" i="26" s="1"/>
  <c r="AR14" i="19"/>
  <c r="AR19" i="19"/>
  <c r="J26" i="26" s="1"/>
  <c r="AR20" i="19"/>
  <c r="J27" i="26" s="1"/>
  <c r="AR22" i="19"/>
  <c r="J29" i="26" s="1"/>
  <c r="AR23" i="19"/>
  <c r="J30" i="26" s="1"/>
  <c r="AR24" i="19"/>
  <c r="J31" i="26" s="1"/>
  <c r="AR25" i="19"/>
  <c r="J33" i="26" s="1"/>
  <c r="AR26" i="19"/>
  <c r="J35" i="26" s="1"/>
  <c r="AR27" i="19"/>
  <c r="J36" i="26" s="1"/>
  <c r="AR28" i="19"/>
  <c r="J37" i="26" s="1"/>
  <c r="AR29" i="19"/>
  <c r="J42" i="26" s="1"/>
  <c r="AR30" i="19"/>
  <c r="J44" i="26" s="1"/>
  <c r="AR31" i="19"/>
  <c r="J45" i="26" s="1"/>
  <c r="AR32" i="19"/>
  <c r="J46" i="26" s="1"/>
  <c r="AR33" i="19"/>
  <c r="J48" i="26" s="1"/>
  <c r="AR34" i="19"/>
  <c r="AR35" i="19"/>
  <c r="AR36" i="19"/>
  <c r="J50" i="26" s="1"/>
  <c r="AR37" i="19"/>
  <c r="J51" i="26" s="1"/>
  <c r="AR38" i="19"/>
  <c r="J52" i="26" s="1"/>
  <c r="AR39" i="19"/>
  <c r="J53" i="26" s="1"/>
  <c r="AR40" i="19"/>
  <c r="J54" i="26" s="1"/>
  <c r="AR41" i="19"/>
  <c r="J55" i="26" s="1"/>
  <c r="AR42" i="19"/>
  <c r="J56" i="26" s="1"/>
  <c r="AR43" i="19"/>
  <c r="J57" i="26" s="1"/>
  <c r="AR44" i="19"/>
  <c r="J58" i="26" s="1"/>
  <c r="AR45" i="19"/>
  <c r="J59" i="26" s="1"/>
  <c r="AR46" i="19"/>
  <c r="J61" i="26" s="1"/>
  <c r="AR47" i="19"/>
  <c r="J62" i="26" s="1"/>
  <c r="AR48" i="19"/>
  <c r="J63" i="26" s="1"/>
  <c r="AR49" i="19"/>
  <c r="J64" i="26" s="1"/>
  <c r="AR50" i="19"/>
  <c r="J65" i="26" s="1"/>
  <c r="AR51" i="19"/>
  <c r="J66" i="26" s="1"/>
  <c r="AR52" i="19"/>
  <c r="J67" i="26" s="1"/>
  <c r="AR53" i="19"/>
  <c r="J68" i="26" s="1"/>
  <c r="AR54" i="19"/>
  <c r="AR55" i="19"/>
  <c r="J60" i="26" s="1"/>
  <c r="L60" i="26" s="1"/>
  <c r="AR56" i="19"/>
  <c r="AR57" i="19"/>
  <c r="AR4" i="19"/>
  <c r="J9" i="26" s="1"/>
  <c r="V58" i="19"/>
  <c r="R58" i="19"/>
  <c r="R11" i="19"/>
  <c r="AR21" i="19"/>
  <c r="J28" i="26" s="1"/>
  <c r="AR18" i="19"/>
  <c r="J25" i="26" s="1"/>
  <c r="AR17" i="19"/>
  <c r="J24" i="26" s="1"/>
  <c r="AR12" i="19"/>
  <c r="J18" i="26" s="1"/>
  <c r="AR16" i="19"/>
  <c r="N58" i="19"/>
  <c r="N11" i="19"/>
  <c r="J11" i="19"/>
  <c r="F58" i="19"/>
  <c r="AR5" i="18"/>
  <c r="I5" i="26" s="1"/>
  <c r="AR6" i="18"/>
  <c r="AR7" i="18"/>
  <c r="I7" i="26" s="1"/>
  <c r="L7" i="26" s="1"/>
  <c r="AR8" i="18"/>
  <c r="AR9" i="18"/>
  <c r="AR10" i="18"/>
  <c r="I9" i="26" s="1"/>
  <c r="AR11" i="18"/>
  <c r="I10" i="26" s="1"/>
  <c r="AR12" i="18"/>
  <c r="I11" i="26" s="1"/>
  <c r="AR13" i="18"/>
  <c r="I12" i="26" s="1"/>
  <c r="AR14" i="18"/>
  <c r="I13" i="26" s="1"/>
  <c r="AR15" i="18"/>
  <c r="I14" i="26" s="1"/>
  <c r="AR16" i="18"/>
  <c r="AR17" i="18"/>
  <c r="AR19" i="18"/>
  <c r="I18" i="26" s="1"/>
  <c r="AR20" i="18"/>
  <c r="I19" i="26" s="1"/>
  <c r="AR21" i="18"/>
  <c r="AR22" i="18"/>
  <c r="AR23" i="18"/>
  <c r="AR24" i="18"/>
  <c r="AR25" i="18"/>
  <c r="AR26" i="18"/>
  <c r="I24" i="26" s="1"/>
  <c r="AR27" i="18"/>
  <c r="I25" i="26" s="1"/>
  <c r="AR28" i="18"/>
  <c r="I26" i="26" s="1"/>
  <c r="AR29" i="18"/>
  <c r="I27" i="26" s="1"/>
  <c r="AR30" i="18"/>
  <c r="I28" i="26" s="1"/>
  <c r="AR31" i="18"/>
  <c r="I29" i="26" s="1"/>
  <c r="AR32" i="18"/>
  <c r="I30" i="26" s="1"/>
  <c r="AR33" i="18"/>
  <c r="I31" i="26" s="1"/>
  <c r="AR34" i="18"/>
  <c r="I33" i="26" s="1"/>
  <c r="AR35" i="18"/>
  <c r="I35" i="26" s="1"/>
  <c r="AR36" i="18"/>
  <c r="I36" i="26" s="1"/>
  <c r="AR37" i="18"/>
  <c r="I37" i="26" s="1"/>
  <c r="AR38" i="18"/>
  <c r="I39" i="26" s="1"/>
  <c r="AR39" i="18"/>
  <c r="I42" i="26" s="1"/>
  <c r="AR40" i="18"/>
  <c r="AR41" i="18"/>
  <c r="I45" i="26" s="1"/>
  <c r="AR42" i="18"/>
  <c r="I46" i="26" s="1"/>
  <c r="AR43" i="18"/>
  <c r="AR44" i="18"/>
  <c r="I48" i="26" s="1"/>
  <c r="AR45" i="18"/>
  <c r="I49" i="26" s="1"/>
  <c r="AR46" i="18"/>
  <c r="I50" i="26" s="1"/>
  <c r="AR47" i="18"/>
  <c r="I51" i="26" s="1"/>
  <c r="AR48" i="18"/>
  <c r="I52" i="26" s="1"/>
  <c r="AR49" i="18"/>
  <c r="I53" i="26" s="1"/>
  <c r="AR50" i="18"/>
  <c r="I54" i="26" s="1"/>
  <c r="AR51" i="18"/>
  <c r="I55" i="26" s="1"/>
  <c r="AR52" i="18"/>
  <c r="I56" i="26" s="1"/>
  <c r="AR53" i="18"/>
  <c r="I57" i="26" s="1"/>
  <c r="AR54" i="18"/>
  <c r="I58" i="26" s="1"/>
  <c r="AR55" i="18"/>
  <c r="I59" i="26" s="1"/>
  <c r="AR56" i="18"/>
  <c r="I61" i="26" s="1"/>
  <c r="AR57" i="18"/>
  <c r="I62" i="26" s="1"/>
  <c r="AR58" i="18"/>
  <c r="I63" i="26" s="1"/>
  <c r="AR59" i="18"/>
  <c r="AR60" i="18"/>
  <c r="I65" i="26" s="1"/>
  <c r="AR61" i="18"/>
  <c r="AR62" i="18"/>
  <c r="I66" i="26" s="1"/>
  <c r="AR63" i="18"/>
  <c r="I67" i="26" s="1"/>
  <c r="AR64" i="18"/>
  <c r="I68" i="26" s="1"/>
  <c r="AR65" i="18"/>
  <c r="AR66" i="18"/>
  <c r="AR67" i="18"/>
  <c r="AR4" i="18"/>
  <c r="I4" i="26" s="1"/>
  <c r="L4" i="26" s="1"/>
  <c r="AH68" i="18"/>
  <c r="Z68" i="18"/>
  <c r="X68" i="18"/>
  <c r="Z18" i="18"/>
  <c r="Z69" i="18" s="1"/>
  <c r="X18" i="18"/>
  <c r="AD18" i="18"/>
  <c r="AD68" i="18"/>
  <c r="R68" i="18"/>
  <c r="N68" i="18"/>
  <c r="J68" i="18"/>
  <c r="F68" i="18"/>
  <c r="AN5" i="17"/>
  <c r="H10" i="26" s="1"/>
  <c r="AN6" i="17"/>
  <c r="H11" i="26" s="1"/>
  <c r="AN7" i="17"/>
  <c r="H12" i="26" s="1"/>
  <c r="AN8" i="17"/>
  <c r="H13" i="26" s="1"/>
  <c r="AN9" i="17"/>
  <c r="H14" i="26" s="1"/>
  <c r="AN10" i="17"/>
  <c r="H15" i="26" s="1"/>
  <c r="AN12" i="17"/>
  <c r="H18" i="26" s="1"/>
  <c r="AN13" i="17"/>
  <c r="H19" i="26" s="1"/>
  <c r="AN14" i="17"/>
  <c r="H21" i="26" s="1"/>
  <c r="AN15" i="17"/>
  <c r="H24" i="26" s="1"/>
  <c r="AN16" i="17"/>
  <c r="H25" i="26" s="1"/>
  <c r="AN17" i="17"/>
  <c r="H26" i="26" s="1"/>
  <c r="AN18" i="17"/>
  <c r="H27" i="26" s="1"/>
  <c r="AN19" i="17"/>
  <c r="H28" i="26" s="1"/>
  <c r="AN20" i="17"/>
  <c r="H29" i="26" s="1"/>
  <c r="AN21" i="17"/>
  <c r="H30" i="26" s="1"/>
  <c r="AN22" i="17"/>
  <c r="H31" i="26" s="1"/>
  <c r="AN23" i="17"/>
  <c r="H33" i="26" s="1"/>
  <c r="AN24" i="17"/>
  <c r="H35" i="26" s="1"/>
  <c r="AN25" i="17"/>
  <c r="H36" i="26" s="1"/>
  <c r="AN27" i="17"/>
  <c r="H42" i="26" s="1"/>
  <c r="AN28" i="17"/>
  <c r="H44" i="26" s="1"/>
  <c r="AN29" i="17"/>
  <c r="H45" i="26" s="1"/>
  <c r="AN30" i="17"/>
  <c r="H46" i="26" s="1"/>
  <c r="AN31" i="17"/>
  <c r="H48" i="26" s="1"/>
  <c r="AN32" i="17"/>
  <c r="AN33" i="17"/>
  <c r="H50" i="26" s="1"/>
  <c r="AN34" i="17"/>
  <c r="AN35" i="17"/>
  <c r="H51" i="26" s="1"/>
  <c r="AN36" i="17"/>
  <c r="H52" i="26" s="1"/>
  <c r="AN37" i="17"/>
  <c r="H54" i="26" s="1"/>
  <c r="AN38" i="17"/>
  <c r="H55" i="26" s="1"/>
  <c r="AN39" i="17"/>
  <c r="AN40" i="17"/>
  <c r="AN41" i="17"/>
  <c r="H58" i="26" s="1"/>
  <c r="AN42" i="17"/>
  <c r="H59" i="26" s="1"/>
  <c r="AN43" i="17"/>
  <c r="AN44" i="17"/>
  <c r="H62" i="26" s="1"/>
  <c r="AN45" i="17"/>
  <c r="AN46" i="17"/>
  <c r="AN47" i="17"/>
  <c r="AN48" i="17"/>
  <c r="H63" i="26" s="1"/>
  <c r="AN49" i="17"/>
  <c r="H64" i="26" s="1"/>
  <c r="AN50" i="17"/>
  <c r="H65" i="26" s="1"/>
  <c r="AN51" i="17"/>
  <c r="H66" i="26" s="1"/>
  <c r="AN52" i="17"/>
  <c r="H67" i="26" s="1"/>
  <c r="AN53" i="17"/>
  <c r="H68" i="26" s="1"/>
  <c r="AN54" i="17"/>
  <c r="H69" i="26" s="1"/>
  <c r="AN4" i="17"/>
  <c r="H9" i="26" s="1"/>
  <c r="Z55" i="17"/>
  <c r="AD55" i="17"/>
  <c r="V55" i="17"/>
  <c r="V11" i="17"/>
  <c r="AN26" i="17"/>
  <c r="H37" i="26" s="1"/>
  <c r="AN5" i="16"/>
  <c r="G10" i="26" s="1"/>
  <c r="AN6" i="16"/>
  <c r="G11" i="26" s="1"/>
  <c r="AN7" i="16"/>
  <c r="G12" i="26" s="1"/>
  <c r="AN8" i="16"/>
  <c r="G13" i="26" s="1"/>
  <c r="AN9" i="16"/>
  <c r="G14" i="26" s="1"/>
  <c r="AN10" i="16"/>
  <c r="G15" i="26" s="1"/>
  <c r="AN12" i="16"/>
  <c r="G18" i="26" s="1"/>
  <c r="AN13" i="16"/>
  <c r="G19" i="26" s="1"/>
  <c r="AN14" i="16"/>
  <c r="G21" i="26" s="1"/>
  <c r="AN15" i="16"/>
  <c r="G24" i="26" s="1"/>
  <c r="AN16" i="16"/>
  <c r="G25" i="26" s="1"/>
  <c r="AN17" i="16"/>
  <c r="G26" i="26" s="1"/>
  <c r="AN18" i="16"/>
  <c r="G27" i="26" s="1"/>
  <c r="AN19" i="16"/>
  <c r="G28" i="26" s="1"/>
  <c r="AN20" i="16"/>
  <c r="G29" i="26" s="1"/>
  <c r="AN21" i="16"/>
  <c r="G30" i="26" s="1"/>
  <c r="AN22" i="16"/>
  <c r="G31" i="26" s="1"/>
  <c r="AN23" i="16"/>
  <c r="G33" i="26" s="1"/>
  <c r="AN24" i="16"/>
  <c r="G35" i="26" s="1"/>
  <c r="AN25" i="16"/>
  <c r="G36" i="26" s="1"/>
  <c r="AN26" i="16"/>
  <c r="G37" i="26" s="1"/>
  <c r="AN27" i="16"/>
  <c r="G42" i="26" s="1"/>
  <c r="AN28" i="16"/>
  <c r="G44" i="26" s="1"/>
  <c r="AN29" i="16"/>
  <c r="G45" i="26" s="1"/>
  <c r="AN30" i="16"/>
  <c r="G46" i="26" s="1"/>
  <c r="AN31" i="16"/>
  <c r="G48" i="26" s="1"/>
  <c r="AN32" i="16"/>
  <c r="AN33" i="16"/>
  <c r="G50" i="26" s="1"/>
  <c r="AN34" i="16"/>
  <c r="G51" i="26" s="1"/>
  <c r="AN35" i="16"/>
  <c r="G52" i="26" s="1"/>
  <c r="AN36" i="16"/>
  <c r="G54" i="26" s="1"/>
  <c r="AN37" i="16"/>
  <c r="G55" i="26" s="1"/>
  <c r="AN38" i="16"/>
  <c r="AN39" i="16"/>
  <c r="AN40" i="16"/>
  <c r="G58" i="26" s="1"/>
  <c r="AN41" i="16"/>
  <c r="G59" i="26" s="1"/>
  <c r="AN42" i="16"/>
  <c r="G61" i="26" s="1"/>
  <c r="AN43" i="16"/>
  <c r="G62" i="26" s="1"/>
  <c r="AN44" i="16"/>
  <c r="AN45" i="16"/>
  <c r="AN46" i="16"/>
  <c r="AN47" i="16"/>
  <c r="G63" i="26" s="1"/>
  <c r="AN48" i="16"/>
  <c r="G64" i="26" s="1"/>
  <c r="AN49" i="16"/>
  <c r="G65" i="26" s="1"/>
  <c r="AN50" i="16"/>
  <c r="G66" i="26" s="1"/>
  <c r="AN51" i="16"/>
  <c r="G67" i="26" s="1"/>
  <c r="AN52" i="16"/>
  <c r="G68" i="26" s="1"/>
  <c r="AN53" i="16"/>
  <c r="G69" i="26" s="1"/>
  <c r="AN4" i="16"/>
  <c r="G9" i="26" s="1"/>
  <c r="AH54" i="16"/>
  <c r="AH11" i="16"/>
  <c r="AD11" i="16"/>
  <c r="AD54" i="16"/>
  <c r="AL11" i="16"/>
  <c r="AL54" i="16"/>
  <c r="Z54" i="16"/>
  <c r="V54" i="16"/>
  <c r="R54" i="16"/>
  <c r="F54" i="16"/>
  <c r="F11" i="16"/>
  <c r="AZ5" i="15"/>
  <c r="F10" i="26" s="1"/>
  <c r="AZ6" i="15"/>
  <c r="F11" i="26" s="1"/>
  <c r="AZ7" i="15"/>
  <c r="F12" i="26" s="1"/>
  <c r="AZ8" i="15"/>
  <c r="F13" i="26" s="1"/>
  <c r="AZ9" i="15"/>
  <c r="F14" i="26" s="1"/>
  <c r="AZ10" i="15"/>
  <c r="F15" i="26" s="1"/>
  <c r="AZ12" i="15"/>
  <c r="F18" i="26" s="1"/>
  <c r="AZ13" i="15"/>
  <c r="F19" i="26" s="1"/>
  <c r="AZ14" i="15"/>
  <c r="F21" i="26" s="1"/>
  <c r="AZ15" i="15"/>
  <c r="AZ16" i="15"/>
  <c r="F24" i="26" s="1"/>
  <c r="AZ17" i="15"/>
  <c r="F25" i="26" s="1"/>
  <c r="AZ18" i="15"/>
  <c r="F26" i="26" s="1"/>
  <c r="AZ19" i="15"/>
  <c r="F27" i="26" s="1"/>
  <c r="AZ20" i="15"/>
  <c r="F28" i="26" s="1"/>
  <c r="AZ21" i="15"/>
  <c r="F29" i="26" s="1"/>
  <c r="AZ22" i="15"/>
  <c r="AZ23" i="15"/>
  <c r="F30" i="26" s="1"/>
  <c r="AZ24" i="15"/>
  <c r="F31" i="26" s="1"/>
  <c r="AZ25" i="15"/>
  <c r="AZ26" i="15"/>
  <c r="F35" i="26" s="1"/>
  <c r="AZ27" i="15"/>
  <c r="F36" i="26" s="1"/>
  <c r="AZ28" i="15"/>
  <c r="AZ29" i="15"/>
  <c r="F42" i="26" s="1"/>
  <c r="AZ30" i="15"/>
  <c r="AZ31" i="15"/>
  <c r="AZ32" i="15"/>
  <c r="AZ33" i="15"/>
  <c r="F44" i="26" s="1"/>
  <c r="AZ34" i="15"/>
  <c r="F45" i="26" s="1"/>
  <c r="AZ35" i="15"/>
  <c r="F46" i="26" s="1"/>
  <c r="AZ36" i="15"/>
  <c r="F48" i="26" s="1"/>
  <c r="AZ37" i="15"/>
  <c r="AZ38" i="15"/>
  <c r="AZ39" i="15"/>
  <c r="F50" i="26" s="1"/>
  <c r="AZ40" i="15"/>
  <c r="F51" i="26" s="1"/>
  <c r="AZ41" i="15"/>
  <c r="F52" i="26" s="1"/>
  <c r="AZ42" i="15"/>
  <c r="F53" i="26" s="1"/>
  <c r="AZ43" i="15"/>
  <c r="F54" i="26" s="1"/>
  <c r="AZ44" i="15"/>
  <c r="F55" i="26" s="1"/>
  <c r="AZ45" i="15"/>
  <c r="F56" i="26" s="1"/>
  <c r="AZ46" i="15"/>
  <c r="F57" i="26" s="1"/>
  <c r="AZ47" i="15"/>
  <c r="F58" i="26" s="1"/>
  <c r="AZ48" i="15"/>
  <c r="F59" i="26" s="1"/>
  <c r="AZ49" i="15"/>
  <c r="F61" i="26" s="1"/>
  <c r="AZ50" i="15"/>
  <c r="F62" i="26" s="1"/>
  <c r="AZ51" i="15"/>
  <c r="F63" i="26" s="1"/>
  <c r="AZ52" i="15"/>
  <c r="F64" i="26" s="1"/>
  <c r="AZ53" i="15"/>
  <c r="F65" i="26" s="1"/>
  <c r="AZ54" i="15"/>
  <c r="F66" i="26" s="1"/>
  <c r="AZ55" i="15"/>
  <c r="F67" i="26" s="1"/>
  <c r="AZ56" i="15"/>
  <c r="F68" i="26" s="1"/>
  <c r="AZ57" i="15"/>
  <c r="F69" i="26" s="1"/>
  <c r="AZ4" i="15"/>
  <c r="F9" i="26" s="1"/>
  <c r="AT58" i="15"/>
  <c r="AP58" i="15"/>
  <c r="AD58" i="15"/>
  <c r="R58" i="15"/>
  <c r="R11" i="15"/>
  <c r="V58" i="15"/>
  <c r="F58" i="15"/>
  <c r="AB5" i="14"/>
  <c r="E10" i="26" s="1"/>
  <c r="AB6" i="14"/>
  <c r="E11" i="26" s="1"/>
  <c r="AB7" i="14"/>
  <c r="E12" i="26" s="1"/>
  <c r="AB8" i="14"/>
  <c r="E13" i="26" s="1"/>
  <c r="AB9" i="14"/>
  <c r="E14" i="26" s="1"/>
  <c r="AB10" i="14"/>
  <c r="E15" i="26" s="1"/>
  <c r="AB12" i="14"/>
  <c r="E18" i="26" s="1"/>
  <c r="AB13" i="14"/>
  <c r="E19" i="26" s="1"/>
  <c r="AB14" i="14"/>
  <c r="E21" i="26" s="1"/>
  <c r="AB15" i="14"/>
  <c r="E24" i="26" s="1"/>
  <c r="AB16" i="14"/>
  <c r="E25" i="26" s="1"/>
  <c r="AB17" i="14"/>
  <c r="E26" i="26" s="1"/>
  <c r="AB18" i="14"/>
  <c r="E27" i="26" s="1"/>
  <c r="AB19" i="14"/>
  <c r="E28" i="26" s="1"/>
  <c r="AB20" i="14"/>
  <c r="E29" i="26" s="1"/>
  <c r="AB21" i="14"/>
  <c r="E30" i="26" s="1"/>
  <c r="AB22" i="14"/>
  <c r="E31" i="26" s="1"/>
  <c r="AB23" i="14"/>
  <c r="E33" i="26" s="1"/>
  <c r="AB24" i="14"/>
  <c r="E35" i="26" s="1"/>
  <c r="AB25" i="14"/>
  <c r="E36" i="26" s="1"/>
  <c r="AB26" i="14"/>
  <c r="E37" i="26" s="1"/>
  <c r="AB27" i="14"/>
  <c r="E42" i="26" s="1"/>
  <c r="AB28" i="14"/>
  <c r="E44" i="26" s="1"/>
  <c r="AB29" i="14"/>
  <c r="E45" i="26" s="1"/>
  <c r="AB30" i="14"/>
  <c r="E46" i="26" s="1"/>
  <c r="AB31" i="14"/>
  <c r="E48" i="26" s="1"/>
  <c r="AB32" i="14"/>
  <c r="E49" i="26" s="1"/>
  <c r="AB33" i="14"/>
  <c r="E50" i="26" s="1"/>
  <c r="AB34" i="14"/>
  <c r="E51" i="26" s="1"/>
  <c r="AB35" i="14"/>
  <c r="E52" i="26" s="1"/>
  <c r="AB36" i="14"/>
  <c r="E53" i="26" s="1"/>
  <c r="AB37" i="14"/>
  <c r="E54" i="26" s="1"/>
  <c r="AB38" i="14"/>
  <c r="E55" i="26" s="1"/>
  <c r="AB39" i="14"/>
  <c r="E56" i="26" s="1"/>
  <c r="AB40" i="14"/>
  <c r="E57" i="26" s="1"/>
  <c r="AB41" i="14"/>
  <c r="E58" i="26" s="1"/>
  <c r="AB42" i="14"/>
  <c r="E59" i="26" s="1"/>
  <c r="AB43" i="14"/>
  <c r="E61" i="26" s="1"/>
  <c r="AB44" i="14"/>
  <c r="E62" i="26" s="1"/>
  <c r="AB45" i="14"/>
  <c r="E63" i="26" s="1"/>
  <c r="AB46" i="14"/>
  <c r="E64" i="26" s="1"/>
  <c r="AB47" i="14"/>
  <c r="E65" i="26" s="1"/>
  <c r="AB48" i="14"/>
  <c r="E66" i="26" s="1"/>
  <c r="AB49" i="14"/>
  <c r="E67" i="26" s="1"/>
  <c r="AB50" i="14"/>
  <c r="E68" i="26" s="1"/>
  <c r="AB51" i="14"/>
  <c r="E69" i="26" s="1"/>
  <c r="AB4" i="14"/>
  <c r="E9" i="26" s="1"/>
  <c r="E17" i="26" s="1"/>
  <c r="V52" i="14"/>
  <c r="N52" i="14"/>
  <c r="F52" i="14"/>
  <c r="X25" i="13"/>
  <c r="D35" i="26" s="1"/>
  <c r="X26" i="13"/>
  <c r="D36" i="26" s="1"/>
  <c r="X27" i="13"/>
  <c r="X28" i="13"/>
  <c r="D42" i="26" s="1"/>
  <c r="X29" i="13"/>
  <c r="X30" i="13"/>
  <c r="D45" i="26" s="1"/>
  <c r="X31" i="13"/>
  <c r="D46" i="26" s="1"/>
  <c r="X32" i="13"/>
  <c r="J55" i="13"/>
  <c r="X5" i="13"/>
  <c r="D10" i="26" s="1"/>
  <c r="X6" i="13"/>
  <c r="D11" i="26" s="1"/>
  <c r="X7" i="13"/>
  <c r="D12" i="26" s="1"/>
  <c r="X8" i="13"/>
  <c r="D13" i="26" s="1"/>
  <c r="X9" i="13"/>
  <c r="D14" i="26" s="1"/>
  <c r="X10" i="13"/>
  <c r="X11" i="13"/>
  <c r="D15" i="26" s="1"/>
  <c r="X13" i="13"/>
  <c r="D18" i="26" s="1"/>
  <c r="X14" i="13"/>
  <c r="D19" i="26" s="1"/>
  <c r="X15" i="13"/>
  <c r="D21" i="26" s="1"/>
  <c r="X16" i="13"/>
  <c r="D24" i="26" s="1"/>
  <c r="X17" i="13"/>
  <c r="D25" i="26" s="1"/>
  <c r="X18" i="13"/>
  <c r="D26" i="26" s="1"/>
  <c r="X19" i="13"/>
  <c r="D27" i="26" s="1"/>
  <c r="X20" i="13"/>
  <c r="D28" i="26" s="1"/>
  <c r="X21" i="13"/>
  <c r="D29" i="26" s="1"/>
  <c r="X22" i="13"/>
  <c r="D30" i="26" s="1"/>
  <c r="X23" i="13"/>
  <c r="D31" i="26" s="1"/>
  <c r="X24" i="13"/>
  <c r="D33" i="26" s="1"/>
  <c r="X33" i="13"/>
  <c r="X34" i="13"/>
  <c r="D48" i="26" s="1"/>
  <c r="X35" i="13"/>
  <c r="D49" i="26" s="1"/>
  <c r="X36" i="13"/>
  <c r="D50" i="26" s="1"/>
  <c r="X4" i="13"/>
  <c r="D9" i="26" s="1"/>
  <c r="F55" i="13"/>
  <c r="C10" i="26"/>
  <c r="BC6" i="7"/>
  <c r="C11" i="26" s="1"/>
  <c r="BC7" i="7"/>
  <c r="C12" i="26" s="1"/>
  <c r="BC8" i="7"/>
  <c r="C13" i="26" s="1"/>
  <c r="BC9" i="7"/>
  <c r="BC10" i="7"/>
  <c r="C15" i="26" s="1"/>
  <c r="BC11" i="7"/>
  <c r="C16" i="26" s="1"/>
  <c r="L16" i="26" s="1"/>
  <c r="BC13" i="7"/>
  <c r="C18" i="26" s="1"/>
  <c r="BC14" i="7"/>
  <c r="C19" i="26" s="1"/>
  <c r="BC15" i="7"/>
  <c r="C21" i="26" s="1"/>
  <c r="BC16" i="7"/>
  <c r="BC17" i="7"/>
  <c r="BC18" i="7"/>
  <c r="C24" i="26" s="1"/>
  <c r="BC19" i="7"/>
  <c r="C25" i="26" s="1"/>
  <c r="BC21" i="7"/>
  <c r="C27" i="26" s="1"/>
  <c r="BC22" i="7"/>
  <c r="C28" i="26" s="1"/>
  <c r="BC23" i="7"/>
  <c r="C29" i="26" s="1"/>
  <c r="BC24" i="7"/>
  <c r="C30" i="26" s="1"/>
  <c r="BC25" i="7"/>
  <c r="C31" i="26" s="1"/>
  <c r="BC26" i="7"/>
  <c r="C32" i="26" s="1"/>
  <c r="L32" i="26" s="1"/>
  <c r="BC27" i="7"/>
  <c r="C33" i="26" s="1"/>
  <c r="BC28" i="7"/>
  <c r="C35" i="26" s="1"/>
  <c r="BC29" i="7"/>
  <c r="C36" i="26" s="1"/>
  <c r="BC32" i="7"/>
  <c r="C38" i="26" s="1"/>
  <c r="L38" i="26" s="1"/>
  <c r="BC33" i="7"/>
  <c r="C39" i="26" s="1"/>
  <c r="L39" i="26" s="1"/>
  <c r="BC34" i="7"/>
  <c r="C41" i="26" s="1"/>
  <c r="L41" i="26" s="1"/>
  <c r="BC35" i="7"/>
  <c r="C42" i="26" s="1"/>
  <c r="BC36" i="7"/>
  <c r="BC37" i="7"/>
  <c r="C44" i="26" s="1"/>
  <c r="BC38" i="7"/>
  <c r="C45" i="26" s="1"/>
  <c r="BC39" i="7"/>
  <c r="C46" i="26" s="1"/>
  <c r="BC40" i="7"/>
  <c r="C47" i="26" s="1"/>
  <c r="L47" i="26" s="1"/>
  <c r="BC41" i="7"/>
  <c r="C48" i="26" s="1"/>
  <c r="BC42" i="7"/>
  <c r="C49" i="26" s="1"/>
  <c r="BC43" i="7"/>
  <c r="C50" i="26" s="1"/>
  <c r="BC44" i="7"/>
  <c r="C51" i="26" s="1"/>
  <c r="BC45" i="7"/>
  <c r="C52" i="26" s="1"/>
  <c r="BC46" i="7"/>
  <c r="BC47" i="7"/>
  <c r="C54" i="26" s="1"/>
  <c r="BC48" i="7"/>
  <c r="C55" i="26" s="1"/>
  <c r="BC49" i="7"/>
  <c r="C56" i="26" s="1"/>
  <c r="BC50" i="7"/>
  <c r="C57" i="26" s="1"/>
  <c r="BC51" i="7"/>
  <c r="C58" i="26" s="1"/>
  <c r="BC52" i="7"/>
  <c r="C59" i="26" s="1"/>
  <c r="BC53" i="7"/>
  <c r="BC54" i="7"/>
  <c r="C62" i="26" s="1"/>
  <c r="BC55" i="7"/>
  <c r="BC56" i="7"/>
  <c r="BC58" i="7"/>
  <c r="BC59" i="7"/>
  <c r="C65" i="26" s="1"/>
  <c r="BC60" i="7"/>
  <c r="C66" i="26" s="1"/>
  <c r="BC61" i="7"/>
  <c r="C67" i="26" s="1"/>
  <c r="BC62" i="7"/>
  <c r="C68" i="26" s="1"/>
  <c r="BC63" i="7"/>
  <c r="BC64" i="7"/>
  <c r="BC65" i="7"/>
  <c r="BC66" i="7"/>
  <c r="BC67" i="7"/>
  <c r="BC68" i="7"/>
  <c r="BC4" i="7"/>
  <c r="C9" i="26" s="1"/>
  <c r="AT69" i="7"/>
  <c r="AP12" i="7"/>
  <c r="AL12" i="7"/>
  <c r="Z69" i="7"/>
  <c r="Y69" i="7"/>
  <c r="X22" i="7"/>
  <c r="X18" i="7"/>
  <c r="Y12" i="7"/>
  <c r="X12" i="7"/>
  <c r="V69" i="7"/>
  <c r="U69" i="7"/>
  <c r="T22" i="7"/>
  <c r="T18" i="7"/>
  <c r="U12" i="7"/>
  <c r="T12" i="7"/>
  <c r="R69" i="7"/>
  <c r="Q69" i="7"/>
  <c r="P22" i="7"/>
  <c r="P18" i="7"/>
  <c r="P19" i="7" s="1"/>
  <c r="Q12" i="7"/>
  <c r="P12" i="7"/>
  <c r="AB12" i="7"/>
  <c r="AC12" i="7"/>
  <c r="AB18" i="7"/>
  <c r="AB19" i="7" s="1"/>
  <c r="AB22" i="7"/>
  <c r="AC69" i="7"/>
  <c r="N69" i="7"/>
  <c r="J69" i="7"/>
  <c r="F69" i="7"/>
  <c r="L35" i="26" l="1"/>
  <c r="L25" i="26"/>
  <c r="H17" i="26"/>
  <c r="L65" i="26"/>
  <c r="L62" i="26"/>
  <c r="L45" i="26"/>
  <c r="L30" i="26"/>
  <c r="E75" i="26"/>
  <c r="E74" i="26"/>
  <c r="F43" i="24"/>
  <c r="L43" i="24" s="1"/>
  <c r="F43" i="26"/>
  <c r="G49" i="24"/>
  <c r="G49" i="26"/>
  <c r="L22" i="24"/>
  <c r="I22" i="26"/>
  <c r="L22" i="26" s="1"/>
  <c r="J69" i="24"/>
  <c r="J71" i="26"/>
  <c r="L68" i="26"/>
  <c r="L48" i="26"/>
  <c r="L29" i="26"/>
  <c r="L19" i="26"/>
  <c r="F37" i="24"/>
  <c r="F37" i="26"/>
  <c r="F20" i="26"/>
  <c r="H49" i="24"/>
  <c r="H49" i="26"/>
  <c r="H74" i="26" s="1"/>
  <c r="H75" i="26" s="1"/>
  <c r="I69" i="24"/>
  <c r="I71" i="26"/>
  <c r="I44" i="24"/>
  <c r="I44" i="26"/>
  <c r="L44" i="26" s="1"/>
  <c r="J67" i="24"/>
  <c r="J69" i="26"/>
  <c r="K50" i="24"/>
  <c r="K50" i="26"/>
  <c r="L9" i="26"/>
  <c r="L67" i="26"/>
  <c r="L59" i="26"/>
  <c r="L55" i="26"/>
  <c r="L51" i="26"/>
  <c r="L28" i="26"/>
  <c r="L13" i="26"/>
  <c r="F17" i="26"/>
  <c r="F49" i="24"/>
  <c r="F49" i="26"/>
  <c r="F34" i="24"/>
  <c r="F33" i="26"/>
  <c r="G17" i="26"/>
  <c r="G56" i="24"/>
  <c r="G57" i="26"/>
  <c r="H55" i="24"/>
  <c r="H56" i="26"/>
  <c r="L56" i="26" s="1"/>
  <c r="I69" i="26"/>
  <c r="I20" i="24"/>
  <c r="I20" i="26"/>
  <c r="L8" i="24"/>
  <c r="I8" i="26"/>
  <c r="L8" i="26" s="1"/>
  <c r="L5" i="26"/>
  <c r="J49" i="24"/>
  <c r="J49" i="26"/>
  <c r="K34" i="24"/>
  <c r="K33" i="26"/>
  <c r="G74" i="26"/>
  <c r="H59" i="24"/>
  <c r="H61" i="26"/>
  <c r="K11" i="24"/>
  <c r="K11" i="26"/>
  <c r="K17" i="26" s="1"/>
  <c r="L52" i="26"/>
  <c r="L24" i="26"/>
  <c r="D37" i="24"/>
  <c r="D37" i="26"/>
  <c r="H57" i="26"/>
  <c r="L57" i="26" s="1"/>
  <c r="I21" i="24"/>
  <c r="I21" i="26"/>
  <c r="L21" i="26" s="1"/>
  <c r="L66" i="26"/>
  <c r="L58" i="26"/>
  <c r="L54" i="26"/>
  <c r="L50" i="26"/>
  <c r="L46" i="26"/>
  <c r="L42" i="26"/>
  <c r="L36" i="26"/>
  <c r="L31" i="26"/>
  <c r="L27" i="26"/>
  <c r="L12" i="26"/>
  <c r="D17" i="26"/>
  <c r="D44" i="24"/>
  <c r="D44" i="26"/>
  <c r="L63" i="26"/>
  <c r="G55" i="24"/>
  <c r="G56" i="26"/>
  <c r="X69" i="18"/>
  <c r="I64" i="26"/>
  <c r="I15" i="26"/>
  <c r="L15" i="26" s="1"/>
  <c r="J21" i="24"/>
  <c r="J21" i="26"/>
  <c r="J17" i="26"/>
  <c r="AB69" i="7"/>
  <c r="AB70" i="7" s="1"/>
  <c r="F13" i="21" s="1"/>
  <c r="C14" i="26"/>
  <c r="L14" i="26" s="1"/>
  <c r="C69" i="24"/>
  <c r="C71" i="26"/>
  <c r="L71" i="26" s="1"/>
  <c r="C62" i="24"/>
  <c r="C64" i="26"/>
  <c r="L70" i="24"/>
  <c r="C72" i="26"/>
  <c r="L72" i="26" s="1"/>
  <c r="C53" i="26"/>
  <c r="L53" i="26" s="1"/>
  <c r="C68" i="24"/>
  <c r="L68" i="24" s="1"/>
  <c r="C70" i="26"/>
  <c r="L70" i="26" s="1"/>
  <c r="C59" i="24"/>
  <c r="C61" i="26"/>
  <c r="C43" i="26"/>
  <c r="L43" i="26" s="1"/>
  <c r="C23" i="26"/>
  <c r="L23" i="26" s="1"/>
  <c r="L18" i="26"/>
  <c r="L10" i="26"/>
  <c r="C71" i="24"/>
  <c r="L71" i="24" s="1"/>
  <c r="C73" i="26"/>
  <c r="L73" i="26" s="1"/>
  <c r="C67" i="24"/>
  <c r="C69" i="26"/>
  <c r="L69" i="26" s="1"/>
  <c r="C20" i="24"/>
  <c r="C20" i="26"/>
  <c r="X55" i="13"/>
  <c r="Z70" i="7"/>
  <c r="F55" i="17"/>
  <c r="X55" i="20"/>
  <c r="AB52" i="14"/>
  <c r="J58" i="19"/>
  <c r="AR15" i="19"/>
  <c r="BC20" i="7"/>
  <c r="X19" i="7"/>
  <c r="X69" i="7" s="1"/>
  <c r="X70" i="7" s="1"/>
  <c r="F12" i="21" s="1"/>
  <c r="V70" i="7"/>
  <c r="T19" i="7"/>
  <c r="T69" i="7" s="1"/>
  <c r="T70" i="7" s="1"/>
  <c r="F11" i="21" s="1"/>
  <c r="R70" i="7"/>
  <c r="P69" i="7"/>
  <c r="P70" i="7" s="1"/>
  <c r="F10" i="21" s="1"/>
  <c r="J4" i="25"/>
  <c r="L11" i="26" l="1"/>
  <c r="K74" i="26"/>
  <c r="L33" i="26"/>
  <c r="L64" i="26"/>
  <c r="I74" i="26"/>
  <c r="L49" i="26"/>
  <c r="F74" i="26"/>
  <c r="J20" i="24"/>
  <c r="L20" i="24" s="1"/>
  <c r="J20" i="26"/>
  <c r="J74" i="26" s="1"/>
  <c r="J75" i="26" s="1"/>
  <c r="K75" i="26"/>
  <c r="D75" i="26"/>
  <c r="L37" i="26"/>
  <c r="G75" i="26"/>
  <c r="D74" i="26"/>
  <c r="I17" i="26"/>
  <c r="F75" i="26"/>
  <c r="L20" i="26"/>
  <c r="L61" i="26"/>
  <c r="L69" i="24"/>
  <c r="L17" i="26"/>
  <c r="C17" i="26"/>
  <c r="BC69" i="7"/>
  <c r="C26" i="26"/>
  <c r="L26" i="26" s="1"/>
  <c r="AB24" i="18"/>
  <c r="I75" i="26" l="1"/>
  <c r="L74" i="26"/>
  <c r="C74" i="26"/>
  <c r="C75" i="26"/>
  <c r="L75" i="26" s="1"/>
  <c r="L68" i="22"/>
  <c r="R64" i="22"/>
  <c r="P14" i="19"/>
  <c r="P13" i="19"/>
  <c r="P12" i="19"/>
  <c r="P64" i="22"/>
  <c r="H14" i="19"/>
  <c r="H13" i="19"/>
  <c r="H12" i="19"/>
  <c r="N64" i="22"/>
  <c r="P21" i="18"/>
  <c r="P20" i="18"/>
  <c r="P19" i="18"/>
  <c r="L64" i="22"/>
  <c r="L21" i="18"/>
  <c r="L20" i="18"/>
  <c r="L19" i="18"/>
  <c r="J64" i="22"/>
  <c r="H21" i="18"/>
  <c r="H20" i="18"/>
  <c r="H64" i="22"/>
  <c r="D14" i="17"/>
  <c r="D13" i="17"/>
  <c r="F64" i="22"/>
  <c r="D14" i="15"/>
  <c r="BA14" i="15" s="1"/>
  <c r="D13" i="15"/>
  <c r="BA13" i="15" s="1"/>
  <c r="D64" i="22"/>
  <c r="D20" i="7" s="1"/>
  <c r="BD20" i="7" s="1"/>
  <c r="C27" i="24" s="1"/>
  <c r="D15" i="7"/>
  <c r="BD15" i="7" s="1"/>
  <c r="D14" i="7"/>
  <c r="BD14" i="7" s="1"/>
  <c r="H17" i="7" l="1"/>
  <c r="BD17" i="7" s="1"/>
  <c r="C24" i="24" s="1"/>
  <c r="L24" i="24" s="1"/>
  <c r="H22" i="7" l="1"/>
  <c r="L38" i="14"/>
  <c r="L37" i="14"/>
  <c r="T8" i="22"/>
  <c r="T9" i="22"/>
  <c r="T12" i="22"/>
  <c r="T64" i="22" s="1"/>
  <c r="T16" i="22"/>
  <c r="M16" i="22" s="1"/>
  <c r="T17" i="22"/>
  <c r="T18" i="22"/>
  <c r="T23" i="22"/>
  <c r="O23" i="22" s="1"/>
  <c r="T24" i="22"/>
  <c r="T25" i="22"/>
  <c r="T39" i="22"/>
  <c r="T40" i="22"/>
  <c r="T41" i="22"/>
  <c r="T47" i="22"/>
  <c r="T48" i="22"/>
  <c r="T49" i="22"/>
  <c r="N52" i="22"/>
  <c r="N50" i="22"/>
  <c r="N51" i="22" s="1"/>
  <c r="N42" i="22"/>
  <c r="N28" i="22"/>
  <c r="N26" i="22"/>
  <c r="N27" i="22" s="1"/>
  <c r="N21" i="22"/>
  <c r="N19" i="22"/>
  <c r="N20" i="22" s="1"/>
  <c r="L52" i="22"/>
  <c r="L50" i="22"/>
  <c r="L51" i="22" s="1"/>
  <c r="L42" i="22"/>
  <c r="L43" i="22" s="1"/>
  <c r="L28" i="22"/>
  <c r="L26" i="22"/>
  <c r="L27" i="22" s="1"/>
  <c r="L21" i="22"/>
  <c r="L19" i="22"/>
  <c r="L20" i="22" s="1"/>
  <c r="L14" i="22"/>
  <c r="L66" i="22" s="1"/>
  <c r="L31" i="18" s="1"/>
  <c r="L10" i="22"/>
  <c r="P10" i="22"/>
  <c r="P13" i="22"/>
  <c r="P14" i="22"/>
  <c r="P66" i="22" s="1"/>
  <c r="H22" i="19" s="1"/>
  <c r="P19" i="22"/>
  <c r="P20" i="22" s="1"/>
  <c r="P21" i="22"/>
  <c r="P26" i="22"/>
  <c r="P27" i="22" s="1"/>
  <c r="P28" i="22"/>
  <c r="P42" i="22"/>
  <c r="P43" i="22" s="1"/>
  <c r="P44" i="22"/>
  <c r="P50" i="22"/>
  <c r="P51" i="22" s="1"/>
  <c r="P52" i="22"/>
  <c r="R52" i="22"/>
  <c r="H52" i="22"/>
  <c r="F52" i="22"/>
  <c r="D52" i="22"/>
  <c r="R50" i="22"/>
  <c r="R51" i="22" s="1"/>
  <c r="J50" i="22"/>
  <c r="J51" i="22" s="1"/>
  <c r="H50" i="22"/>
  <c r="H51" i="22" s="1"/>
  <c r="F50" i="22"/>
  <c r="F51" i="22" s="1"/>
  <c r="D50" i="22"/>
  <c r="D51" i="22" s="1"/>
  <c r="L62" i="22" l="1"/>
  <c r="P65" i="22"/>
  <c r="H21" i="19" s="1"/>
  <c r="T60" i="22"/>
  <c r="P11" i="22"/>
  <c r="P63" i="22" s="1"/>
  <c r="H18" i="19" s="1"/>
  <c r="P62" i="22"/>
  <c r="H17" i="19" s="1"/>
  <c r="S30" i="22"/>
  <c r="K30" i="22"/>
  <c r="Q30" i="22"/>
  <c r="E30" i="22"/>
  <c r="M30" i="22"/>
  <c r="O30" i="22"/>
  <c r="T61" i="22"/>
  <c r="O16" i="22"/>
  <c r="N43" i="22"/>
  <c r="M23" i="22"/>
  <c r="L26" i="18"/>
  <c r="T52" i="22"/>
  <c r="E39" i="22"/>
  <c r="K47" i="22"/>
  <c r="T51" i="22"/>
  <c r="T50" i="22"/>
  <c r="L11" i="22"/>
  <c r="N13" i="22"/>
  <c r="N65" i="22" s="1"/>
  <c r="N14" i="22"/>
  <c r="N66" i="22" s="1"/>
  <c r="P31" i="18" s="1"/>
  <c r="N10" i="22"/>
  <c r="N62" i="22" s="1"/>
  <c r="L13" i="22"/>
  <c r="B25" i="25"/>
  <c r="C25" i="25"/>
  <c r="D25" i="25"/>
  <c r="E25" i="25"/>
  <c r="F25" i="25"/>
  <c r="G25" i="25"/>
  <c r="H25" i="25"/>
  <c r="I25" i="25"/>
  <c r="J25" i="25"/>
  <c r="K14" i="25"/>
  <c r="K15" i="25"/>
  <c r="K16" i="25"/>
  <c r="K17" i="25"/>
  <c r="K18" i="25"/>
  <c r="K19" i="25"/>
  <c r="K20" i="25"/>
  <c r="K21" i="25"/>
  <c r="K22" i="25"/>
  <c r="K23" i="25"/>
  <c r="K24" i="25"/>
  <c r="K13" i="25"/>
  <c r="A4" i="25"/>
  <c r="P57" i="22" l="1"/>
  <c r="H58" i="19"/>
  <c r="P30" i="18"/>
  <c r="L65" i="22"/>
  <c r="L30" i="18" s="1"/>
  <c r="L63" i="22"/>
  <c r="L27" i="18" s="1"/>
  <c r="N11" i="22"/>
  <c r="P26" i="18"/>
  <c r="L57" i="22"/>
  <c r="AF30" i="18"/>
  <c r="AF43" i="15"/>
  <c r="X16" i="15"/>
  <c r="Z11" i="15"/>
  <c r="X11" i="15"/>
  <c r="L11" i="14"/>
  <c r="L19" i="14"/>
  <c r="L15" i="14"/>
  <c r="N11" i="14"/>
  <c r="D13" i="7"/>
  <c r="BD13" i="7" s="1"/>
  <c r="C18" i="24" s="1"/>
  <c r="N57" i="22" l="1"/>
  <c r="N63" i="22"/>
  <c r="P27" i="18" s="1"/>
  <c r="N53" i="14"/>
  <c r="J14" i="22"/>
  <c r="H19" i="18"/>
  <c r="F14" i="22"/>
  <c r="BA12" i="15"/>
  <c r="F18" i="24" s="1"/>
  <c r="T7" i="22"/>
  <c r="H14" i="22"/>
  <c r="D14" i="22"/>
  <c r="X17" i="15"/>
  <c r="X58" i="15" s="1"/>
  <c r="L16" i="14"/>
  <c r="L52" i="14" s="1"/>
  <c r="D66" i="22" l="1"/>
  <c r="D23" i="7" s="1"/>
  <c r="BD23" i="7" s="1"/>
  <c r="C30" i="24" s="1"/>
  <c r="D13" i="22"/>
  <c r="H66" i="22"/>
  <c r="H13" i="22"/>
  <c r="J66" i="22"/>
  <c r="H31" i="18" s="1"/>
  <c r="J13" i="22"/>
  <c r="F66" i="22"/>
  <c r="BA22" i="15" s="1"/>
  <c r="F30" i="24" s="1"/>
  <c r="F13" i="22"/>
  <c r="T59" i="22"/>
  <c r="X59" i="15"/>
  <c r="F38" i="21" s="1"/>
  <c r="L53" i="14"/>
  <c r="F29" i="21" s="1"/>
  <c r="M7" i="22"/>
  <c r="O7" i="22"/>
  <c r="N59" i="19" l="1"/>
  <c r="L11" i="19"/>
  <c r="X47" i="16" l="1"/>
  <c r="T47" i="16"/>
  <c r="AF12" i="7"/>
  <c r="AJ12" i="7"/>
  <c r="AN12" i="7"/>
  <c r="AV12" i="7"/>
  <c r="AZ12" i="7"/>
  <c r="BB69" i="7"/>
  <c r="BB70" i="7" s="1"/>
  <c r="AX69" i="7"/>
  <c r="AX70" i="7" s="1"/>
  <c r="AZ22" i="7"/>
  <c r="AV22" i="7"/>
  <c r="AZ18" i="7"/>
  <c r="AZ19" i="7" s="1"/>
  <c r="AV18" i="7"/>
  <c r="AV19" i="7" l="1"/>
  <c r="AV69" i="7" s="1"/>
  <c r="AZ69" i="7"/>
  <c r="AV70" i="7" l="1"/>
  <c r="F18" i="21" s="1"/>
  <c r="AZ70" i="7"/>
  <c r="F19" i="21" s="1"/>
  <c r="J69" i="18" l="1"/>
  <c r="AD69" i="18"/>
  <c r="AP69" i="18"/>
  <c r="M56" i="13"/>
  <c r="Q56" i="13"/>
  <c r="R56" i="13"/>
  <c r="U56" i="13"/>
  <c r="V56" i="13"/>
  <c r="V53" i="14"/>
  <c r="AT59" i="15"/>
  <c r="AX59" i="15"/>
  <c r="Z55" i="16"/>
  <c r="AD55" i="16"/>
  <c r="AH55" i="16"/>
  <c r="AL55" i="16"/>
  <c r="X19" i="17"/>
  <c r="X15" i="17"/>
  <c r="X16" i="17" s="1"/>
  <c r="X11" i="17"/>
  <c r="T19" i="17"/>
  <c r="T15" i="17"/>
  <c r="T16" i="17" s="1"/>
  <c r="AB46" i="15"/>
  <c r="AB44" i="15"/>
  <c r="T11" i="17" l="1"/>
  <c r="X55" i="17"/>
  <c r="T55" i="17"/>
  <c r="AB30" i="18"/>
  <c r="X56" i="17" l="1"/>
  <c r="F63" i="21" s="1"/>
  <c r="T56" i="17"/>
  <c r="F62" i="21" s="1"/>
  <c r="J9" i="24" l="1"/>
  <c r="J15" i="24"/>
  <c r="J31" i="24"/>
  <c r="J35" i="24"/>
  <c r="I59" i="24"/>
  <c r="H9" i="24"/>
  <c r="H35" i="24"/>
  <c r="G14" i="24"/>
  <c r="L16" i="24"/>
  <c r="L33" i="24"/>
  <c r="L47" i="24"/>
  <c r="C52" i="24"/>
  <c r="C58" i="24"/>
  <c r="C63" i="24"/>
  <c r="K18" i="24"/>
  <c r="K19" i="24"/>
  <c r="K21" i="24"/>
  <c r="K27" i="24"/>
  <c r="K28" i="24"/>
  <c r="K30" i="24"/>
  <c r="K31" i="24"/>
  <c r="K32" i="24"/>
  <c r="K35" i="24"/>
  <c r="K36" i="24"/>
  <c r="K37" i="24"/>
  <c r="K42" i="24"/>
  <c r="K44" i="24"/>
  <c r="K45" i="24"/>
  <c r="K46" i="24"/>
  <c r="K48" i="24"/>
  <c r="K49" i="24"/>
  <c r="K51" i="24"/>
  <c r="K52" i="24"/>
  <c r="K53" i="24"/>
  <c r="K54" i="24"/>
  <c r="K55" i="24"/>
  <c r="K56" i="24"/>
  <c r="K57" i="24"/>
  <c r="K58" i="24"/>
  <c r="K59" i="24"/>
  <c r="K60" i="24"/>
  <c r="K62" i="24"/>
  <c r="K63" i="24"/>
  <c r="K64" i="24"/>
  <c r="K65" i="24"/>
  <c r="K66" i="24"/>
  <c r="K67" i="24"/>
  <c r="K9" i="24"/>
  <c r="K10" i="24"/>
  <c r="K12" i="24"/>
  <c r="K13" i="24"/>
  <c r="K14" i="24"/>
  <c r="K15" i="24"/>
  <c r="J27" i="24"/>
  <c r="J28" i="24"/>
  <c r="J34" i="24"/>
  <c r="J36" i="24"/>
  <c r="J42" i="24"/>
  <c r="J44" i="24"/>
  <c r="J45" i="24"/>
  <c r="J48" i="24"/>
  <c r="J50" i="24"/>
  <c r="J52" i="24"/>
  <c r="J55" i="24"/>
  <c r="J57" i="24"/>
  <c r="J58" i="24"/>
  <c r="J59" i="24"/>
  <c r="J60" i="24"/>
  <c r="J61" i="24"/>
  <c r="J62" i="24"/>
  <c r="J63" i="24"/>
  <c r="J64" i="24"/>
  <c r="J65" i="24"/>
  <c r="J66" i="24"/>
  <c r="J10" i="24"/>
  <c r="J11" i="24"/>
  <c r="J12" i="24"/>
  <c r="J13" i="24"/>
  <c r="I27" i="24"/>
  <c r="I28" i="24"/>
  <c r="I31" i="24"/>
  <c r="I32" i="24"/>
  <c r="I34" i="24"/>
  <c r="I35" i="24"/>
  <c r="I36" i="24"/>
  <c r="I42" i="24"/>
  <c r="I45" i="24"/>
  <c r="I46" i="24"/>
  <c r="I52" i="24"/>
  <c r="I57" i="24"/>
  <c r="I58" i="24"/>
  <c r="I60" i="24"/>
  <c r="I63" i="24"/>
  <c r="I65" i="24"/>
  <c r="I66" i="24"/>
  <c r="L4" i="24"/>
  <c r="L7" i="24"/>
  <c r="H27" i="24"/>
  <c r="H28" i="24"/>
  <c r="H34" i="24"/>
  <c r="H36" i="24"/>
  <c r="H42" i="24"/>
  <c r="H44" i="24"/>
  <c r="H45" i="24"/>
  <c r="H48" i="24"/>
  <c r="H50" i="24"/>
  <c r="H52" i="24"/>
  <c r="H57" i="24"/>
  <c r="H58" i="24"/>
  <c r="H60" i="24"/>
  <c r="H62" i="24"/>
  <c r="H63" i="24"/>
  <c r="H64" i="24"/>
  <c r="H65" i="24"/>
  <c r="H66" i="24"/>
  <c r="H67" i="24"/>
  <c r="H10" i="24"/>
  <c r="H11" i="24"/>
  <c r="H12" i="24"/>
  <c r="H13" i="24"/>
  <c r="H14" i="24"/>
  <c r="H15" i="24"/>
  <c r="G18" i="24"/>
  <c r="G19" i="24"/>
  <c r="G21" i="24"/>
  <c r="G27" i="24"/>
  <c r="G28" i="24"/>
  <c r="G30" i="24"/>
  <c r="G31" i="24"/>
  <c r="G32" i="24"/>
  <c r="G34" i="24"/>
  <c r="G35" i="24"/>
  <c r="G36" i="24"/>
  <c r="G37" i="24"/>
  <c r="G42" i="24"/>
  <c r="G44" i="24"/>
  <c r="G45" i="24"/>
  <c r="G46" i="24"/>
  <c r="G48" i="24"/>
  <c r="G50" i="24"/>
  <c r="G51" i="24"/>
  <c r="G52" i="24"/>
  <c r="G53" i="24"/>
  <c r="G54" i="24"/>
  <c r="G57" i="24"/>
  <c r="G58" i="24"/>
  <c r="G59" i="24"/>
  <c r="G60" i="24"/>
  <c r="G62" i="24"/>
  <c r="G63" i="24"/>
  <c r="G64" i="24"/>
  <c r="G65" i="24"/>
  <c r="G66" i="24"/>
  <c r="G67" i="24"/>
  <c r="G9" i="24"/>
  <c r="G10" i="24"/>
  <c r="G11" i="24"/>
  <c r="G12" i="24"/>
  <c r="G13" i="24"/>
  <c r="G15" i="24"/>
  <c r="F27" i="24"/>
  <c r="F28" i="24"/>
  <c r="F31" i="24"/>
  <c r="F35" i="24"/>
  <c r="F36" i="24"/>
  <c r="F42" i="24"/>
  <c r="F45" i="24"/>
  <c r="F48" i="24"/>
  <c r="F52" i="24"/>
  <c r="F57" i="24"/>
  <c r="F58" i="24"/>
  <c r="F59" i="24"/>
  <c r="F62" i="24"/>
  <c r="F63" i="24"/>
  <c r="F64" i="24"/>
  <c r="F65" i="24"/>
  <c r="F66" i="24"/>
  <c r="F67" i="24"/>
  <c r="F9" i="24"/>
  <c r="F10" i="24"/>
  <c r="F11" i="24"/>
  <c r="F12" i="24"/>
  <c r="F13" i="24"/>
  <c r="F14" i="24"/>
  <c r="F15" i="24"/>
  <c r="E18" i="24"/>
  <c r="E19" i="24"/>
  <c r="E21" i="24"/>
  <c r="E27" i="24"/>
  <c r="E28" i="24"/>
  <c r="E30" i="24"/>
  <c r="E31" i="24"/>
  <c r="E32" i="24"/>
  <c r="E34" i="24"/>
  <c r="E35" i="24"/>
  <c r="E36" i="24"/>
  <c r="E37" i="24"/>
  <c r="E42" i="24"/>
  <c r="E44" i="24"/>
  <c r="E45" i="24"/>
  <c r="E46" i="24"/>
  <c r="E49" i="24"/>
  <c r="E50" i="24"/>
  <c r="E52" i="24"/>
  <c r="E57" i="24"/>
  <c r="E58" i="24"/>
  <c r="E60" i="24"/>
  <c r="E61" i="24"/>
  <c r="E63" i="24"/>
  <c r="E64" i="24"/>
  <c r="E65" i="24"/>
  <c r="E66" i="24"/>
  <c r="E67" i="24"/>
  <c r="E9" i="24"/>
  <c r="E10" i="24"/>
  <c r="E11" i="24"/>
  <c r="E12" i="24"/>
  <c r="E13" i="24"/>
  <c r="E15" i="24"/>
  <c r="D18" i="24"/>
  <c r="D19" i="24"/>
  <c r="D21" i="24"/>
  <c r="D27" i="24"/>
  <c r="D28" i="24"/>
  <c r="D30" i="24"/>
  <c r="D31" i="24"/>
  <c r="D32" i="24"/>
  <c r="D35" i="24"/>
  <c r="D36" i="24"/>
  <c r="D42" i="24"/>
  <c r="D45" i="24"/>
  <c r="D46" i="24"/>
  <c r="D49" i="24"/>
  <c r="D51" i="24"/>
  <c r="D52" i="24"/>
  <c r="D53" i="24"/>
  <c r="D54" i="24"/>
  <c r="D55" i="24"/>
  <c r="D56" i="24"/>
  <c r="D58" i="24"/>
  <c r="D59" i="24"/>
  <c r="D60" i="24"/>
  <c r="D61" i="24"/>
  <c r="D62" i="24"/>
  <c r="D63" i="24"/>
  <c r="D64" i="24"/>
  <c r="D65" i="24"/>
  <c r="D66" i="24"/>
  <c r="D67" i="24"/>
  <c r="D9" i="24"/>
  <c r="D10" i="24"/>
  <c r="D11" i="24"/>
  <c r="D12" i="24"/>
  <c r="D13" i="24"/>
  <c r="D14" i="24"/>
  <c r="L38" i="24"/>
  <c r="C57" i="24"/>
  <c r="C60" i="24"/>
  <c r="C64" i="24"/>
  <c r="C65" i="24"/>
  <c r="L42" i="24" l="1"/>
  <c r="L13" i="24"/>
  <c r="L48" i="24"/>
  <c r="L28" i="24"/>
  <c r="L56" i="24"/>
  <c r="L60" i="24"/>
  <c r="L14" i="24"/>
  <c r="L54" i="24"/>
  <c r="L55" i="24"/>
  <c r="L12" i="24"/>
  <c r="L5" i="24"/>
  <c r="L52" i="24"/>
  <c r="L65" i="24"/>
  <c r="L57" i="24"/>
  <c r="L53" i="24"/>
  <c r="L45" i="24"/>
  <c r="L35" i="24"/>
  <c r="D17" i="24"/>
  <c r="F17" i="24"/>
  <c r="G17" i="24"/>
  <c r="K17" i="24"/>
  <c r="L66" i="24"/>
  <c r="L51" i="24"/>
  <c r="L32" i="24"/>
  <c r="L11" i="24"/>
  <c r="L64" i="24"/>
  <c r="L50" i="24"/>
  <c r="L44" i="24"/>
  <c r="L34" i="24"/>
  <c r="L67" i="24"/>
  <c r="L59" i="24"/>
  <c r="E17" i="24"/>
  <c r="L63" i="24"/>
  <c r="L37" i="24"/>
  <c r="H17" i="24"/>
  <c r="L9" i="24"/>
  <c r="L10" i="24"/>
  <c r="L61" i="24"/>
  <c r="L49" i="24"/>
  <c r="L62" i="24"/>
  <c r="L58" i="24"/>
  <c r="L46" i="24"/>
  <c r="L36" i="24"/>
  <c r="L15" i="24"/>
  <c r="J17" i="24"/>
  <c r="T16" i="15"/>
  <c r="T17" i="15" s="1"/>
  <c r="V11" i="15"/>
  <c r="T11" i="15"/>
  <c r="P20" i="15"/>
  <c r="P16" i="15"/>
  <c r="P17" i="15" s="1"/>
  <c r="R59" i="15"/>
  <c r="P11" i="15"/>
  <c r="L17" i="24" l="1"/>
  <c r="V59" i="15"/>
  <c r="T58" i="15"/>
  <c r="P58" i="15"/>
  <c r="X11" i="19"/>
  <c r="P11" i="19"/>
  <c r="AD70" i="7"/>
  <c r="AH69" i="7"/>
  <c r="AH70" i="7" s="1"/>
  <c r="AI69" i="7"/>
  <c r="AL69" i="7"/>
  <c r="AL70" i="7" s="1"/>
  <c r="AP69" i="7"/>
  <c r="AP70" i="7" s="1"/>
  <c r="AT70" i="7"/>
  <c r="AR12" i="7"/>
  <c r="E12" i="7"/>
  <c r="H12" i="7"/>
  <c r="I12" i="7"/>
  <c r="L12" i="7"/>
  <c r="M12" i="7"/>
  <c r="AG12" i="7"/>
  <c r="AK12" i="7"/>
  <c r="AR18" i="7"/>
  <c r="AR22" i="7"/>
  <c r="AN18" i="7"/>
  <c r="AN19" i="7" s="1"/>
  <c r="AN22" i="7"/>
  <c r="AJ18" i="7"/>
  <c r="AJ22" i="7"/>
  <c r="R13" i="22"/>
  <c r="R21" i="22"/>
  <c r="R28" i="22"/>
  <c r="R44" i="22"/>
  <c r="R10" i="22"/>
  <c r="R19" i="22"/>
  <c r="R26" i="22"/>
  <c r="R42" i="22"/>
  <c r="D12" i="7"/>
  <c r="BD12" i="7" s="1"/>
  <c r="D19" i="22"/>
  <c r="D20" i="22" s="1"/>
  <c r="D26" i="22"/>
  <c r="D27" i="22" s="1"/>
  <c r="D42" i="22"/>
  <c r="D43" i="22" s="1"/>
  <c r="D21" i="22"/>
  <c r="D28" i="22"/>
  <c r="D44" i="22"/>
  <c r="H18" i="7"/>
  <c r="L18" i="7"/>
  <c r="L19" i="7" s="1"/>
  <c r="L22" i="7"/>
  <c r="F19" i="22"/>
  <c r="F20" i="22" s="1"/>
  <c r="F21" i="22"/>
  <c r="F26" i="22"/>
  <c r="F27" i="22" s="1"/>
  <c r="F28" i="22"/>
  <c r="F42" i="22"/>
  <c r="F43" i="22" s="1"/>
  <c r="F44" i="22"/>
  <c r="H26" i="22"/>
  <c r="H27" i="22" s="1"/>
  <c r="H28" i="22"/>
  <c r="H42" i="22"/>
  <c r="H43" i="22" s="1"/>
  <c r="H44" i="22"/>
  <c r="J19" i="22"/>
  <c r="J20" i="22" s="1"/>
  <c r="J21" i="22"/>
  <c r="J26" i="22"/>
  <c r="J27" i="22" s="1"/>
  <c r="J28" i="22"/>
  <c r="J42" i="22"/>
  <c r="J43" i="22" s="1"/>
  <c r="J44" i="22"/>
  <c r="R14" i="22"/>
  <c r="H12" i="20"/>
  <c r="H16" i="20"/>
  <c r="H17" i="20" s="1"/>
  <c r="H20" i="20"/>
  <c r="D12" i="20"/>
  <c r="D16" i="20"/>
  <c r="D17" i="20" s="1"/>
  <c r="D20" i="20"/>
  <c r="H11" i="19"/>
  <c r="T11" i="19"/>
  <c r="T17" i="19"/>
  <c r="X17" i="19"/>
  <c r="X21" i="19"/>
  <c r="D11" i="19"/>
  <c r="D58" i="19"/>
  <c r="H18" i="18"/>
  <c r="L18" i="18"/>
  <c r="P18" i="18"/>
  <c r="T18" i="18"/>
  <c r="T26" i="18"/>
  <c r="T27" i="18" s="1"/>
  <c r="T30" i="18"/>
  <c r="AB18" i="18"/>
  <c r="AB26" i="18"/>
  <c r="AB27" i="18" s="1"/>
  <c r="AF18" i="18"/>
  <c r="AF26" i="18"/>
  <c r="AF27" i="18" s="1"/>
  <c r="AJ18" i="18"/>
  <c r="AJ26" i="18"/>
  <c r="AJ27" i="18" s="1"/>
  <c r="AJ30" i="18"/>
  <c r="D26" i="18"/>
  <c r="D27" i="18" s="1"/>
  <c r="D68" i="18" s="1"/>
  <c r="D18" i="18"/>
  <c r="H11" i="17"/>
  <c r="H15" i="17"/>
  <c r="H16" i="17" s="1"/>
  <c r="H19" i="17"/>
  <c r="L11" i="17"/>
  <c r="L15" i="17"/>
  <c r="L16" i="17" s="1"/>
  <c r="L19" i="17"/>
  <c r="P11" i="17"/>
  <c r="P15" i="17"/>
  <c r="P16" i="17" s="1"/>
  <c r="P19" i="17"/>
  <c r="AB11" i="17"/>
  <c r="AB15" i="17"/>
  <c r="AB19" i="17"/>
  <c r="AF11" i="17"/>
  <c r="AF15" i="17"/>
  <c r="AF16" i="17" s="1"/>
  <c r="AF19" i="17"/>
  <c r="D11" i="17"/>
  <c r="H11" i="16"/>
  <c r="H15" i="16"/>
  <c r="H16" i="16" s="1"/>
  <c r="H19" i="16"/>
  <c r="L11" i="16"/>
  <c r="L15" i="16"/>
  <c r="L16" i="16" s="1"/>
  <c r="L19" i="16"/>
  <c r="P11" i="16"/>
  <c r="P15" i="16"/>
  <c r="P16" i="16" s="1"/>
  <c r="P19" i="16"/>
  <c r="T11" i="16"/>
  <c r="T15" i="16"/>
  <c r="T16" i="16" s="1"/>
  <c r="T19" i="16"/>
  <c r="X11" i="16"/>
  <c r="X15" i="16"/>
  <c r="X16" i="16" s="1"/>
  <c r="X19" i="16"/>
  <c r="AB11" i="16"/>
  <c r="AB15" i="16"/>
  <c r="AB16" i="16" s="1"/>
  <c r="AB19" i="16"/>
  <c r="AB54" i="16" s="1"/>
  <c r="AF15" i="16"/>
  <c r="AF16" i="16" s="1"/>
  <c r="AF19" i="16"/>
  <c r="AF11" i="16"/>
  <c r="D11" i="16"/>
  <c r="D15" i="16"/>
  <c r="D19" i="16"/>
  <c r="H11" i="15"/>
  <c r="H16" i="15"/>
  <c r="H17" i="15" s="1"/>
  <c r="H20" i="15"/>
  <c r="L11" i="15"/>
  <c r="L16" i="15"/>
  <c r="L20" i="15"/>
  <c r="AB11" i="15"/>
  <c r="AB16" i="15"/>
  <c r="AB17" i="15" s="1"/>
  <c r="AF11" i="15"/>
  <c r="AF16" i="15"/>
  <c r="AF17" i="15" s="1"/>
  <c r="AN11" i="15"/>
  <c r="AN16" i="15"/>
  <c r="AN20" i="15"/>
  <c r="D11" i="15"/>
  <c r="D11" i="14"/>
  <c r="H11" i="14"/>
  <c r="P11" i="14"/>
  <c r="D15" i="14"/>
  <c r="D19" i="14"/>
  <c r="H15" i="14"/>
  <c r="H16" i="14" s="1"/>
  <c r="H19" i="14"/>
  <c r="P15" i="14"/>
  <c r="P16" i="14" s="1"/>
  <c r="P19" i="14"/>
  <c r="H16" i="13"/>
  <c r="H20" i="13"/>
  <c r="D16" i="13"/>
  <c r="D20" i="13"/>
  <c r="D12" i="13"/>
  <c r="L16" i="13"/>
  <c r="L17" i="13" s="1"/>
  <c r="L20" i="13"/>
  <c r="AF18" i="7"/>
  <c r="AF19" i="7" s="1"/>
  <c r="AF22" i="7"/>
  <c r="J56" i="20"/>
  <c r="F12" i="20"/>
  <c r="Z58" i="19"/>
  <c r="Z11" i="19"/>
  <c r="V11" i="19"/>
  <c r="V68" i="18"/>
  <c r="R69" i="18"/>
  <c r="N69" i="18"/>
  <c r="AH55" i="17"/>
  <c r="AH11" i="17"/>
  <c r="AD11" i="17"/>
  <c r="AP11" i="15"/>
  <c r="AL58" i="15"/>
  <c r="AH11" i="15"/>
  <c r="AH58" i="15"/>
  <c r="J58" i="15"/>
  <c r="J11" i="15"/>
  <c r="F11" i="15"/>
  <c r="R11" i="14"/>
  <c r="J11" i="14"/>
  <c r="V11" i="16"/>
  <c r="R11" i="16"/>
  <c r="J54" i="16"/>
  <c r="J11" i="16"/>
  <c r="F55" i="16"/>
  <c r="N54" i="16"/>
  <c r="N11" i="15"/>
  <c r="AL68" i="18"/>
  <c r="AL18" i="18"/>
  <c r="R59" i="19"/>
  <c r="N11" i="16"/>
  <c r="AH18" i="18"/>
  <c r="R11" i="17"/>
  <c r="R55" i="17"/>
  <c r="N55" i="17"/>
  <c r="N11" i="17"/>
  <c r="F11" i="14"/>
  <c r="F70" i="7"/>
  <c r="J55" i="17"/>
  <c r="F11" i="17"/>
  <c r="J11" i="17"/>
  <c r="I56" i="13"/>
  <c r="J59" i="19"/>
  <c r="F11" i="19"/>
  <c r="J56" i="13"/>
  <c r="F12" i="13"/>
  <c r="AN26" i="18"/>
  <c r="AN27" i="18" s="1"/>
  <c r="AN30" i="18"/>
  <c r="AN18" i="18"/>
  <c r="AJ15" i="17"/>
  <c r="AJ16" i="17" s="1"/>
  <c r="AJ19" i="17"/>
  <c r="AJ11" i="17"/>
  <c r="AJ15" i="16"/>
  <c r="AJ19" i="16"/>
  <c r="AJ11" i="16"/>
  <c r="AV11" i="15"/>
  <c r="AV16" i="15"/>
  <c r="AV17" i="15" s="1"/>
  <c r="AV20" i="15"/>
  <c r="T11" i="14"/>
  <c r="AR16" i="15"/>
  <c r="AR17" i="15" s="1"/>
  <c r="AR20" i="15"/>
  <c r="AR11" i="15"/>
  <c r="P16" i="13"/>
  <c r="P17" i="13" s="1"/>
  <c r="P20" i="13"/>
  <c r="P12" i="13"/>
  <c r="T16" i="13"/>
  <c r="T20" i="13"/>
  <c r="T12" i="13"/>
  <c r="T12" i="20"/>
  <c r="P12" i="20"/>
  <c r="L12" i="20"/>
  <c r="L16" i="20"/>
  <c r="L17" i="20" s="1"/>
  <c r="L20" i="20"/>
  <c r="P16" i="20"/>
  <c r="P17" i="20" s="1"/>
  <c r="P20" i="20"/>
  <c r="T16" i="20"/>
  <c r="T20" i="20"/>
  <c r="AN17" i="19"/>
  <c r="AN21" i="19"/>
  <c r="AB17" i="19"/>
  <c r="AB18" i="19" s="1"/>
  <c r="AB21" i="19"/>
  <c r="AF17" i="19"/>
  <c r="AF18" i="19" s="1"/>
  <c r="AF21" i="19"/>
  <c r="AJ17" i="19"/>
  <c r="AJ21" i="19"/>
  <c r="Q23" i="22"/>
  <c r="Q16" i="22"/>
  <c r="F69" i="18"/>
  <c r="AS18" i="18" l="1"/>
  <c r="Y12" i="13"/>
  <c r="D17" i="13"/>
  <c r="Y16" i="13"/>
  <c r="Y20" i="13"/>
  <c r="AH69" i="18"/>
  <c r="T55" i="13"/>
  <c r="AD59" i="15"/>
  <c r="T18" i="19"/>
  <c r="T58" i="19" s="1"/>
  <c r="X18" i="19"/>
  <c r="X58" i="19" s="1"/>
  <c r="AN54" i="16"/>
  <c r="R55" i="16"/>
  <c r="AP59" i="15"/>
  <c r="AR58" i="19"/>
  <c r="AD56" i="17"/>
  <c r="J62" i="22"/>
  <c r="H26" i="18" s="1"/>
  <c r="D62" i="22"/>
  <c r="R62" i="22"/>
  <c r="R65" i="22"/>
  <c r="P21" i="19" s="1"/>
  <c r="F62" i="22"/>
  <c r="BA16" i="15" s="1"/>
  <c r="F25" i="24" s="1"/>
  <c r="R53" i="14"/>
  <c r="AB11" i="14"/>
  <c r="J53" i="14"/>
  <c r="F59" i="15"/>
  <c r="AZ11" i="15"/>
  <c r="N56" i="13"/>
  <c r="X12" i="13"/>
  <c r="V55" i="16"/>
  <c r="AN11" i="16"/>
  <c r="D18" i="7"/>
  <c r="BD18" i="7" s="1"/>
  <c r="C25" i="24" s="1"/>
  <c r="P17" i="19"/>
  <c r="AR11" i="19"/>
  <c r="F56" i="17"/>
  <c r="AN11" i="17"/>
  <c r="AR18" i="18"/>
  <c r="AN55" i="17"/>
  <c r="AR68" i="18"/>
  <c r="X12" i="20"/>
  <c r="F56" i="20"/>
  <c r="X56" i="20" s="1"/>
  <c r="V69" i="18"/>
  <c r="N56" i="17"/>
  <c r="F59" i="19"/>
  <c r="AJ19" i="7"/>
  <c r="AJ69" i="7" s="1"/>
  <c r="AJ70" i="7" s="1"/>
  <c r="F15" i="21" s="1"/>
  <c r="T14" i="22"/>
  <c r="T66" i="22" s="1"/>
  <c r="R66" i="22"/>
  <c r="P22" i="19" s="1"/>
  <c r="J30" i="24" s="1"/>
  <c r="E25" i="24"/>
  <c r="P52" i="14"/>
  <c r="P53" i="14" s="1"/>
  <c r="F30" i="21" s="1"/>
  <c r="G29" i="24"/>
  <c r="L55" i="13"/>
  <c r="E29" i="24"/>
  <c r="R27" i="22"/>
  <c r="T27" i="22" s="1"/>
  <c r="T26" i="22"/>
  <c r="T44" i="22"/>
  <c r="T28" i="22"/>
  <c r="R20" i="22"/>
  <c r="R43" i="22"/>
  <c r="T43" i="22" s="1"/>
  <c r="T42" i="22"/>
  <c r="T10" i="22"/>
  <c r="M39" i="22"/>
  <c r="O39" i="22"/>
  <c r="M47" i="22"/>
  <c r="O47" i="22"/>
  <c r="Q39" i="22"/>
  <c r="Q47" i="22"/>
  <c r="I16" i="22"/>
  <c r="S23" i="22"/>
  <c r="J11" i="22"/>
  <c r="D11" i="22"/>
  <c r="S47" i="22"/>
  <c r="G47" i="22"/>
  <c r="E47" i="22"/>
  <c r="I47" i="22"/>
  <c r="S39" i="22"/>
  <c r="F11" i="22"/>
  <c r="F19" i="24"/>
  <c r="H19" i="24"/>
  <c r="F21" i="24"/>
  <c r="L54" i="16"/>
  <c r="L55" i="16" s="1"/>
  <c r="F49" i="21" s="1"/>
  <c r="J19" i="24"/>
  <c r="T52" i="14"/>
  <c r="T53" i="14" s="1"/>
  <c r="F31" i="21" s="1"/>
  <c r="G25" i="24"/>
  <c r="Z59" i="19"/>
  <c r="AJ55" i="17"/>
  <c r="AJ56" i="17" s="1"/>
  <c r="AN18" i="19"/>
  <c r="P55" i="20"/>
  <c r="P56" i="20" s="1"/>
  <c r="F53" i="14"/>
  <c r="D16" i="14"/>
  <c r="D52" i="14" s="1"/>
  <c r="D59" i="19"/>
  <c r="F79" i="21" s="1"/>
  <c r="J59" i="15"/>
  <c r="H54" i="16"/>
  <c r="Q7" i="22"/>
  <c r="D29" i="24"/>
  <c r="T17" i="13"/>
  <c r="D25" i="24"/>
  <c r="AJ68" i="18"/>
  <c r="AN69" i="7"/>
  <c r="T17" i="20"/>
  <c r="K26" i="24" s="1"/>
  <c r="K25" i="24"/>
  <c r="P55" i="17"/>
  <c r="AF58" i="19"/>
  <c r="AF59" i="19" s="1"/>
  <c r="N55" i="16"/>
  <c r="AB58" i="15"/>
  <c r="AB59" i="15" s="1"/>
  <c r="F40" i="21" s="1"/>
  <c r="AB68" i="18"/>
  <c r="AB69" i="18" s="1"/>
  <c r="F73" i="21" s="1"/>
  <c r="C31" i="24"/>
  <c r="L31" i="24" s="1"/>
  <c r="E23" i="22"/>
  <c r="G23" i="22"/>
  <c r="K39" i="22"/>
  <c r="AB58" i="19"/>
  <c r="AB59" i="19" s="1"/>
  <c r="J56" i="17"/>
  <c r="R56" i="17"/>
  <c r="J55" i="16"/>
  <c r="V59" i="19"/>
  <c r="AB55" i="16"/>
  <c r="T54" i="16"/>
  <c r="T55" i="16" s="1"/>
  <c r="F51" i="21" s="1"/>
  <c r="L55" i="17"/>
  <c r="T68" i="18"/>
  <c r="K29" i="24"/>
  <c r="AJ16" i="16"/>
  <c r="AL59" i="15"/>
  <c r="J65" i="22"/>
  <c r="AR19" i="7"/>
  <c r="I39" i="24"/>
  <c r="L39" i="24" s="1"/>
  <c r="AH56" i="17"/>
  <c r="H55" i="17"/>
  <c r="F56" i="13"/>
  <c r="AL69" i="18"/>
  <c r="D69" i="18"/>
  <c r="G16" i="22"/>
  <c r="K16" i="22"/>
  <c r="S16" i="22"/>
  <c r="T59" i="15"/>
  <c r="F37" i="21" s="1"/>
  <c r="P59" i="15"/>
  <c r="F39" i="21" s="1"/>
  <c r="H58" i="15"/>
  <c r="H59" i="15" s="1"/>
  <c r="F35" i="21" s="1"/>
  <c r="AV58" i="15"/>
  <c r="AV59" i="15" s="1"/>
  <c r="AH59" i="15"/>
  <c r="AJ58" i="15"/>
  <c r="N58" i="15"/>
  <c r="AZ58" i="15" s="1"/>
  <c r="L17" i="15"/>
  <c r="L58" i="15" s="1"/>
  <c r="AJ18" i="19"/>
  <c r="AJ58" i="19" s="1"/>
  <c r="AJ59" i="19" s="1"/>
  <c r="L55" i="20"/>
  <c r="L56" i="20" s="1"/>
  <c r="H17" i="13"/>
  <c r="H55" i="13" s="1"/>
  <c r="AB16" i="17"/>
  <c r="D55" i="20"/>
  <c r="H55" i="20"/>
  <c r="H19" i="22"/>
  <c r="H19" i="7"/>
  <c r="AF68" i="18"/>
  <c r="L68" i="18"/>
  <c r="H11" i="22"/>
  <c r="AN17" i="15"/>
  <c r="AN58" i="15" s="1"/>
  <c r="AN59" i="15" s="1"/>
  <c r="F43" i="21" s="1"/>
  <c r="I39" i="22"/>
  <c r="E16" i="22"/>
  <c r="K23" i="22"/>
  <c r="P55" i="13"/>
  <c r="P56" i="13" s="1"/>
  <c r="AR58" i="15"/>
  <c r="H52" i="14"/>
  <c r="H53" i="14" s="1"/>
  <c r="F28" i="21" s="1"/>
  <c r="I23" i="22"/>
  <c r="AF69" i="7"/>
  <c r="AF58" i="15"/>
  <c r="P54" i="16"/>
  <c r="P55" i="16" s="1"/>
  <c r="F50" i="21" s="1"/>
  <c r="H21" i="22"/>
  <c r="G39" i="22"/>
  <c r="AN68" i="18"/>
  <c r="AN69" i="18" s="1"/>
  <c r="D55" i="13"/>
  <c r="D16" i="16"/>
  <c r="D54" i="16" s="1"/>
  <c r="AF54" i="16"/>
  <c r="AF55" i="17"/>
  <c r="R11" i="22"/>
  <c r="X54" i="16"/>
  <c r="X55" i="16" s="1"/>
  <c r="F52" i="21" s="1"/>
  <c r="L69" i="7"/>
  <c r="L70" i="7" s="1"/>
  <c r="F9" i="21" s="1"/>
  <c r="F68" i="21" l="1"/>
  <c r="Y17" i="13"/>
  <c r="Y55" i="13"/>
  <c r="AR69" i="18"/>
  <c r="K72" i="24"/>
  <c r="K73" i="24" s="1"/>
  <c r="AA55" i="13"/>
  <c r="H69" i="7"/>
  <c r="H70" i="7" s="1"/>
  <c r="F8" i="21" s="1"/>
  <c r="N59" i="15"/>
  <c r="R63" i="22"/>
  <c r="P18" i="19"/>
  <c r="H20" i="22"/>
  <c r="H57" i="22" s="1"/>
  <c r="H62" i="22"/>
  <c r="H65" i="22"/>
  <c r="P58" i="19"/>
  <c r="AS58" i="19" s="1"/>
  <c r="J63" i="22"/>
  <c r="H27" i="18" s="1"/>
  <c r="F63" i="22"/>
  <c r="BA17" i="15" s="1"/>
  <c r="F26" i="24" s="1"/>
  <c r="F65" i="22"/>
  <c r="BA20" i="15" s="1"/>
  <c r="F29" i="24" s="1"/>
  <c r="D63" i="22"/>
  <c r="D19" i="7" s="1"/>
  <c r="BD19" i="7" s="1"/>
  <c r="C26" i="24" s="1"/>
  <c r="AE52" i="14"/>
  <c r="AJ59" i="15"/>
  <c r="F42" i="21" s="1"/>
  <c r="N70" i="7"/>
  <c r="J70" i="7"/>
  <c r="AB53" i="14"/>
  <c r="AR59" i="19"/>
  <c r="AN56" i="17"/>
  <c r="X56" i="13"/>
  <c r="AN55" i="16"/>
  <c r="X59" i="19"/>
  <c r="F85" i="21" s="1"/>
  <c r="AF69" i="18"/>
  <c r="F74" i="21" s="1"/>
  <c r="L56" i="17"/>
  <c r="F60" i="21" s="1"/>
  <c r="H30" i="18"/>
  <c r="G26" i="24"/>
  <c r="G72" i="24" s="1"/>
  <c r="G73" i="24" s="1"/>
  <c r="T56" i="13"/>
  <c r="P56" i="17"/>
  <c r="F61" i="21" s="1"/>
  <c r="L56" i="13"/>
  <c r="F24" i="21" s="1"/>
  <c r="E26" i="24"/>
  <c r="E72" i="24" s="1"/>
  <c r="E73" i="24" s="1"/>
  <c r="L69" i="18"/>
  <c r="F70" i="21" s="1"/>
  <c r="AF55" i="16"/>
  <c r="F53" i="21" s="1"/>
  <c r="J57" i="22"/>
  <c r="R57" i="22"/>
  <c r="T11" i="22"/>
  <c r="T21" i="22"/>
  <c r="T19" i="22"/>
  <c r="T62" i="22" s="1"/>
  <c r="F57" i="22"/>
  <c r="I19" i="24"/>
  <c r="AR59" i="15"/>
  <c r="F44" i="21" s="1"/>
  <c r="D53" i="14"/>
  <c r="F27" i="21" s="1"/>
  <c r="F26" i="21" s="1"/>
  <c r="AN70" i="7"/>
  <c r="T69" i="18"/>
  <c r="F72" i="21" s="1"/>
  <c r="H55" i="16"/>
  <c r="F48" i="21" s="1"/>
  <c r="AJ69" i="18"/>
  <c r="F75" i="21" s="1"/>
  <c r="P68" i="18"/>
  <c r="AN58" i="19"/>
  <c r="AN59" i="19" s="1"/>
  <c r="T55" i="20"/>
  <c r="T56" i="20" s="1"/>
  <c r="AJ54" i="16"/>
  <c r="AQ54" i="16" s="1"/>
  <c r="C21" i="24"/>
  <c r="L21" i="24" s="1"/>
  <c r="I7" i="22"/>
  <c r="G7" i="22"/>
  <c r="E7" i="22"/>
  <c r="S7" i="22"/>
  <c r="AR69" i="7"/>
  <c r="L27" i="24"/>
  <c r="H56" i="17"/>
  <c r="F59" i="21" s="1"/>
  <c r="C19" i="24"/>
  <c r="K7" i="22"/>
  <c r="D26" i="24"/>
  <c r="D72" i="24" s="1"/>
  <c r="D73" i="24" s="1"/>
  <c r="AF70" i="7"/>
  <c r="F14" i="21" s="1"/>
  <c r="AB55" i="17"/>
  <c r="L59" i="15"/>
  <c r="F36" i="21" s="1"/>
  <c r="D55" i="16"/>
  <c r="F47" i="21" s="1"/>
  <c r="H56" i="13"/>
  <c r="F23" i="21" s="1"/>
  <c r="AF59" i="15"/>
  <c r="F41" i="21" s="1"/>
  <c r="D56" i="20"/>
  <c r="F88" i="21" s="1"/>
  <c r="D56" i="13"/>
  <c r="T59" i="19"/>
  <c r="F84" i="21" s="1"/>
  <c r="AF56" i="17"/>
  <c r="F65" i="21" s="1"/>
  <c r="H56" i="20"/>
  <c r="F89" i="21" s="1"/>
  <c r="F22" i="21" l="1"/>
  <c r="F21" i="21" s="1"/>
  <c r="Y56" i="13"/>
  <c r="L19" i="24"/>
  <c r="AZ59" i="15"/>
  <c r="AA55" i="20"/>
  <c r="T20" i="22"/>
  <c r="T63" i="22" s="1"/>
  <c r="H63" i="22"/>
  <c r="D55" i="17" s="1"/>
  <c r="AO55" i="17" s="1"/>
  <c r="BC12" i="7"/>
  <c r="L18" i="24"/>
  <c r="I73" i="24"/>
  <c r="F11" i="25"/>
  <c r="AR70" i="7"/>
  <c r="F17" i="21" s="1"/>
  <c r="P69" i="18"/>
  <c r="F71" i="21" s="1"/>
  <c r="F72" i="24"/>
  <c r="F73" i="24" s="1"/>
  <c r="AB56" i="17"/>
  <c r="F64" i="21" s="1"/>
  <c r="L59" i="19"/>
  <c r="F81" i="21" s="1"/>
  <c r="AJ55" i="16"/>
  <c r="F54" i="21" s="1"/>
  <c r="F46" i="21" s="1"/>
  <c r="D58" i="15"/>
  <c r="F87" i="21"/>
  <c r="C11" i="25"/>
  <c r="J11" i="25"/>
  <c r="BC58" i="15" l="1"/>
  <c r="BA58" i="15"/>
  <c r="H72" i="24"/>
  <c r="H73" i="24" s="1"/>
  <c r="AQ55" i="17"/>
  <c r="H69" i="18"/>
  <c r="AU68" i="18"/>
  <c r="D11" i="25"/>
  <c r="L25" i="24"/>
  <c r="D56" i="17"/>
  <c r="H59" i="19"/>
  <c r="F80" i="21" s="1"/>
  <c r="D59" i="15"/>
  <c r="J72" i="24"/>
  <c r="J73" i="24" s="1"/>
  <c r="AU58" i="19"/>
  <c r="G11" i="25"/>
  <c r="F57" i="21" l="1"/>
  <c r="F56" i="21" s="1"/>
  <c r="AO56" i="17"/>
  <c r="F69" i="21"/>
  <c r="F67" i="21" s="1"/>
  <c r="F34" i="21"/>
  <c r="F33" i="21" s="1"/>
  <c r="BA59" i="15"/>
  <c r="L26" i="24"/>
  <c r="H11" i="25"/>
  <c r="E11" i="25"/>
  <c r="P59" i="19"/>
  <c r="AS59" i="19" s="1"/>
  <c r="F83" i="21" l="1"/>
  <c r="F78" i="21" s="1"/>
  <c r="I11" i="25"/>
  <c r="D65" i="22" l="1"/>
  <c r="D22" i="7" s="1"/>
  <c r="BC70" i="7"/>
  <c r="D57" i="22"/>
  <c r="T13" i="22"/>
  <c r="L30" i="24"/>
  <c r="D69" i="7" l="1"/>
  <c r="BD22" i="7"/>
  <c r="C29" i="24" s="1"/>
  <c r="C72" i="24" s="1"/>
  <c r="T65" i="22"/>
  <c r="T57" i="22"/>
  <c r="X14" i="22"/>
  <c r="L29" i="24"/>
  <c r="L72" i="24" s="1"/>
  <c r="BF69" i="7" l="1"/>
  <c r="BD69" i="7"/>
  <c r="D70" i="7"/>
  <c r="F7" i="21" l="1"/>
  <c r="F6" i="21" s="1"/>
  <c r="F3" i="21" s="1"/>
  <c r="BD70" i="7"/>
  <c r="G67" i="21"/>
  <c r="G33" i="21"/>
  <c r="G46" i="21"/>
  <c r="G78" i="21"/>
  <c r="G21" i="21"/>
  <c r="G6" i="21"/>
  <c r="G87" i="21"/>
  <c r="G26" i="21"/>
  <c r="G56" i="21"/>
  <c r="B11" i="25"/>
  <c r="K11" i="25" s="1"/>
  <c r="C73" i="24"/>
  <c r="L73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B30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400-000002000000}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A4" authorId="0" shapeId="0" xr:uid="{00000000-0006-0000-0D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D00-000002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0" shapeId="0" xr:uid="{00000000-0006-0000-0D00-000003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Overført lønn ført på på Prosjekt 81200 - NBA -Turneringer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00000000-0006-0000-0D00-000004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A4" authorId="0" shapeId="0" xr:uid="{00000000-0006-0000-0E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 xr:uid="{00000000-0006-0000-0E00-000002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 shapeId="0" xr:uid="{00000000-0006-0000-0E00-000003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 xr:uid="{00000000-0006-0000-0E00-000004000000}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B31" authorId="0" shapeId="0" xr:uid="{00000000-0006-0000-0500-000001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500-000002000000}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  <author>Aleksander Nilsen</author>
  </authors>
  <commentList>
    <comment ref="A4" authorId="0" shapeId="0" xr:uid="{00000000-0006-0000-06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6" authorId="0" shapeId="0" xr:uid="{00000000-0006-0000-0600-000002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Flyttet fra konto 3410 i regnskap</t>
        </r>
      </text>
    </comment>
    <comment ref="BB10" authorId="0" shapeId="0" xr:uid="{00000000-0006-0000-0600-000003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Flyttet fra konto 3400 i regnskap</t>
        </r>
      </text>
    </comment>
    <comment ref="AT11" authorId="0" shapeId="0" xr:uid="{00000000-0006-0000-0600-000004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Flyttet fra konto 3950 i regnskap</t>
        </r>
      </text>
    </comment>
    <comment ref="A13" authorId="0" shapeId="0" xr:uid="{00000000-0006-0000-0600-000005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 xr:uid="{00000000-0006-0000-0600-000006000000}">
      <text>
        <r>
          <rPr>
            <b/>
            <sz val="14"/>
            <color indexed="81"/>
            <rFont val="Tahoma"/>
            <family val="2"/>
          </rPr>
          <t>Thode, Bjorn Christian:</t>
        </r>
        <r>
          <rPr>
            <sz val="14"/>
            <color indexed="81"/>
            <rFont val="Tahoma"/>
            <family val="2"/>
          </rPr>
          <t xml:space="preserve">
Sum av konto 5211+5280+5297</t>
        </r>
      </text>
    </comment>
    <comment ref="F23" authorId="0" shapeId="0" xr:uid="{00000000-0006-0000-0600-000007000000}">
      <text>
        <r>
          <rPr>
            <b/>
            <sz val="12"/>
            <color indexed="81"/>
            <rFont val="Tahoma"/>
            <family val="2"/>
          </rPr>
          <t xml:space="preserve">Thode, Bjorn Christian:
</t>
        </r>
        <r>
          <rPr>
            <sz val="12"/>
            <color indexed="81"/>
            <rFont val="Tahoma"/>
            <family val="2"/>
          </rPr>
          <t xml:space="preserve">Konto 5990 i budsjett er korrigert til konto 5420 i regnskapet. Avvik mellom budsjett på prosjekt 10000 og resultat skyldes av pensjonskostnad er plassert 100 % på prosjekt 10000 (se lønnsmatrise)
</t>
        </r>
      </text>
    </comment>
    <comment ref="C24" authorId="0" shapeId="0" xr:uid="{00000000-0006-0000-0600-000008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7" authorId="1" shapeId="0" xr:uid="{00000000-0006-0000-0600-000009000000}">
      <text>
        <r>
          <rPr>
            <b/>
            <sz val="9"/>
            <color indexed="81"/>
            <rFont val="Tahoma"/>
            <family val="2"/>
          </rPr>
          <t>Aleksander Nilsen:</t>
        </r>
        <r>
          <rPr>
            <sz val="9"/>
            <color indexed="81"/>
            <rFont val="Tahoma"/>
            <family val="2"/>
          </rPr>
          <t xml:space="preserve">
Alek
Bendik
TBK
Sjurd
Noel
Stig
NHH?
</t>
        </r>
      </text>
    </comment>
    <comment ref="L48" authorId="1" shapeId="0" xr:uid="{00000000-0006-0000-0600-00000A000000}">
      <text>
        <r>
          <rPr>
            <b/>
            <sz val="9"/>
            <color indexed="81"/>
            <rFont val="Tahoma"/>
            <family val="2"/>
          </rPr>
          <t>Aleksander Nilsen:</t>
        </r>
        <r>
          <rPr>
            <sz val="9"/>
            <color indexed="81"/>
            <rFont val="Tahoma"/>
            <family val="2"/>
          </rPr>
          <t xml:space="preserve">
Alek
bendik
TBK
Sjurd
Stig
Noel
Andy
Henrik
Mari
</t>
        </r>
      </text>
    </comment>
    <comment ref="F56" authorId="0" shapeId="0" xr:uid="{00000000-0006-0000-0600-00000B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ESF-kontingent - Plassert på feil prosjekt, skulle vært på prosjekt 30000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A4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 xr:uid="{00000000-0006-0000-0700-000002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 shapeId="0" xr:uid="{00000000-0006-0000-0700-000003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2" authorId="0" shapeId="0" xr:uid="{00000000-0006-0000-0700-000004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Plassert på feil konto, skulle ha vært rekvisita (kjøp av pop-up telt til  stand)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 xr:uid="{00000000-0006-0000-0700-000005000000}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  <author>Bjørn Christian Thode</author>
  </authors>
  <commentList>
    <comment ref="A4" authorId="0" shapeId="0" xr:uid="{00000000-0006-0000-08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800-000002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 shapeId="0" xr:uid="{00000000-0006-0000-0800-000003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7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 xml:space="preserve">Resultat CEB/ESF-kongress 2017
</t>
        </r>
        <r>
          <rPr>
            <sz val="9"/>
            <color indexed="81"/>
            <rFont val="Tahoma"/>
            <family val="2"/>
          </rPr>
          <t xml:space="preserve">7100: kr 420,-
7110: kr 9 307,-
7141: kr 4 241,25
7145: kr 1 411,20
</t>
        </r>
        <r>
          <rPr>
            <u/>
            <sz val="9"/>
            <color indexed="81"/>
            <rFont val="Tahoma"/>
            <family val="2"/>
          </rPr>
          <t>7162: kr 511,43</t>
        </r>
        <r>
          <rPr>
            <sz val="9"/>
            <color indexed="81"/>
            <rFont val="Tahoma"/>
            <family val="2"/>
          </rPr>
          <t xml:space="preserve">
Totalt kr 15 890,88</t>
        </r>
      </text>
    </comment>
    <comment ref="V37" authorId="0" shapeId="0" xr:uid="{00000000-0006-0000-0800-000005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Opprettet eget prosjektnummer for CEB/ESF-kongress (se prosjekt 32000)</t>
        </r>
      </text>
    </comment>
    <comment ref="F43" authorId="0" shapeId="0" xr:uid="{00000000-0006-0000-0800-000006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kr 2482,- skulle vært ført mot progjekt 6000 da dette er Little League kontingent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A4" authorId="0" shapeId="0" xr:uid="{00000000-0006-0000-09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900-000002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 shapeId="0" xr:uid="{00000000-0006-0000-0900-000003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" authorId="0" shapeId="0" xr:uid="{00000000-0006-0000-0900-000004000000}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 xr:uid="{00000000-0006-0000-0900-000005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Andy Johnson, klubbmøte Sandefjord</t>
        </r>
      </text>
    </comment>
    <comment ref="F44" authorId="0" shapeId="0" xr:uid="{00000000-0006-0000-0900-000006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Andy Johnson Sandefjord, EBCA Convention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A4" authorId="0" shapeId="0" xr:uid="{00000000-0006-0000-0A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A00-000002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 shapeId="0" xr:uid="{00000000-0006-0000-0A00-000003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 shapeId="0" xr:uid="{00000000-0006-0000-0A00-000004000000}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A4" authorId="0" shapeId="0" xr:uid="{00000000-0006-0000-0B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B00-000002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 shapeId="0" xr:uid="{00000000-0006-0000-0B00-000003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 xr:uid="{00000000-0006-0000-0B00-000004000000}">
      <text>
        <r>
          <rPr>
            <b/>
            <sz val="12"/>
            <color indexed="81"/>
            <rFont val="Tahoma"/>
            <family val="2"/>
          </rPr>
          <t>Thode, Bjorn Christian:</t>
        </r>
        <r>
          <rPr>
            <sz val="12"/>
            <color indexed="81"/>
            <rFont val="Tahoma"/>
            <family val="2"/>
          </rPr>
          <t xml:space="preserve">
Kr 6003,98 overført fra konto 4340 - Varekostnad, dette er feilført i regnskapet og skulle vært ført mot prosjekt 70000 da dette blant annet gjelder kampballer</t>
        </r>
      </text>
    </comment>
    <comment ref="C32" authorId="0" shapeId="0" xr:uid="{00000000-0006-0000-0B00-000005000000}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Thode, Bjorn Christian</author>
  </authors>
  <commentList>
    <comment ref="A4" authorId="0" shapeId="0" xr:uid="{00000000-0006-0000-0C00-000001000000}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 shapeId="0" xr:uid="{00000000-0006-0000-0C00-000002000000}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 shapeId="0" xr:uid="{00000000-0006-0000-0C00-000003000000}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5" authorId="0" shapeId="0" xr:uid="{00000000-0006-0000-0C00-000004000000}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<sst xmlns="http://schemas.openxmlformats.org/spreadsheetml/2006/main" count="1572" uniqueCount="377">
  <si>
    <t>Konto</t>
  </si>
  <si>
    <t>Administrasjon</t>
  </si>
  <si>
    <t>Spillerutstyr</t>
  </si>
  <si>
    <t>Salg utstyr</t>
  </si>
  <si>
    <t>Sponsorinntekter</t>
  </si>
  <si>
    <t>Andre tilskudd</t>
  </si>
  <si>
    <t>Rammetilskudd NIF</t>
  </si>
  <si>
    <t>Seminarer etc</t>
  </si>
  <si>
    <t>Egenandeler</t>
  </si>
  <si>
    <t>Annen inntekt</t>
  </si>
  <si>
    <t>Lønn til ansatte</t>
  </si>
  <si>
    <t>Diverse lønn</t>
  </si>
  <si>
    <t>Honorar inkl. feriepenger</t>
  </si>
  <si>
    <t>Feriepenger beregnet</t>
  </si>
  <si>
    <t>Arbeidsgiveravgift påløpte feriepenger</t>
  </si>
  <si>
    <t>Mobiltelefon (regnskap)</t>
  </si>
  <si>
    <t>Fri telefon</t>
  </si>
  <si>
    <t>Andre personalkostnader</t>
  </si>
  <si>
    <t>Leie lokaler</t>
  </si>
  <si>
    <t>Leie transportmidler</t>
  </si>
  <si>
    <t>Driftsmateriale</t>
  </si>
  <si>
    <t>Rekvisita</t>
  </si>
  <si>
    <t>Kontorrekvisita</t>
  </si>
  <si>
    <t>Kopiering/trykking/trykksaker</t>
  </si>
  <si>
    <t>Aviser og tidsskrifter, bøker o l</t>
  </si>
  <si>
    <t>Møte, kurs, oppdatering o l</t>
  </si>
  <si>
    <t>Internett/IT</t>
  </si>
  <si>
    <t>Drivstoff</t>
  </si>
  <si>
    <t>KM-godtgjørelse, oppgavepliktig</t>
  </si>
  <si>
    <t>Passasjertillegg, oppgavepliktig</t>
  </si>
  <si>
    <t>Flyreiser</t>
  </si>
  <si>
    <t>Hotell</t>
  </si>
  <si>
    <t>Andre reisekostnader</t>
  </si>
  <si>
    <t>Bespisning</t>
  </si>
  <si>
    <t>Markedsføringskostnad</t>
  </si>
  <si>
    <t>Representasjon</t>
  </si>
  <si>
    <t>Kontingenter</t>
  </si>
  <si>
    <t>Deltakeravgift</t>
  </si>
  <si>
    <t>Tilskudd idrettslag</t>
  </si>
  <si>
    <t>Gaver/premier</t>
  </si>
  <si>
    <t>Baneutviklingskostnader</t>
  </si>
  <si>
    <t>Forsikringspremie</t>
  </si>
  <si>
    <t>Øredifferanser*</t>
  </si>
  <si>
    <t>Bank og kortgebyrer</t>
  </si>
  <si>
    <t>Andre gebyrer</t>
  </si>
  <si>
    <t>Inntekter</t>
  </si>
  <si>
    <t>Utgifter</t>
  </si>
  <si>
    <t>Kontonavn</t>
  </si>
  <si>
    <t>Arbeidsgiveravgift 14,1 %</t>
  </si>
  <si>
    <t>Porto/fraktkostnader</t>
  </si>
  <si>
    <t>Toll, MVA og spedisjonskostnad</t>
  </si>
  <si>
    <t>Resultat (+ = underskudd / - = overskudd)</t>
  </si>
  <si>
    <t>TOTALSUM</t>
  </si>
  <si>
    <t>Generelt</t>
  </si>
  <si>
    <t>Styremøter</t>
  </si>
  <si>
    <t>Generalforsamling</t>
  </si>
  <si>
    <t>Markedstiltak</t>
  </si>
  <si>
    <t>Utviklingsrettet styrearbeid</t>
  </si>
  <si>
    <t>Spillerutvikling</t>
  </si>
  <si>
    <t>Trenerutvikling</t>
  </si>
  <si>
    <t>Dommerutvikling</t>
  </si>
  <si>
    <t>Scorekeeperutvikling</t>
  </si>
  <si>
    <t>Støtteordninger</t>
  </si>
  <si>
    <t>Oppstartsstøtte til klubber</t>
  </si>
  <si>
    <t>Søknader fra klubber</t>
  </si>
  <si>
    <t>Baseball camps</t>
  </si>
  <si>
    <t>Reisestøtte</t>
  </si>
  <si>
    <t>Treningssamlinger</t>
  </si>
  <si>
    <t>Turnering</t>
  </si>
  <si>
    <t>Støtte til anlegg</t>
  </si>
  <si>
    <t>Kommentar</t>
  </si>
  <si>
    <t>Busjett2016</t>
  </si>
  <si>
    <t>Resultat 2015</t>
  </si>
  <si>
    <t>SUM INTEKTER</t>
  </si>
  <si>
    <t>SUM UTGIFTER</t>
  </si>
  <si>
    <t xml:space="preserve"> = celler som IKKe skal fylls inn</t>
  </si>
  <si>
    <t xml:space="preserve"> = celler som skal fylles inn</t>
  </si>
  <si>
    <t>Klubb kostnader</t>
  </si>
  <si>
    <t>Barn og Ungdommskomiteen</t>
  </si>
  <si>
    <t>Utstyrsstøtte</t>
  </si>
  <si>
    <t>Skole/SFO besøk</t>
  </si>
  <si>
    <t>Felles konkuransekostnader</t>
  </si>
  <si>
    <t>Norgs Baseball Akademi</t>
  </si>
  <si>
    <t>Generell Landslag</t>
  </si>
  <si>
    <t>1xxxx</t>
  </si>
  <si>
    <t>Generell</t>
  </si>
  <si>
    <t>2xxxx</t>
  </si>
  <si>
    <t>Ekstern kommunikasjon</t>
  </si>
  <si>
    <t>Lagledermøte</t>
  </si>
  <si>
    <t>3xxxx</t>
  </si>
  <si>
    <t>Forbundsutvikling</t>
  </si>
  <si>
    <t>4xxxx</t>
  </si>
  <si>
    <t>Rekruteringstiltk</t>
  </si>
  <si>
    <t>Utviklingstiltak</t>
  </si>
  <si>
    <t>5xxxx</t>
  </si>
  <si>
    <t>Klubbutvikling</t>
  </si>
  <si>
    <t>Klubbkostnader</t>
  </si>
  <si>
    <t>6xxxx</t>
  </si>
  <si>
    <t>Barn og Ungdom</t>
  </si>
  <si>
    <t>Barn og ungdommskomiteen</t>
  </si>
  <si>
    <t>Utstyrsstøte</t>
  </si>
  <si>
    <t>7xxxx</t>
  </si>
  <si>
    <t>Konkuranse</t>
  </si>
  <si>
    <t>8xxxx</t>
  </si>
  <si>
    <t>9xxxx</t>
  </si>
  <si>
    <t>Elite</t>
  </si>
  <si>
    <t xml:space="preserve"> Anlegg og infrastruktur </t>
  </si>
  <si>
    <t>Norges Baseball akaemi</t>
  </si>
  <si>
    <t>Markedtiltakk</t>
  </si>
  <si>
    <t>Prosjekt nr.</t>
  </si>
  <si>
    <t>Prosjekt navn</t>
  </si>
  <si>
    <t xml:space="preserve">Hoved </t>
  </si>
  <si>
    <t>NSBF Total</t>
  </si>
  <si>
    <t>ANSATT</t>
  </si>
  <si>
    <t>THODE, Bjørn Chistian</t>
  </si>
  <si>
    <t>JOHNSON, Andy</t>
  </si>
  <si>
    <t>BACH, Brian</t>
  </si>
  <si>
    <t>Utvilingstiltak</t>
  </si>
  <si>
    <t>Barn og ung</t>
  </si>
  <si>
    <t>Norges baseball Akademi</t>
  </si>
  <si>
    <t>Landslag generell</t>
  </si>
  <si>
    <t>kr</t>
  </si>
  <si>
    <t>Konto Navn</t>
  </si>
  <si>
    <t>TOTAL Ansatt</t>
  </si>
  <si>
    <t>Prosent ansatt total</t>
  </si>
  <si>
    <t xml:space="preserve">TOTAL PROSJEKT </t>
  </si>
  <si>
    <t>510xx</t>
  </si>
  <si>
    <t>Spesifikk klubbkostnader</t>
  </si>
  <si>
    <t>NMB</t>
  </si>
  <si>
    <t>YBC</t>
  </si>
  <si>
    <t>Little League</t>
  </si>
  <si>
    <t>WBC</t>
  </si>
  <si>
    <t>Little league</t>
  </si>
  <si>
    <t>Konkurranse</t>
  </si>
  <si>
    <t>Total lønn</t>
  </si>
  <si>
    <t>Lotteri- og bingoinnteker</t>
  </si>
  <si>
    <t>VOX-midler</t>
  </si>
  <si>
    <t>Felleskostnader kontor</t>
  </si>
  <si>
    <t>Revisjonshonorar</t>
  </si>
  <si>
    <t>Regnskapshonorar</t>
  </si>
  <si>
    <t>Juridisk bistand</t>
  </si>
  <si>
    <t>Telefon</t>
  </si>
  <si>
    <t>DEB</t>
  </si>
  <si>
    <t>Frakt bat-cage</t>
  </si>
  <si>
    <t>Post 3</t>
  </si>
  <si>
    <t>Lønnsjusteringskonto</t>
  </si>
  <si>
    <t>Klubbkontigenter</t>
  </si>
  <si>
    <t>Serie avgift</t>
  </si>
  <si>
    <t>Spillerlisense</t>
  </si>
  <si>
    <t>Spiller lisens utvidet</t>
  </si>
  <si>
    <t>Utgiftsførte anleggsmidler</t>
  </si>
  <si>
    <t>Dommerkostnader</t>
  </si>
  <si>
    <t>Andre peronsalkostnader</t>
  </si>
  <si>
    <t>Elektronisk kommunikasjon</t>
  </si>
  <si>
    <t>Hodestøtte for aktive barn og ungdommer</t>
  </si>
  <si>
    <t>Hodestøtte for Softballmedlemmer</t>
  </si>
  <si>
    <t>Hodestøtte aktive barn og ungdommer</t>
  </si>
  <si>
    <t>Hødestøtte Softball medlemmer</t>
  </si>
  <si>
    <t>Reisestøtte konkuranse</t>
  </si>
  <si>
    <t>Diverse søknader</t>
  </si>
  <si>
    <t>school outreach</t>
  </si>
  <si>
    <t>Leie av innedørshall</t>
  </si>
  <si>
    <t>balller</t>
  </si>
  <si>
    <t>Facebook og internett reklamering</t>
  </si>
  <si>
    <t>Generell admin. Det meste av BC sn lønn samt verktøy BC trenger for å gjøre hans jobb.</t>
  </si>
  <si>
    <t>drift av web</t>
  </si>
  <si>
    <t>Oppblåsbar batting cage frakt til arrangement</t>
  </si>
  <si>
    <t xml:space="preserve">Diverse søknader fra klubber </t>
  </si>
  <si>
    <t xml:space="preserve">Trenere til skole besøk </t>
  </si>
  <si>
    <t>Støtte til klubber til drifting av baseball camps</t>
  </si>
  <si>
    <t>utstyr til barnelag kan søkes gjennom klubbutvikling også.</t>
  </si>
  <si>
    <t>Noel sine utgifter</t>
  </si>
  <si>
    <t>Administrasjon og inntektsposter</t>
  </si>
  <si>
    <t>Utviklingsorientert barne- og ungdomsidrett</t>
  </si>
  <si>
    <t>Bingo</t>
  </si>
  <si>
    <t>rammentilskudd</t>
  </si>
  <si>
    <t>Rammetilskudd</t>
  </si>
  <si>
    <t>VOX midler</t>
  </si>
  <si>
    <t>NSBF-anlegg</t>
  </si>
  <si>
    <t>Norwegian Coaches Clinic</t>
  </si>
  <si>
    <t>Trener 1 kurs</t>
  </si>
  <si>
    <t>1XXXX</t>
  </si>
  <si>
    <t>2XXXX</t>
  </si>
  <si>
    <t>3XXXX</t>
  </si>
  <si>
    <t>4XXXX</t>
  </si>
  <si>
    <t>5XXXX</t>
  </si>
  <si>
    <t>6XXXX</t>
  </si>
  <si>
    <t>8XXXX</t>
  </si>
  <si>
    <t>9XXXX</t>
  </si>
  <si>
    <t>7XXXX</t>
  </si>
  <si>
    <t>INTEKTER</t>
  </si>
  <si>
    <t>TOTAL</t>
  </si>
  <si>
    <t>BINGO</t>
  </si>
  <si>
    <t>VOX</t>
  </si>
  <si>
    <t>Moms komp</t>
  </si>
  <si>
    <t>Finans</t>
  </si>
  <si>
    <t>sponsor</t>
  </si>
  <si>
    <t>UTGIFTER</t>
  </si>
  <si>
    <t>JA</t>
  </si>
  <si>
    <t>BANK RESERVER</t>
  </si>
  <si>
    <t>Denne oversikt over vise totalt de forskjellige inntektskildene våre</t>
  </si>
  <si>
    <t>Tabellen over viser hvor vi har lov å bruke pengene fra de forskjellige inntektskildene.</t>
  </si>
  <si>
    <t>Busjett2017</t>
  </si>
  <si>
    <t>Resultat 2016</t>
  </si>
  <si>
    <t>Trondheim Kids Camp</t>
  </si>
  <si>
    <t>Eliteserien</t>
  </si>
  <si>
    <t>Forbundsserien</t>
  </si>
  <si>
    <t>* noen lag slipper klubbkontigent og seriekontigent</t>
  </si>
  <si>
    <t>NBO Trondheim</t>
  </si>
  <si>
    <t>baller</t>
  </si>
  <si>
    <t>Forbundsserie</t>
  </si>
  <si>
    <t>Eliteserie</t>
  </si>
  <si>
    <t>MVA kompensasjon</t>
  </si>
  <si>
    <t>Tilskudd- Spillemidler til utstyr</t>
  </si>
  <si>
    <t>Funksjonshemmde</t>
  </si>
  <si>
    <t>30 nye barn</t>
  </si>
  <si>
    <t>20 nye softball medlemmer</t>
  </si>
  <si>
    <t>2000kr*12 lag</t>
  </si>
  <si>
    <t>Starter-kits</t>
  </si>
  <si>
    <t>Norges Baseballakademi - treningssamlinger</t>
  </si>
  <si>
    <t>Norges Baseballakademi - turneringer</t>
  </si>
  <si>
    <t>Norges Baseballakademi - generell</t>
  </si>
  <si>
    <t>Landslag baseball - generell</t>
  </si>
  <si>
    <t>Landslag baseball - treningssamlinger</t>
  </si>
  <si>
    <t>Landslag baseball - turneringer</t>
  </si>
  <si>
    <t>Post 2 - Grunntilskudd</t>
  </si>
  <si>
    <t>Post 2 - Utviklingsorientert ungdomsidrett</t>
  </si>
  <si>
    <t>Trenerløypa - Trener 1</t>
  </si>
  <si>
    <t>Forbundsgenerelle Sponsorinntekter</t>
  </si>
  <si>
    <t>Rekruteringstiltak</t>
  </si>
  <si>
    <t>Oslo Summer Camp</t>
  </si>
  <si>
    <t>Norgs Baseball Akademi - Treningssamlinger</t>
  </si>
  <si>
    <t>NIF IT</t>
  </si>
  <si>
    <t>Post 2 midler</t>
  </si>
  <si>
    <t>Post 3 Utv. Or barn og ungdom</t>
  </si>
  <si>
    <t>2 biler fra KRS OSL</t>
  </si>
  <si>
    <t>T-bane og flybuss</t>
  </si>
  <si>
    <t>7 deltagere får dekke fly reiser</t>
  </si>
  <si>
    <t>10 deltagere får dekket hotell</t>
  </si>
  <si>
    <t>8 deltagere får dekke fly reiser</t>
  </si>
  <si>
    <t>10 deltagere får dekket hotel</t>
  </si>
  <si>
    <t>bilerfraKRS</t>
  </si>
  <si>
    <t>Trenerløypa - Trener 2</t>
  </si>
  <si>
    <t>Modul 1 og 2</t>
  </si>
  <si>
    <t xml:space="preserve"> = celler som IKKE skal fylls inn</t>
  </si>
  <si>
    <t>Kurs deltagelse og utstyr</t>
  </si>
  <si>
    <t>school outreach equip</t>
  </si>
  <si>
    <t>"Åpenedager"</t>
  </si>
  <si>
    <t>Scorekeeping PW</t>
  </si>
  <si>
    <t>sending av baller I post</t>
  </si>
  <si>
    <t>dommere</t>
  </si>
  <si>
    <t>Oslo summer camp</t>
  </si>
  <si>
    <t>REDUSERTE utstyrinnkjøp</t>
  </si>
  <si>
    <t>Halverte reisebudsjett</t>
  </si>
  <si>
    <t>Konkuranse intekter</t>
  </si>
  <si>
    <t>Elite intekter</t>
  </si>
  <si>
    <t>Div. egenandeler</t>
  </si>
  <si>
    <t xml:space="preserve">Post 3 </t>
  </si>
  <si>
    <t>Teknisk Direktør</t>
  </si>
  <si>
    <t>Head Scorekeeper</t>
  </si>
  <si>
    <t>Kommentarer</t>
  </si>
  <si>
    <t>Konkurranse-kostnader</t>
  </si>
  <si>
    <t>33 % av husleie for 15m2 på Ullevål. Rugbyforbundet betaler 67 %</t>
  </si>
  <si>
    <t>33 % av felleskost for kontorleie på Ullevål. Rugbyforbundet betaler 67 %</t>
  </si>
  <si>
    <t>Lagt inn budsjett for ett "live" styremøte, just in case</t>
  </si>
  <si>
    <t>Tre styremedl. Fly</t>
  </si>
  <si>
    <t>Bespisning ifm et felles live styrmøte</t>
  </si>
  <si>
    <t>Styremiddag, lunsj lørdag, snacks søndag</t>
  </si>
  <si>
    <t>Confluence + Typeform</t>
  </si>
  <si>
    <t>Kontingent til CEB, ESF og WSBC</t>
  </si>
  <si>
    <t>NSBF-konferansen</t>
  </si>
  <si>
    <t>Mat til møte og styremiddag og fest</t>
  </si>
  <si>
    <t>Forbundsmøter</t>
  </si>
  <si>
    <t>Dommerhonorar u.feriepenger</t>
  </si>
  <si>
    <t>Scorekeeperhonorar u.feriepenger</t>
  </si>
  <si>
    <t>5 kamper</t>
  </si>
  <si>
    <t>15 kamper</t>
  </si>
  <si>
    <t>Styrekostnader</t>
  </si>
  <si>
    <t>Styrehonorar etterbetalt</t>
  </si>
  <si>
    <t>8000 til president, 5000 til VP, 1000 per styremedlem som har deltatt på 10 møter eller mer</t>
  </si>
  <si>
    <t>Forbundserien</t>
  </si>
  <si>
    <t>NSBF konferansen</t>
  </si>
  <si>
    <t xml:space="preserve">KRSND training if needed due to inclement weather. </t>
  </si>
  <si>
    <t>Resultat 2017</t>
  </si>
  <si>
    <t>Innberetningspliktig pensjonskotnad</t>
  </si>
  <si>
    <t>Annen kostnad</t>
  </si>
  <si>
    <t>Tap på fordringer</t>
  </si>
  <si>
    <t>Renteinntekter skattefrie</t>
  </si>
  <si>
    <t>Andre rente- og finanskostnader</t>
  </si>
  <si>
    <t>Nasjonale og regionale møter</t>
  </si>
  <si>
    <t>Årsavslutning</t>
  </si>
  <si>
    <t>Internasjonale møter/seminar</t>
  </si>
  <si>
    <t>Andre fremmedtjenester</t>
  </si>
  <si>
    <t>CEB/ESF-kongress</t>
  </si>
  <si>
    <t>Utviklingstiltak funksjonshemmede</t>
  </si>
  <si>
    <t>Spillerlisenser</t>
  </si>
  <si>
    <t>Spillerlisenser - utvidet</t>
  </si>
  <si>
    <t>NM-avgift</t>
  </si>
  <si>
    <t>NMSB</t>
  </si>
  <si>
    <t>Anleggsutvikling- støtte</t>
  </si>
  <si>
    <t>Dommerhonorar u. feriepenger</t>
  </si>
  <si>
    <t>Nasjonale og regionnale møter</t>
  </si>
  <si>
    <t>Internasjonale møter/seminarer</t>
  </si>
  <si>
    <t>Markedtiltak</t>
  </si>
  <si>
    <t>Busjett 2018</t>
  </si>
  <si>
    <t>Busjett2018</t>
  </si>
  <si>
    <t>5000kr til andre Styretiltak</t>
  </si>
  <si>
    <t>2000kr til andre tiltak</t>
  </si>
  <si>
    <t>1500kr til andre tiltak</t>
  </si>
  <si>
    <t>utgift i % av totale utgifter</t>
  </si>
  <si>
    <t>For budsjett</t>
  </si>
  <si>
    <t>For Budsjett</t>
  </si>
  <si>
    <t>Utgifter til styrets arbeid med langsiktig planlegging</t>
  </si>
  <si>
    <t xml:space="preserve"> Klubbutviklingskurs i regi av NIF x 5</t>
  </si>
  <si>
    <t>Øremerkede midler over Post 3 til tiltak for funksjonehemmede</t>
  </si>
  <si>
    <t>Reisestøtte som annonsert på hjemmesiden.</t>
  </si>
  <si>
    <t>Hodestøtte  for softballmedlemmer, som annonsert på nettsidenen</t>
  </si>
  <si>
    <t>Hodestøtte  for barn og ungdommer, som annonsert på nettsidenen</t>
  </si>
  <si>
    <t>Funksjonshemmende</t>
  </si>
  <si>
    <t>Reistøtte konkuranse</t>
  </si>
  <si>
    <t>Revidert fra 2017. 2-3 kurs rettet mot barn og ungdom, hvor det blant annet hentes inn instruktør fra utlandet.</t>
  </si>
  <si>
    <t>utstyr som brukes av trener som besøker skoler. Pluss kompensasjon av tid for trenere/instruktører</t>
  </si>
  <si>
    <t>Støtte til spillere/deltakere i forbindelse med aktiviteter i BUK sin regi.</t>
  </si>
  <si>
    <t>10 klubber à 2500,- + 2 klubber à 500,-</t>
  </si>
  <si>
    <t>ESB+FSB</t>
  </si>
  <si>
    <t>Grunnforsikring 3000 + 200 lisensforsikringer</t>
  </si>
  <si>
    <t>Klubbkontingent: 10 lag * 2500,-, 2 lag * 500,-, Serieavgift; 5 lag * 2000,-, 8 lag * 1000,-, NM-avgift; 5 lag * 1500,-, 2 lag * 500,-</t>
  </si>
  <si>
    <t>TD</t>
  </si>
  <si>
    <t>500,- * 36 spillere</t>
  </si>
  <si>
    <t>Baller, bats, div</t>
  </si>
  <si>
    <t>OSL og SVG NBA-deltakere</t>
  </si>
  <si>
    <t>BGOx3 =7000, TRD x 8= 14500, SVG x 8= 14500,-</t>
  </si>
  <si>
    <t>10 x triplerom x 1198 x 2 netter</t>
  </si>
  <si>
    <t>10 spillere x 500,-</t>
  </si>
  <si>
    <t>TRD x 3 spillere</t>
  </si>
  <si>
    <t>7 spillere x 3 rom x 2 netter</t>
  </si>
  <si>
    <t>Arrangørstøtte og deltakere</t>
  </si>
  <si>
    <t>DOE, John</t>
  </si>
  <si>
    <t>Utviklingskonsulent</t>
  </si>
  <si>
    <t>Klubbutvikling, aktivitetsutvikling, skolebesøk, kurs- og arrangementsutvikling- og gjennomføring, bistå GS, stillingen må sees i sammenheng med ansvar som Teknisk Direktør og Head Scorekeeper</t>
  </si>
  <si>
    <t>TD for Eliteserien: kr 1 250 * antall lag. TD for Forbundsserien: kr 500 * antall lag</t>
  </si>
  <si>
    <t xml:space="preserve">
3000kr i grunnlønn for 2019. Kr 100 per scoresheet ført i GC.</t>
  </si>
  <si>
    <t>Busjett 2019</t>
  </si>
  <si>
    <t>Resultat 2018</t>
  </si>
  <si>
    <t>Busjett2019</t>
  </si>
  <si>
    <t>WBSC Europe</t>
  </si>
  <si>
    <t>WBSC</t>
  </si>
  <si>
    <t>Domene, webhotell, Appear.in</t>
  </si>
  <si>
    <t>Deltok ikke på CEB/ESF-kongress 2018. CEB(ESF-kongress 2019 og WBSC-kongress</t>
  </si>
  <si>
    <t>Ingen planlagte spiller utviklingstiltak i 2019</t>
  </si>
  <si>
    <t>Softballkurs og andre generelle trenerkurs</t>
  </si>
  <si>
    <t>Norwegian Coaches clinic utgikk 2019</t>
  </si>
  <si>
    <t>Arrangere modul 1 - trener 2 Høsten 2019</t>
  </si>
  <si>
    <t>2 Scorekeeperkurs</t>
  </si>
  <si>
    <t>2 dommerkurs  i Norge, utvikle internasjonale dommere på kurs i Stockholm</t>
  </si>
  <si>
    <t>Ingen planlagte tiltak, satt av midler til søknader fra klubber</t>
  </si>
  <si>
    <t>Støtte til aktivitets- og utviklingsrettede tiltak i klubb</t>
  </si>
  <si>
    <t>6 kamper</t>
  </si>
  <si>
    <t>30 kamper</t>
  </si>
  <si>
    <t>30 kamper, men noe med ubetalte dommere</t>
  </si>
  <si>
    <t>Ingen WBC i 2019</t>
  </si>
  <si>
    <t>Avsatt i budsjett, men ikke mottatt fra BUK</t>
  </si>
  <si>
    <t>Avsatt i budsjett, men ingen konkrete planer fra BUK</t>
  </si>
  <si>
    <t>Turnering Euro C-Pool</t>
  </si>
  <si>
    <t>1000,- x 10 spillere</t>
  </si>
  <si>
    <t>150k til generelle søknader</t>
  </si>
  <si>
    <t>Budsjett 2019</t>
  </si>
  <si>
    <t>RESULTAT</t>
  </si>
  <si>
    <t>BUDSJETT</t>
  </si>
  <si>
    <t>Ekstern kom.</t>
  </si>
  <si>
    <t>Eliteaktivitet</t>
  </si>
  <si>
    <t>Anlegg og infra.</t>
  </si>
  <si>
    <t>Scorekeeperhonorar u. feriepenger</t>
  </si>
  <si>
    <t>Resultat (- = underskudd / + = overskudd)</t>
  </si>
  <si>
    <t>Budsjett 2018</t>
  </si>
  <si>
    <t>Kids camp Trondheim</t>
  </si>
  <si>
    <t>RESULTAT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</si>
</sst>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[$kr-414]\ * #,##0.00_-;\-[$kr-414]\ * #,##0.00_-;_-[$kr-414]\ * &quot;-&quot;??_-;_-@_-"/>
    <numFmt numFmtId="165" formatCode="_ [$kr-414]\ * #,##0.00_ ;_ [$kr-414]\ * \-#,##0.00_ ;_ [$kr-414]\ * &quot;-&quot;??_ ;_ @_ "/>
    <numFmt numFmtId="166" formatCode="_ &quot;kr&quot;\ * #,##0_ ;_ &quot;kr&quot;\ * \-#,##0_ ;_ &quot;kr&quot;\ * &quot;-&quot;??_ ;_ @_ "/>
    <numFmt numFmtId="167" formatCode="&quot;kr&quot;\ #,##0"/>
    <numFmt numFmtId="168" formatCode="#,##0.00_ ;[Red]\-#,##0.00\ "/>
    <numFmt numFmtId="169" formatCode="0.00_ ;[Red]\-0.00\ "/>
  </numFmts>
  <fonts count="2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indexed="81"/>
      <name val="Tahoma"/>
      <family val="2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3" fillId="8" borderId="48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</cellStyleXfs>
  <cellXfs count="36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4" xfId="0" applyFont="1" applyFill="1" applyBorder="1"/>
    <xf numFmtId="0" fontId="3" fillId="0" borderId="0" xfId="0" applyFont="1"/>
    <xf numFmtId="0" fontId="2" fillId="2" borderId="2" xfId="0" applyFont="1" applyFill="1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1" xfId="0" applyBorder="1"/>
    <xf numFmtId="0" fontId="4" fillId="0" borderId="0" xfId="0" applyFont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28" xfId="0" applyBorder="1"/>
    <xf numFmtId="0" fontId="3" fillId="3" borderId="3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0" fillId="0" borderId="37" xfId="0" applyBorder="1"/>
    <xf numFmtId="0" fontId="2" fillId="2" borderId="10" xfId="0" applyFont="1" applyFill="1" applyBorder="1"/>
    <xf numFmtId="0" fontId="3" fillId="3" borderId="32" xfId="0" applyFont="1" applyFill="1" applyBorder="1"/>
    <xf numFmtId="0" fontId="0" fillId="0" borderId="8" xfId="0" applyBorder="1"/>
    <xf numFmtId="0" fontId="2" fillId="2" borderId="31" xfId="0" applyFont="1" applyFill="1" applyBorder="1"/>
    <xf numFmtId="0" fontId="0" fillId="0" borderId="33" xfId="0" applyBorder="1"/>
    <xf numFmtId="0" fontId="0" fillId="0" borderId="9" xfId="0" applyBorder="1"/>
    <xf numFmtId="0" fontId="0" fillId="0" borderId="7" xfId="0" applyBorder="1"/>
    <xf numFmtId="0" fontId="0" fillId="0" borderId="39" xfId="0" applyBorder="1"/>
    <xf numFmtId="0" fontId="0" fillId="0" borderId="31" xfId="0" applyBorder="1"/>
    <xf numFmtId="0" fontId="0" fillId="0" borderId="16" xfId="0" applyBorder="1"/>
    <xf numFmtId="0" fontId="0" fillId="5" borderId="12" xfId="0" applyFill="1" applyBorder="1"/>
    <xf numFmtId="0" fontId="3" fillId="3" borderId="19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0" fillId="2" borderId="18" xfId="0" applyFill="1" applyBorder="1"/>
    <xf numFmtId="0" fontId="0" fillId="4" borderId="2" xfId="0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12" xfId="0" applyBorder="1"/>
    <xf numFmtId="0" fontId="0" fillId="0" borderId="29" xfId="0" applyBorder="1"/>
    <xf numFmtId="0" fontId="0" fillId="0" borderId="30" xfId="0" applyBorder="1"/>
    <xf numFmtId="0" fontId="0" fillId="3" borderId="31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19" xfId="0" applyBorder="1"/>
    <xf numFmtId="0" fontId="0" fillId="3" borderId="2" xfId="0" applyFill="1" applyBorder="1"/>
    <xf numFmtId="0" fontId="0" fillId="0" borderId="41" xfId="0" applyBorder="1"/>
    <xf numFmtId="0" fontId="0" fillId="0" borderId="38" xfId="0" applyBorder="1"/>
    <xf numFmtId="0" fontId="0" fillId="0" borderId="42" xfId="0" applyBorder="1"/>
    <xf numFmtId="0" fontId="0" fillId="3" borderId="32" xfId="0" applyFill="1" applyBorder="1"/>
    <xf numFmtId="0" fontId="0" fillId="3" borderId="43" xfId="0" applyFill="1" applyBorder="1"/>
    <xf numFmtId="0" fontId="0" fillId="0" borderId="45" xfId="0" applyBorder="1"/>
    <xf numFmtId="0" fontId="0" fillId="2" borderId="16" xfId="0" applyFill="1" applyBorder="1"/>
    <xf numFmtId="0" fontId="0" fillId="6" borderId="31" xfId="0" applyFill="1" applyBorder="1"/>
    <xf numFmtId="0" fontId="0" fillId="3" borderId="44" xfId="0" applyFill="1" applyBorder="1"/>
    <xf numFmtId="0" fontId="0" fillId="6" borderId="16" xfId="0" applyFill="1" applyBorder="1"/>
    <xf numFmtId="0" fontId="0" fillId="5" borderId="42" xfId="0" applyFill="1" applyBorder="1"/>
    <xf numFmtId="0" fontId="9" fillId="2" borderId="17" xfId="0" applyFont="1" applyFill="1" applyBorder="1"/>
    <xf numFmtId="9" fontId="0" fillId="2" borderId="12" xfId="1" applyFont="1" applyFill="1" applyBorder="1"/>
    <xf numFmtId="0" fontId="0" fillId="2" borderId="2" xfId="0" applyFill="1" applyBorder="1"/>
    <xf numFmtId="0" fontId="0" fillId="5" borderId="30" xfId="0" applyFill="1" applyBorder="1"/>
    <xf numFmtId="0" fontId="0" fillId="0" borderId="27" xfId="0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/>
    <xf numFmtId="0" fontId="10" fillId="0" borderId="0" xfId="0" applyFont="1"/>
    <xf numFmtId="164" fontId="0" fillId="5" borderId="31" xfId="0" applyNumberFormat="1" applyFill="1" applyBorder="1"/>
    <xf numFmtId="164" fontId="0" fillId="5" borderId="15" xfId="0" applyNumberFormat="1" applyFill="1" applyBorder="1"/>
    <xf numFmtId="164" fontId="0" fillId="5" borderId="21" xfId="0" applyNumberFormat="1" applyFill="1" applyBorder="1"/>
    <xf numFmtId="164" fontId="0" fillId="5" borderId="35" xfId="0" applyNumberFormat="1" applyFill="1" applyBorder="1"/>
    <xf numFmtId="164" fontId="0" fillId="5" borderId="34" xfId="0" applyNumberFormat="1" applyFill="1" applyBorder="1"/>
    <xf numFmtId="9" fontId="0" fillId="0" borderId="0" xfId="1" applyFont="1"/>
    <xf numFmtId="9" fontId="0" fillId="0" borderId="0" xfId="0" applyNumberFormat="1"/>
    <xf numFmtId="9" fontId="0" fillId="5" borderId="12" xfId="1" applyFont="1" applyFill="1" applyBorder="1"/>
    <xf numFmtId="9" fontId="0" fillId="5" borderId="30" xfId="1" applyFont="1" applyFill="1" applyBorder="1"/>
    <xf numFmtId="9" fontId="6" fillId="7" borderId="20" xfId="4" applyNumberFormat="1" applyBorder="1"/>
    <xf numFmtId="0" fontId="0" fillId="0" borderId="2" xfId="0" applyBorder="1"/>
    <xf numFmtId="164" fontId="0" fillId="0" borderId="0" xfId="0" applyNumberFormat="1"/>
    <xf numFmtId="165" fontId="0" fillId="4" borderId="33" xfId="0" applyNumberFormat="1" applyFill="1" applyBorder="1" applyProtection="1">
      <protection locked="0"/>
    </xf>
    <xf numFmtId="165" fontId="0" fillId="5" borderId="35" xfId="0" applyNumberFormat="1" applyFill="1" applyBorder="1"/>
    <xf numFmtId="165" fontId="0" fillId="5" borderId="12" xfId="0" applyNumberFormat="1" applyFill="1" applyBorder="1"/>
    <xf numFmtId="165" fontId="0" fillId="0" borderId="0" xfId="0" applyNumberFormat="1"/>
    <xf numFmtId="165" fontId="0" fillId="4" borderId="28" xfId="0" applyNumberFormat="1" applyFill="1" applyBorder="1" applyProtection="1">
      <protection locked="0"/>
    </xf>
    <xf numFmtId="165" fontId="0" fillId="5" borderId="34" xfId="0" applyNumberFormat="1" applyFill="1" applyBorder="1"/>
    <xf numFmtId="165" fontId="0" fillId="5" borderId="30" xfId="0" applyNumberFormat="1" applyFill="1" applyBorder="1"/>
    <xf numFmtId="165" fontId="0" fillId="2" borderId="31" xfId="0" applyNumberFormat="1" applyFill="1" applyBorder="1"/>
    <xf numFmtId="165" fontId="0" fillId="5" borderId="40" xfId="0" applyNumberFormat="1" applyFill="1" applyBorder="1"/>
    <xf numFmtId="165" fontId="0" fillId="5" borderId="17" xfId="0" applyNumberFormat="1" applyFill="1" applyBorder="1"/>
    <xf numFmtId="165" fontId="0" fillId="2" borderId="33" xfId="0" applyNumberFormat="1" applyFill="1" applyBorder="1" applyProtection="1">
      <protection locked="0"/>
    </xf>
    <xf numFmtId="165" fontId="0" fillId="2" borderId="33" xfId="0" applyNumberFormat="1" applyFill="1" applyBorder="1"/>
    <xf numFmtId="165" fontId="0" fillId="2" borderId="2" xfId="0" applyNumberFormat="1" applyFill="1" applyBorder="1"/>
    <xf numFmtId="165" fontId="0" fillId="5" borderId="35" xfId="0" applyNumberFormat="1" applyFill="1" applyBorder="1" applyAlignment="1">
      <alignment wrapText="1"/>
    </xf>
    <xf numFmtId="0" fontId="3" fillId="3" borderId="22" xfId="0" applyFont="1" applyFill="1" applyBorder="1" applyProtection="1">
      <protection locked="0"/>
    </xf>
    <xf numFmtId="165" fontId="0" fillId="5" borderId="2" xfId="0" applyNumberFormat="1" applyFill="1" applyBorder="1"/>
    <xf numFmtId="165" fontId="0" fillId="2" borderId="18" xfId="0" applyNumberFormat="1" applyFill="1" applyBorder="1"/>
    <xf numFmtId="0" fontId="0" fillId="0" borderId="23" xfId="0" applyBorder="1"/>
    <xf numFmtId="0" fontId="6" fillId="0" borderId="30" xfId="0" applyFont="1" applyBorder="1"/>
    <xf numFmtId="165" fontId="0" fillId="5" borderId="47" xfId="0" applyNumberFormat="1" applyFill="1" applyBorder="1"/>
    <xf numFmtId="165" fontId="0" fillId="5" borderId="18" xfId="0" applyNumberFormat="1" applyFill="1" applyBorder="1"/>
    <xf numFmtId="0" fontId="3" fillId="3" borderId="2" xfId="0" applyFont="1" applyFill="1" applyBorder="1" applyProtection="1">
      <protection locked="0"/>
    </xf>
    <xf numFmtId="0" fontId="0" fillId="3" borderId="47" xfId="0" applyFill="1" applyBorder="1"/>
    <xf numFmtId="164" fontId="0" fillId="0" borderId="18" xfId="0" applyNumberFormat="1" applyBorder="1"/>
    <xf numFmtId="0" fontId="0" fillId="0" borderId="0" xfId="0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3" fillId="3" borderId="18" xfId="0" applyFont="1" applyFill="1" applyBorder="1" applyProtection="1">
      <protection locked="0"/>
    </xf>
    <xf numFmtId="164" fontId="13" fillId="8" borderId="49" xfId="5" applyNumberFormat="1" applyBorder="1"/>
    <xf numFmtId="164" fontId="13" fillId="8" borderId="50" xfId="5" applyNumberFormat="1" applyBorder="1"/>
    <xf numFmtId="164" fontId="0" fillId="0" borderId="27" xfId="0" applyNumberFormat="1" applyBorder="1"/>
    <xf numFmtId="0" fontId="2" fillId="0" borderId="33" xfId="0" applyFont="1" applyBorder="1"/>
    <xf numFmtId="0" fontId="2" fillId="0" borderId="12" xfId="0" applyFont="1" applyBorder="1"/>
    <xf numFmtId="0" fontId="2" fillId="0" borderId="30" xfId="0" applyFont="1" applyBorder="1"/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3" borderId="28" xfId="0" applyFont="1" applyFill="1" applyBorder="1" applyProtection="1">
      <protection locked="0"/>
    </xf>
    <xf numFmtId="164" fontId="13" fillId="8" borderId="51" xfId="5" applyNumberFormat="1" applyBorder="1"/>
    <xf numFmtId="164" fontId="13" fillId="8" borderId="18" xfId="5" applyNumberFormat="1" applyBorder="1"/>
    <xf numFmtId="164" fontId="17" fillId="9" borderId="27" xfId="6" applyNumberFormat="1" applyBorder="1"/>
    <xf numFmtId="164" fontId="17" fillId="9" borderId="17" xfId="6" applyNumberFormat="1" applyBorder="1"/>
    <xf numFmtId="164" fontId="18" fillId="10" borderId="18" xfId="7" applyNumberFormat="1" applyBorder="1"/>
    <xf numFmtId="166" fontId="0" fillId="4" borderId="33" xfId="0" applyNumberFormat="1" applyFill="1" applyBorder="1"/>
    <xf numFmtId="166" fontId="0" fillId="2" borderId="33" xfId="0" applyNumberFormat="1" applyFill="1" applyBorder="1"/>
    <xf numFmtId="166" fontId="0" fillId="2" borderId="41" xfId="0" applyNumberFormat="1" applyFill="1" applyBorder="1"/>
    <xf numFmtId="166" fontId="0" fillId="0" borderId="33" xfId="0" applyNumberFormat="1" applyBorder="1"/>
    <xf numFmtId="167" fontId="0" fillId="4" borderId="33" xfId="0" applyNumberFormat="1" applyFill="1" applyBorder="1"/>
    <xf numFmtId="167" fontId="0" fillId="2" borderId="33" xfId="0" applyNumberFormat="1" applyFill="1" applyBorder="1"/>
    <xf numFmtId="167" fontId="0" fillId="2" borderId="41" xfId="0" applyNumberFormat="1" applyFill="1" applyBorder="1"/>
    <xf numFmtId="167" fontId="0" fillId="0" borderId="33" xfId="0" applyNumberFormat="1" applyBorder="1"/>
    <xf numFmtId="167" fontId="0" fillId="2" borderId="28" xfId="0" applyNumberFormat="1" applyFill="1" applyBorder="1"/>
    <xf numFmtId="167" fontId="0" fillId="2" borderId="27" xfId="0" applyNumberFormat="1" applyFill="1" applyBorder="1"/>
    <xf numFmtId="167" fontId="0" fillId="2" borderId="2" xfId="0" applyNumberFormat="1" applyFill="1" applyBorder="1"/>
    <xf numFmtId="0" fontId="0" fillId="3" borderId="28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3" fillId="3" borderId="13" xfId="0" applyFont="1" applyFill="1" applyBorder="1" applyAlignment="1">
      <alignment horizontal="left" wrapText="1"/>
    </xf>
    <xf numFmtId="0" fontId="3" fillId="3" borderId="21" xfId="0" applyFont="1" applyFill="1" applyBorder="1" applyAlignment="1" applyProtection="1">
      <alignment wrapText="1"/>
      <protection locked="0"/>
    </xf>
    <xf numFmtId="165" fontId="0" fillId="2" borderId="31" xfId="0" applyNumberFormat="1" applyFill="1" applyBorder="1" applyAlignment="1">
      <alignment wrapText="1"/>
    </xf>
    <xf numFmtId="165" fontId="0" fillId="5" borderId="34" xfId="0" applyNumberFormat="1" applyFill="1" applyBorder="1" applyAlignment="1">
      <alignment wrapText="1"/>
    </xf>
    <xf numFmtId="165" fontId="0" fillId="2" borderId="2" xfId="0" applyNumberFormat="1" applyFill="1" applyBorder="1" applyAlignment="1">
      <alignment wrapText="1"/>
    </xf>
    <xf numFmtId="166" fontId="0" fillId="0" borderId="0" xfId="0" applyNumberFormat="1"/>
    <xf numFmtId="0" fontId="0" fillId="0" borderId="32" xfId="0" applyBorder="1"/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3" borderId="17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wrapText="1"/>
    </xf>
    <xf numFmtId="165" fontId="0" fillId="2" borderId="18" xfId="0" applyNumberFormat="1" applyFill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2" borderId="31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0" borderId="38" xfId="0" applyBorder="1" applyAlignment="1">
      <alignment wrapText="1"/>
    </xf>
    <xf numFmtId="0" fontId="2" fillId="0" borderId="17" xfId="0" applyFont="1" applyBorder="1" applyAlignment="1">
      <alignment wrapText="1"/>
    </xf>
    <xf numFmtId="0" fontId="19" fillId="0" borderId="32" xfId="0" applyFont="1" applyBorder="1"/>
    <xf numFmtId="0" fontId="19" fillId="0" borderId="43" xfId="0" applyFont="1" applyBorder="1" applyAlignment="1">
      <alignment wrapText="1"/>
    </xf>
    <xf numFmtId="167" fontId="19" fillId="2" borderId="32" xfId="0" applyNumberFormat="1" applyFont="1" applyFill="1" applyBorder="1"/>
    <xf numFmtId="0" fontId="19" fillId="0" borderId="43" xfId="0" applyFont="1" applyBorder="1"/>
    <xf numFmtId="167" fontId="19" fillId="2" borderId="47" xfId="0" applyNumberFormat="1" applyFont="1" applyFill="1" applyBorder="1"/>
    <xf numFmtId="0" fontId="19" fillId="0" borderId="33" xfId="0" applyFont="1" applyBorder="1"/>
    <xf numFmtId="0" fontId="19" fillId="0" borderId="12" xfId="0" applyFont="1" applyBorder="1" applyAlignment="1">
      <alignment wrapText="1"/>
    </xf>
    <xf numFmtId="167" fontId="19" fillId="2" borderId="33" xfId="0" applyNumberFormat="1" applyFont="1" applyFill="1" applyBorder="1"/>
    <xf numFmtId="0" fontId="19" fillId="0" borderId="12" xfId="0" applyFont="1" applyBorder="1"/>
    <xf numFmtId="167" fontId="19" fillId="2" borderId="27" xfId="0" applyNumberFormat="1" applyFont="1" applyFill="1" applyBorder="1"/>
    <xf numFmtId="0" fontId="19" fillId="0" borderId="28" xfId="0" applyFont="1" applyBorder="1"/>
    <xf numFmtId="0" fontId="19" fillId="0" borderId="30" xfId="0" applyFont="1" applyBorder="1" applyAlignment="1">
      <alignment wrapText="1"/>
    </xf>
    <xf numFmtId="167" fontId="19" fillId="2" borderId="28" xfId="0" applyNumberFormat="1" applyFont="1" applyFill="1" applyBorder="1"/>
    <xf numFmtId="0" fontId="19" fillId="0" borderId="30" xfId="0" applyFont="1" applyBorder="1"/>
    <xf numFmtId="167" fontId="19" fillId="2" borderId="18" xfId="0" applyNumberFormat="1" applyFont="1" applyFill="1" applyBorder="1"/>
    <xf numFmtId="0" fontId="3" fillId="3" borderId="1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165" fontId="0" fillId="5" borderId="29" xfId="0" applyNumberFormat="1" applyFill="1" applyBorder="1"/>
    <xf numFmtId="0" fontId="0" fillId="0" borderId="52" xfId="0" applyBorder="1"/>
    <xf numFmtId="0" fontId="0" fillId="0" borderId="53" xfId="0" applyBorder="1"/>
    <xf numFmtId="165" fontId="0" fillId="2" borderId="17" xfId="0" applyNumberFormat="1" applyFill="1" applyBorder="1"/>
    <xf numFmtId="0" fontId="0" fillId="0" borderId="54" xfId="0" applyBorder="1"/>
    <xf numFmtId="0" fontId="0" fillId="0" borderId="55" xfId="0" applyBorder="1"/>
    <xf numFmtId="165" fontId="0" fillId="2" borderId="30" xfId="0" applyNumberFormat="1" applyFill="1" applyBorder="1"/>
    <xf numFmtId="165" fontId="0" fillId="5" borderId="58" xfId="0" applyNumberFormat="1" applyFill="1" applyBorder="1" applyAlignment="1">
      <alignment wrapText="1"/>
    </xf>
    <xf numFmtId="165" fontId="0" fillId="5" borderId="43" xfId="0" applyNumberFormat="1" applyFill="1" applyBorder="1"/>
    <xf numFmtId="0" fontId="20" fillId="0" borderId="4" xfId="0" applyFont="1" applyBorder="1"/>
    <xf numFmtId="165" fontId="0" fillId="2" borderId="32" xfId="0" applyNumberFormat="1" applyFill="1" applyBorder="1" applyProtection="1">
      <protection locked="0"/>
    </xf>
    <xf numFmtId="165" fontId="0" fillId="4" borderId="60" xfId="0" applyNumberFormat="1" applyFill="1" applyBorder="1" applyProtection="1">
      <protection locked="0"/>
    </xf>
    <xf numFmtId="165" fontId="0" fillId="4" borderId="59" xfId="0" applyNumberFormat="1" applyFill="1" applyBorder="1" applyProtection="1">
      <protection locked="0"/>
    </xf>
    <xf numFmtId="0" fontId="0" fillId="0" borderId="10" xfId="0" applyBorder="1"/>
    <xf numFmtId="0" fontId="20" fillId="0" borderId="1" xfId="0" applyFont="1" applyBorder="1"/>
    <xf numFmtId="0" fontId="20" fillId="0" borderId="56" xfId="0" applyFont="1" applyBorder="1"/>
    <xf numFmtId="0" fontId="0" fillId="0" borderId="61" xfId="0" applyBorder="1"/>
    <xf numFmtId="0" fontId="20" fillId="0" borderId="0" xfId="0" applyFont="1"/>
    <xf numFmtId="0" fontId="0" fillId="0" borderId="59" xfId="0" applyBorder="1"/>
    <xf numFmtId="165" fontId="0" fillId="2" borderId="5" xfId="0" applyNumberFormat="1" applyFill="1" applyBorder="1"/>
    <xf numFmtId="165" fontId="0" fillId="2" borderId="13" xfId="0" applyNumberFormat="1" applyFill="1" applyBorder="1" applyAlignment="1">
      <alignment wrapText="1"/>
    </xf>
    <xf numFmtId="165" fontId="0" fillId="2" borderId="26" xfId="0" applyNumberFormat="1" applyFill="1" applyBorder="1"/>
    <xf numFmtId="0" fontId="0" fillId="0" borderId="62" xfId="0" applyBorder="1"/>
    <xf numFmtId="165" fontId="0" fillId="5" borderId="42" xfId="0" applyNumberFormat="1" applyFill="1" applyBorder="1"/>
    <xf numFmtId="165" fontId="0" fillId="4" borderId="8" xfId="0" applyNumberFormat="1" applyFill="1" applyBorder="1" applyProtection="1">
      <protection locked="0"/>
    </xf>
    <xf numFmtId="165" fontId="0" fillId="5" borderId="63" xfId="0" applyNumberFormat="1" applyFill="1" applyBorder="1" applyAlignment="1">
      <alignment wrapText="1"/>
    </xf>
    <xf numFmtId="165" fontId="0" fillId="5" borderId="63" xfId="0" applyNumberFormat="1" applyFill="1" applyBorder="1"/>
    <xf numFmtId="165" fontId="0" fillId="5" borderId="58" xfId="0" applyNumberFormat="1" applyFill="1" applyBorder="1"/>
    <xf numFmtId="165" fontId="0" fillId="5" borderId="57" xfId="0" applyNumberFormat="1" applyFill="1" applyBorder="1"/>
    <xf numFmtId="0" fontId="20" fillId="0" borderId="64" xfId="0" applyFont="1" applyBorder="1"/>
    <xf numFmtId="165" fontId="0" fillId="2" borderId="28" xfId="0" applyNumberFormat="1" applyFill="1" applyBorder="1"/>
    <xf numFmtId="165" fontId="0" fillId="2" borderId="28" xfId="0" applyNumberFormat="1" applyFill="1" applyBorder="1" applyAlignment="1">
      <alignment wrapText="1"/>
    </xf>
    <xf numFmtId="0" fontId="3" fillId="3" borderId="54" xfId="0" applyFont="1" applyFill="1" applyBorder="1" applyProtection="1">
      <protection locked="0"/>
    </xf>
    <xf numFmtId="165" fontId="0" fillId="5" borderId="65" xfId="0" applyNumberFormat="1" applyFill="1" applyBorder="1" applyAlignment="1">
      <alignment wrapText="1"/>
    </xf>
    <xf numFmtId="165" fontId="0" fillId="4" borderId="61" xfId="0" applyNumberFormat="1" applyFill="1" applyBorder="1" applyProtection="1">
      <protection locked="0"/>
    </xf>
    <xf numFmtId="0" fontId="0" fillId="0" borderId="66" xfId="0" applyBorder="1"/>
    <xf numFmtId="0" fontId="0" fillId="0" borderId="67" xfId="0" applyBorder="1"/>
    <xf numFmtId="0" fontId="20" fillId="0" borderId="66" xfId="0" applyFont="1" applyBorder="1"/>
    <xf numFmtId="0" fontId="0" fillId="0" borderId="46" xfId="0" applyBorder="1"/>
    <xf numFmtId="0" fontId="0" fillId="0" borderId="68" xfId="0" applyBorder="1"/>
    <xf numFmtId="9" fontId="6" fillId="7" borderId="42" xfId="4" applyNumberFormat="1" applyBorder="1"/>
    <xf numFmtId="9" fontId="0" fillId="3" borderId="47" xfId="1" applyFon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0" borderId="2" xfId="0" applyNumberFormat="1" applyBorder="1"/>
    <xf numFmtId="0" fontId="0" fillId="0" borderId="36" xfId="0" applyBorder="1"/>
    <xf numFmtId="0" fontId="2" fillId="2" borderId="0" xfId="0" applyFont="1" applyFill="1"/>
    <xf numFmtId="0" fontId="2" fillId="5" borderId="2" xfId="0" applyFont="1" applyFill="1" applyBorder="1" applyAlignment="1">
      <alignment horizontal="center"/>
    </xf>
    <xf numFmtId="164" fontId="0" fillId="0" borderId="24" xfId="0" applyNumberFormat="1" applyBorder="1"/>
    <xf numFmtId="0" fontId="2" fillId="5" borderId="22" xfId="0" applyFont="1" applyFill="1" applyBorder="1"/>
    <xf numFmtId="0" fontId="6" fillId="0" borderId="23" xfId="0" applyFont="1" applyBorder="1"/>
    <xf numFmtId="164" fontId="24" fillId="0" borderId="24" xfId="0" applyNumberFormat="1" applyFont="1" applyBorder="1"/>
    <xf numFmtId="0" fontId="25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4" fillId="0" borderId="23" xfId="0" applyFont="1" applyBorder="1"/>
    <xf numFmtId="165" fontId="0" fillId="5" borderId="35" xfId="0" applyNumberFormat="1" applyFill="1" applyBorder="1" applyAlignment="1">
      <alignment horizontal="left" vertical="center" wrapText="1"/>
    </xf>
    <xf numFmtId="165" fontId="0" fillId="5" borderId="0" xfId="0" applyNumberFormat="1" applyFill="1"/>
    <xf numFmtId="165" fontId="0" fillId="5" borderId="29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167" fontId="0" fillId="0" borderId="0" xfId="0" applyNumberFormat="1"/>
    <xf numFmtId="9" fontId="0" fillId="5" borderId="12" xfId="0" applyNumberFormat="1" applyFill="1" applyBorder="1"/>
    <xf numFmtId="0" fontId="0" fillId="0" borderId="42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6" fontId="0" fillId="2" borderId="28" xfId="0" applyNumberFormat="1" applyFill="1" applyBorder="1"/>
    <xf numFmtId="0" fontId="0" fillId="0" borderId="32" xfId="0" applyBorder="1" applyAlignment="1">
      <alignment wrapText="1"/>
    </xf>
    <xf numFmtId="0" fontId="0" fillId="0" borderId="44" xfId="0" applyBorder="1"/>
    <xf numFmtId="0" fontId="0" fillId="0" borderId="44" xfId="0" applyBorder="1" applyAlignment="1">
      <alignment wrapText="1"/>
    </xf>
    <xf numFmtId="0" fontId="0" fillId="0" borderId="43" xfId="0" applyBorder="1"/>
    <xf numFmtId="0" fontId="0" fillId="0" borderId="3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vertical="top" wrapText="1"/>
    </xf>
    <xf numFmtId="167" fontId="0" fillId="2" borderId="25" xfId="0" applyNumberFormat="1" applyFill="1" applyBorder="1"/>
    <xf numFmtId="0" fontId="0" fillId="0" borderId="47" xfId="0" applyBorder="1"/>
    <xf numFmtId="167" fontId="0" fillId="2" borderId="18" xfId="0" applyNumberFormat="1" applyFill="1" applyBorder="1"/>
    <xf numFmtId="167" fontId="26" fillId="0" borderId="0" xfId="0" applyNumberFormat="1" applyFont="1"/>
    <xf numFmtId="0" fontId="3" fillId="3" borderId="47" xfId="0" applyFont="1" applyFill="1" applyBorder="1" applyProtection="1">
      <protection locked="0"/>
    </xf>
    <xf numFmtId="165" fontId="0" fillId="5" borderId="44" xfId="0" applyNumberFormat="1" applyFill="1" applyBorder="1"/>
    <xf numFmtId="0" fontId="0" fillId="0" borderId="69" xfId="0" applyBorder="1"/>
    <xf numFmtId="0" fontId="0" fillId="0" borderId="17" xfId="0" applyBorder="1"/>
    <xf numFmtId="0" fontId="0" fillId="0" borderId="26" xfId="0" applyBorder="1"/>
    <xf numFmtId="165" fontId="0" fillId="2" borderId="7" xfId="0" applyNumberFormat="1" applyFill="1" applyBorder="1"/>
    <xf numFmtId="165" fontId="0" fillId="2" borderId="46" xfId="0" applyNumberFormat="1" applyFill="1" applyBorder="1"/>
    <xf numFmtId="0" fontId="3" fillId="3" borderId="62" xfId="0" applyFont="1" applyFill="1" applyBorder="1" applyAlignment="1">
      <alignment horizontal="left"/>
    </xf>
    <xf numFmtId="0" fontId="3" fillId="3" borderId="15" xfId="0" applyFont="1" applyFill="1" applyBorder="1" applyProtection="1">
      <protection locked="0"/>
    </xf>
    <xf numFmtId="0" fontId="2" fillId="2" borderId="43" xfId="0" applyFon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20" fillId="2" borderId="3" xfId="0" applyNumberFormat="1" applyFont="1" applyFill="1" applyBorder="1"/>
    <xf numFmtId="165" fontId="20" fillId="2" borderId="61" xfId="0" applyNumberFormat="1" applyFont="1" applyFill="1" applyBorder="1"/>
    <xf numFmtId="165" fontId="0" fillId="2" borderId="70" xfId="0" applyNumberFormat="1" applyFill="1" applyBorder="1"/>
    <xf numFmtId="165" fontId="0" fillId="2" borderId="61" xfId="0" applyNumberFormat="1" applyFill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0" fontId="0" fillId="0" borderId="56" xfId="0" applyBorder="1"/>
    <xf numFmtId="0" fontId="3" fillId="3" borderId="32" xfId="0" applyFont="1" applyFill="1" applyBorder="1" applyProtection="1">
      <protection locked="0"/>
    </xf>
    <xf numFmtId="0" fontId="3" fillId="3" borderId="43" xfId="0" applyFont="1" applyFill="1" applyBorder="1" applyProtection="1">
      <protection locked="0"/>
    </xf>
    <xf numFmtId="165" fontId="0" fillId="5" borderId="8" xfId="0" applyNumberFormat="1" applyFill="1" applyBorder="1"/>
    <xf numFmtId="165" fontId="0" fillId="5" borderId="9" xfId="0" applyNumberFormat="1" applyFill="1" applyBorder="1"/>
    <xf numFmtId="165" fontId="0" fillId="5" borderId="3" xfId="0" applyNumberFormat="1" applyFill="1" applyBorder="1"/>
    <xf numFmtId="165" fontId="0" fillId="5" borderId="4" xfId="0" applyNumberFormat="1" applyFill="1" applyBorder="1"/>
    <xf numFmtId="165" fontId="20" fillId="5" borderId="3" xfId="0" applyNumberFormat="1" applyFont="1" applyFill="1" applyBorder="1"/>
    <xf numFmtId="165" fontId="0" fillId="5" borderId="61" xfId="0" applyNumberFormat="1" applyFill="1" applyBorder="1"/>
    <xf numFmtId="165" fontId="0" fillId="5" borderId="70" xfId="0" applyNumberFormat="1" applyFill="1" applyBorder="1"/>
    <xf numFmtId="165" fontId="0" fillId="5" borderId="7" xfId="0" applyNumberFormat="1" applyFill="1" applyBorder="1"/>
    <xf numFmtId="165" fontId="0" fillId="5" borderId="46" xfId="0" applyNumberFormat="1" applyFill="1" applyBorder="1"/>
    <xf numFmtId="0" fontId="3" fillId="3" borderId="3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165" fontId="0" fillId="5" borderId="27" xfId="0" applyNumberFormat="1" applyFill="1" applyBorder="1"/>
    <xf numFmtId="165" fontId="20" fillId="5" borderId="27" xfId="0" applyNumberFormat="1" applyFont="1" applyFill="1" applyBorder="1"/>
    <xf numFmtId="165" fontId="0" fillId="5" borderId="20" xfId="0" applyNumberFormat="1" applyFill="1" applyBorder="1"/>
    <xf numFmtId="0" fontId="3" fillId="3" borderId="47" xfId="0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165" fontId="0" fillId="2" borderId="27" xfId="0" applyNumberFormat="1" applyFill="1" applyBorder="1"/>
    <xf numFmtId="165" fontId="20" fillId="2" borderId="27" xfId="0" applyNumberFormat="1" applyFont="1" applyFill="1" applyBorder="1"/>
    <xf numFmtId="0" fontId="0" fillId="0" borderId="71" xfId="0" applyBorder="1"/>
    <xf numFmtId="165" fontId="0" fillId="2" borderId="12" xfId="0" applyNumberFormat="1" applyFill="1" applyBorder="1"/>
    <xf numFmtId="0" fontId="2" fillId="2" borderId="7" xfId="0" applyFont="1" applyFill="1" applyBorder="1"/>
    <xf numFmtId="0" fontId="2" fillId="2" borderId="39" xfId="0" applyFont="1" applyFill="1" applyBorder="1"/>
    <xf numFmtId="0" fontId="0" fillId="0" borderId="64" xfId="0" applyBorder="1"/>
    <xf numFmtId="165" fontId="0" fillId="5" borderId="23" xfId="0" applyNumberFormat="1" applyFill="1" applyBorder="1"/>
    <xf numFmtId="165" fontId="0" fillId="2" borderId="23" xfId="0" applyNumberFormat="1" applyFill="1" applyBorder="1"/>
    <xf numFmtId="165" fontId="0" fillId="5" borderId="67" xfId="0" applyNumberFormat="1" applyFill="1" applyBorder="1"/>
    <xf numFmtId="165" fontId="0" fillId="5" borderId="25" xfId="0" applyNumberFormat="1" applyFill="1" applyBorder="1"/>
    <xf numFmtId="165" fontId="0" fillId="5" borderId="24" xfId="0" applyNumberFormat="1" applyFill="1" applyBorder="1"/>
    <xf numFmtId="165" fontId="0" fillId="2" borderId="24" xfId="0" applyNumberFormat="1" applyFill="1" applyBorder="1"/>
    <xf numFmtId="165" fontId="0" fillId="2" borderId="67" xfId="0" applyNumberFormat="1" applyFill="1" applyBorder="1"/>
    <xf numFmtId="165" fontId="0" fillId="2" borderId="25" xfId="0" applyNumberFormat="1" applyFill="1" applyBorder="1"/>
    <xf numFmtId="168" fontId="0" fillId="2" borderId="2" xfId="0" applyNumberFormat="1" applyFill="1" applyBorder="1"/>
    <xf numFmtId="168" fontId="0" fillId="2" borderId="17" xfId="0" applyNumberFormat="1" applyFill="1" applyBorder="1"/>
    <xf numFmtId="168" fontId="0" fillId="2" borderId="2" xfId="0" applyNumberFormat="1" applyFill="1" applyBorder="1" applyAlignment="1">
      <alignment wrapText="1"/>
    </xf>
    <xf numFmtId="168" fontId="0" fillId="0" borderId="0" xfId="0" applyNumberFormat="1"/>
    <xf numFmtId="168" fontId="0" fillId="2" borderId="31" xfId="0" applyNumberFormat="1" applyFill="1" applyBorder="1"/>
    <xf numFmtId="168" fontId="0" fillId="2" borderId="7" xfId="0" applyNumberFormat="1" applyFill="1" applyBorder="1"/>
    <xf numFmtId="168" fontId="0" fillId="2" borderId="46" xfId="0" applyNumberFormat="1" applyFill="1" applyBorder="1"/>
    <xf numFmtId="168" fontId="0" fillId="5" borderId="59" xfId="0" applyNumberFormat="1" applyFill="1" applyBorder="1"/>
    <xf numFmtId="168" fontId="0" fillId="5" borderId="68" xfId="0" applyNumberFormat="1" applyFill="1" applyBorder="1"/>
    <xf numFmtId="168" fontId="0" fillId="5" borderId="2" xfId="0" applyNumberFormat="1" applyFill="1" applyBorder="1"/>
    <xf numFmtId="168" fontId="0" fillId="5" borderId="17" xfId="0" applyNumberFormat="1" applyFill="1" applyBorder="1"/>
    <xf numFmtId="168" fontId="0" fillId="2" borderId="18" xfId="0" applyNumberFormat="1" applyFill="1" applyBorder="1"/>
    <xf numFmtId="168" fontId="0" fillId="2" borderId="30" xfId="0" applyNumberFormat="1" applyFill="1" applyBorder="1"/>
    <xf numFmtId="169" fontId="0" fillId="2" borderId="18" xfId="0" applyNumberFormat="1" applyFill="1" applyBorder="1"/>
    <xf numFmtId="169" fontId="0" fillId="0" borderId="0" xfId="0" applyNumberFormat="1"/>
    <xf numFmtId="169" fontId="0" fillId="2" borderId="18" xfId="0" applyNumberFormat="1" applyFill="1" applyBorder="1" applyAlignment="1">
      <alignment wrapText="1"/>
    </xf>
    <xf numFmtId="169" fontId="0" fillId="5" borderId="18" xfId="0" applyNumberFormat="1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3" borderId="15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0" fillId="0" borderId="0" xfId="0" applyAlignment="1">
      <alignment horizontal="center" vertical="top"/>
    </xf>
    <xf numFmtId="0" fontId="2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29" xfId="0" applyNumberFormat="1" applyBorder="1" applyAlignment="1">
      <alignment wrapText="1"/>
    </xf>
    <xf numFmtId="0" fontId="0" fillId="3" borderId="16" xfId="0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72" xfId="0" applyFont="1" applyFill="1" applyBorder="1" applyAlignment="1">
      <alignment horizontal="center" wrapText="1"/>
    </xf>
    <xf numFmtId="0" fontId="0" fillId="3" borderId="39" xfId="0" applyFill="1" applyBorder="1" applyAlignment="1">
      <alignment horizontal="center"/>
    </xf>
    <xf numFmtId="164" fontId="0" fillId="5" borderId="2" xfId="0" applyNumberFormat="1" applyFill="1" applyBorder="1"/>
  </cellXfs>
  <cellStyles count="8">
    <cellStyle name="Benyttet hyperkobling" xfId="3" builtinId="9" hidden="1"/>
    <cellStyle name="God" xfId="6" builtinId="26"/>
    <cellStyle name="Hyperkobling" xfId="2" builtinId="8" hidden="1"/>
    <cellStyle name="Kontrollcelle" xfId="5" builtinId="23"/>
    <cellStyle name="Normal" xfId="0" builtinId="0"/>
    <cellStyle name="Nøytral" xfId="7" builtinId="28"/>
    <cellStyle name="Prosent" xfId="1" builtinId="5"/>
    <cellStyle name="Uthevingsfarge1" xfId="4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451485</xdr:colOff>
      <xdr:row>1</xdr:row>
      <xdr:rowOff>179070</xdr:rowOff>
    </xdr:from>
    <xdr:to>
      <xdr:col>16</xdr:col>
      <xdr:colOff>480060</xdr:colOff>
      <xdr:row>32</xdr:row>
      <xdr:rowOff>18934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805" y="361950"/>
          <a:ext cx="10231755" cy="5524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76"/>
  <sheetViews>
    <sheetView workbookViewId="0">
      <selection activeCell="B19" sqref="B19:C19"/>
    </sheetView>
  </sheetViews>
  <sheetFormatPr baseColWidth="10" defaultColWidth="11.44140625" defaultRowHeight="14.4" x14ac:dyDescent="0.3"/>
  <cols>
    <col min="1" max="1" width="7.44140625" bestFit="1" customWidth="1"/>
    <col min="2" max="2" width="25.5546875" bestFit="1" customWidth="1"/>
    <col min="3" max="3" width="37.5546875" bestFit="1" customWidth="1"/>
  </cols>
  <sheetData>
    <row r="2" spans="1:3" ht="15" thickBot="1" x14ac:dyDescent="0.35"/>
    <row r="3" spans="1:3" ht="15" thickBot="1" x14ac:dyDescent="0.35">
      <c r="A3" s="43" t="s">
        <v>111</v>
      </c>
      <c r="B3" s="44" t="s">
        <v>109</v>
      </c>
      <c r="C3" s="45" t="s">
        <v>110</v>
      </c>
    </row>
    <row r="4" spans="1:3" x14ac:dyDescent="0.3">
      <c r="A4" s="22" t="s">
        <v>84</v>
      </c>
      <c r="B4" s="327" t="s">
        <v>1</v>
      </c>
      <c r="C4" s="328"/>
    </row>
    <row r="5" spans="1:3" x14ac:dyDescent="0.3">
      <c r="A5" s="22"/>
      <c r="B5">
        <v>10000</v>
      </c>
      <c r="C5" s="40" t="s">
        <v>85</v>
      </c>
    </row>
    <row r="6" spans="1:3" x14ac:dyDescent="0.3">
      <c r="A6" s="22"/>
      <c r="B6">
        <v>11000</v>
      </c>
      <c r="C6" s="40" t="s">
        <v>54</v>
      </c>
    </row>
    <row r="7" spans="1:3" x14ac:dyDescent="0.3">
      <c r="A7" s="22"/>
      <c r="B7">
        <v>12000</v>
      </c>
      <c r="C7" s="40" t="s">
        <v>55</v>
      </c>
    </row>
    <row r="8" spans="1:3" x14ac:dyDescent="0.3">
      <c r="A8" s="22"/>
      <c r="B8">
        <v>19001</v>
      </c>
      <c r="C8" s="40" t="s">
        <v>176</v>
      </c>
    </row>
    <row r="9" spans="1:3" x14ac:dyDescent="0.3">
      <c r="A9" s="22"/>
      <c r="B9">
        <v>19002</v>
      </c>
      <c r="C9" s="40" t="s">
        <v>144</v>
      </c>
    </row>
    <row r="10" spans="1:3" x14ac:dyDescent="0.3">
      <c r="A10" s="22"/>
      <c r="B10">
        <v>19003</v>
      </c>
      <c r="C10" s="40" t="s">
        <v>173</v>
      </c>
    </row>
    <row r="11" spans="1:3" x14ac:dyDescent="0.3">
      <c r="A11" s="22"/>
      <c r="B11">
        <v>19004</v>
      </c>
      <c r="C11" s="40" t="s">
        <v>177</v>
      </c>
    </row>
    <row r="12" spans="1:3" x14ac:dyDescent="0.3">
      <c r="A12" s="22"/>
      <c r="B12">
        <v>19005</v>
      </c>
      <c r="C12" s="40" t="s">
        <v>174</v>
      </c>
    </row>
    <row r="13" spans="1:3" x14ac:dyDescent="0.3">
      <c r="A13" s="48"/>
      <c r="B13" s="49"/>
      <c r="C13" s="50"/>
    </row>
    <row r="14" spans="1:3" x14ac:dyDescent="0.3">
      <c r="A14" s="22" t="s">
        <v>86</v>
      </c>
      <c r="B14" s="327" t="s">
        <v>87</v>
      </c>
      <c r="C14" s="328"/>
    </row>
    <row r="15" spans="1:3" x14ac:dyDescent="0.3">
      <c r="A15" s="22"/>
      <c r="B15">
        <v>20000</v>
      </c>
      <c r="C15" s="40" t="s">
        <v>85</v>
      </c>
    </row>
    <row r="16" spans="1:3" x14ac:dyDescent="0.3">
      <c r="A16" s="22"/>
      <c r="B16">
        <v>21000</v>
      </c>
      <c r="C16" s="40" t="s">
        <v>108</v>
      </c>
    </row>
    <row r="17" spans="1:3" x14ac:dyDescent="0.3">
      <c r="A17" s="22"/>
      <c r="B17">
        <v>22000</v>
      </c>
      <c r="C17" s="40" t="s">
        <v>4</v>
      </c>
    </row>
    <row r="18" spans="1:3" x14ac:dyDescent="0.3">
      <c r="A18" s="48"/>
      <c r="B18" s="49"/>
      <c r="C18" s="50"/>
    </row>
    <row r="19" spans="1:3" x14ac:dyDescent="0.3">
      <c r="A19" s="22" t="s">
        <v>89</v>
      </c>
      <c r="B19" s="327" t="s">
        <v>90</v>
      </c>
      <c r="C19" s="328"/>
    </row>
    <row r="20" spans="1:3" x14ac:dyDescent="0.3">
      <c r="A20" s="22"/>
      <c r="B20">
        <v>30000</v>
      </c>
      <c r="C20" s="40" t="s">
        <v>85</v>
      </c>
    </row>
    <row r="21" spans="1:3" x14ac:dyDescent="0.3">
      <c r="A21" s="22"/>
      <c r="B21">
        <v>31000</v>
      </c>
      <c r="C21" s="40" t="s">
        <v>88</v>
      </c>
    </row>
    <row r="22" spans="1:3" x14ac:dyDescent="0.3">
      <c r="A22" s="22"/>
      <c r="B22">
        <v>32000</v>
      </c>
      <c r="C22" s="40" t="s">
        <v>57</v>
      </c>
    </row>
    <row r="23" spans="1:3" x14ac:dyDescent="0.3">
      <c r="A23" s="22"/>
      <c r="B23">
        <v>33000</v>
      </c>
      <c r="C23" s="40" t="s">
        <v>208</v>
      </c>
    </row>
    <row r="24" spans="1:3" x14ac:dyDescent="0.3">
      <c r="A24" s="48"/>
      <c r="B24" s="49"/>
      <c r="C24" s="50"/>
    </row>
    <row r="25" spans="1:3" x14ac:dyDescent="0.3">
      <c r="A25" s="22" t="s">
        <v>91</v>
      </c>
      <c r="B25" s="327" t="s">
        <v>93</v>
      </c>
      <c r="C25" s="328"/>
    </row>
    <row r="26" spans="1:3" x14ac:dyDescent="0.3">
      <c r="A26" s="22"/>
      <c r="B26">
        <v>40000</v>
      </c>
      <c r="C26" s="40" t="s">
        <v>85</v>
      </c>
    </row>
    <row r="27" spans="1:3" x14ac:dyDescent="0.3">
      <c r="A27" s="22"/>
      <c r="B27">
        <v>41000</v>
      </c>
      <c r="C27" s="40" t="s">
        <v>58</v>
      </c>
    </row>
    <row r="28" spans="1:3" x14ac:dyDescent="0.3">
      <c r="A28" s="22"/>
      <c r="B28">
        <v>42000</v>
      </c>
      <c r="C28" s="40" t="s">
        <v>59</v>
      </c>
    </row>
    <row r="29" spans="1:3" x14ac:dyDescent="0.3">
      <c r="A29" s="22"/>
      <c r="B29">
        <v>42001</v>
      </c>
      <c r="C29" s="40" t="s">
        <v>179</v>
      </c>
    </row>
    <row r="30" spans="1:3" x14ac:dyDescent="0.3">
      <c r="A30" s="22"/>
      <c r="B30">
        <v>42002</v>
      </c>
      <c r="C30" s="40" t="s">
        <v>180</v>
      </c>
    </row>
    <row r="31" spans="1:3" x14ac:dyDescent="0.3">
      <c r="A31" s="22"/>
      <c r="B31">
        <v>43000</v>
      </c>
      <c r="C31" s="40" t="s">
        <v>60</v>
      </c>
    </row>
    <row r="32" spans="1:3" x14ac:dyDescent="0.3">
      <c r="A32" s="22"/>
      <c r="B32">
        <v>44000</v>
      </c>
      <c r="C32" s="40" t="s">
        <v>61</v>
      </c>
    </row>
    <row r="33" spans="1:3" x14ac:dyDescent="0.3">
      <c r="A33" s="22"/>
      <c r="B33">
        <v>45000</v>
      </c>
      <c r="C33" s="40" t="s">
        <v>92</v>
      </c>
    </row>
    <row r="34" spans="1:3" x14ac:dyDescent="0.3">
      <c r="A34" s="22"/>
      <c r="B34">
        <v>46000</v>
      </c>
      <c r="C34" s="40" t="s">
        <v>62</v>
      </c>
    </row>
    <row r="35" spans="1:3" x14ac:dyDescent="0.3">
      <c r="A35" s="48"/>
      <c r="B35" s="49"/>
      <c r="C35" s="50"/>
    </row>
    <row r="36" spans="1:3" x14ac:dyDescent="0.3">
      <c r="A36" s="22" t="s">
        <v>94</v>
      </c>
      <c r="B36" s="327" t="s">
        <v>95</v>
      </c>
      <c r="C36" s="328"/>
    </row>
    <row r="37" spans="1:3" x14ac:dyDescent="0.3">
      <c r="A37" s="22"/>
      <c r="B37">
        <v>50000</v>
      </c>
      <c r="C37" s="40" t="s">
        <v>85</v>
      </c>
    </row>
    <row r="38" spans="1:3" x14ac:dyDescent="0.3">
      <c r="A38" s="22"/>
      <c r="B38">
        <v>51000</v>
      </c>
      <c r="C38" s="40" t="s">
        <v>96</v>
      </c>
    </row>
    <row r="39" spans="1:3" x14ac:dyDescent="0.3">
      <c r="A39" s="22"/>
      <c r="B39" s="64" t="s">
        <v>126</v>
      </c>
      <c r="C39" s="40" t="s">
        <v>127</v>
      </c>
    </row>
    <row r="40" spans="1:3" x14ac:dyDescent="0.3">
      <c r="A40" s="22"/>
      <c r="B40">
        <v>52000</v>
      </c>
      <c r="C40" s="40" t="s">
        <v>62</v>
      </c>
    </row>
    <row r="41" spans="1:3" x14ac:dyDescent="0.3">
      <c r="A41" s="22"/>
      <c r="B41">
        <v>52100</v>
      </c>
      <c r="C41" s="40" t="s">
        <v>156</v>
      </c>
    </row>
    <row r="42" spans="1:3" x14ac:dyDescent="0.3">
      <c r="A42" s="22"/>
      <c r="B42">
        <v>52200</v>
      </c>
      <c r="C42" s="40" t="s">
        <v>157</v>
      </c>
    </row>
    <row r="43" spans="1:3" x14ac:dyDescent="0.3">
      <c r="A43" s="22"/>
      <c r="B43">
        <v>52300</v>
      </c>
      <c r="C43" s="40" t="s">
        <v>158</v>
      </c>
    </row>
    <row r="44" spans="1:3" x14ac:dyDescent="0.3">
      <c r="A44" s="22"/>
      <c r="B44">
        <v>53000</v>
      </c>
      <c r="C44" s="40" t="s">
        <v>63</v>
      </c>
    </row>
    <row r="45" spans="1:3" x14ac:dyDescent="0.3">
      <c r="A45" s="22"/>
      <c r="B45">
        <v>54000</v>
      </c>
      <c r="C45" s="40" t="s">
        <v>64</v>
      </c>
    </row>
    <row r="46" spans="1:3" x14ac:dyDescent="0.3">
      <c r="A46" s="48"/>
      <c r="B46" s="49"/>
      <c r="C46" s="50"/>
    </row>
    <row r="47" spans="1:3" x14ac:dyDescent="0.3">
      <c r="A47" s="22" t="s">
        <v>97</v>
      </c>
      <c r="B47" s="327" t="s">
        <v>98</v>
      </c>
      <c r="C47" s="328"/>
    </row>
    <row r="48" spans="1:3" x14ac:dyDescent="0.3">
      <c r="A48" s="22"/>
      <c r="B48">
        <v>60000</v>
      </c>
      <c r="C48" s="40" t="s">
        <v>85</v>
      </c>
    </row>
    <row r="49" spans="1:3" x14ac:dyDescent="0.3">
      <c r="A49" s="22"/>
      <c r="B49">
        <v>61000</v>
      </c>
      <c r="C49" s="40" t="s">
        <v>99</v>
      </c>
    </row>
    <row r="50" spans="1:3" x14ac:dyDescent="0.3">
      <c r="A50" s="22"/>
      <c r="B50">
        <v>62000</v>
      </c>
      <c r="C50" s="40" t="s">
        <v>100</v>
      </c>
    </row>
    <row r="51" spans="1:3" x14ac:dyDescent="0.3">
      <c r="A51" s="22"/>
      <c r="B51">
        <v>63000</v>
      </c>
      <c r="C51" s="40" t="s">
        <v>65</v>
      </c>
    </row>
    <row r="52" spans="1:3" x14ac:dyDescent="0.3">
      <c r="A52" s="22"/>
      <c r="B52">
        <v>64000</v>
      </c>
      <c r="C52" s="40" t="s">
        <v>80</v>
      </c>
    </row>
    <row r="53" spans="1:3" x14ac:dyDescent="0.3">
      <c r="A53" s="22"/>
      <c r="B53">
        <v>65000</v>
      </c>
      <c r="C53" s="40" t="s">
        <v>66</v>
      </c>
    </row>
    <row r="54" spans="1:3" x14ac:dyDescent="0.3">
      <c r="A54" s="48"/>
      <c r="B54" s="49"/>
      <c r="C54" s="50"/>
    </row>
    <row r="55" spans="1:3" x14ac:dyDescent="0.3">
      <c r="A55" s="22" t="s">
        <v>101</v>
      </c>
      <c r="B55" s="327" t="s">
        <v>102</v>
      </c>
      <c r="C55" s="328"/>
    </row>
    <row r="56" spans="1:3" x14ac:dyDescent="0.3">
      <c r="A56" s="22"/>
      <c r="B56">
        <v>70000</v>
      </c>
      <c r="C56" s="40" t="s">
        <v>85</v>
      </c>
    </row>
    <row r="57" spans="1:3" x14ac:dyDescent="0.3">
      <c r="A57" s="22"/>
      <c r="B57">
        <v>71000</v>
      </c>
      <c r="C57" s="40" t="s">
        <v>81</v>
      </c>
    </row>
    <row r="58" spans="1:3" x14ac:dyDescent="0.3">
      <c r="A58" s="22"/>
      <c r="B58">
        <v>72100</v>
      </c>
      <c r="C58" s="40" t="s">
        <v>211</v>
      </c>
    </row>
    <row r="59" spans="1:3" x14ac:dyDescent="0.3">
      <c r="A59" s="22"/>
      <c r="B59">
        <v>72200</v>
      </c>
      <c r="C59" s="40" t="s">
        <v>210</v>
      </c>
    </row>
    <row r="60" spans="1:3" x14ac:dyDescent="0.3">
      <c r="A60" s="22"/>
      <c r="B60">
        <v>72300</v>
      </c>
      <c r="C60" s="40" t="s">
        <v>128</v>
      </c>
    </row>
    <row r="61" spans="1:3" x14ac:dyDescent="0.3">
      <c r="A61" s="22"/>
      <c r="B61">
        <v>72400</v>
      </c>
      <c r="C61" s="40" t="s">
        <v>129</v>
      </c>
    </row>
    <row r="62" spans="1:3" x14ac:dyDescent="0.3">
      <c r="A62" s="22"/>
      <c r="B62">
        <v>72500</v>
      </c>
      <c r="C62" s="40" t="s">
        <v>130</v>
      </c>
    </row>
    <row r="63" spans="1:3" x14ac:dyDescent="0.3">
      <c r="A63" s="22"/>
      <c r="B63">
        <v>72600</v>
      </c>
      <c r="C63" s="40" t="s">
        <v>131</v>
      </c>
    </row>
    <row r="64" spans="1:3" x14ac:dyDescent="0.3">
      <c r="A64" s="48"/>
      <c r="B64" s="49"/>
      <c r="C64" s="50"/>
    </row>
    <row r="65" spans="1:3" x14ac:dyDescent="0.3">
      <c r="A65" s="22" t="s">
        <v>103</v>
      </c>
      <c r="B65" s="327" t="s">
        <v>105</v>
      </c>
      <c r="C65" s="328"/>
    </row>
    <row r="66" spans="1:3" x14ac:dyDescent="0.3">
      <c r="A66" s="22"/>
      <c r="B66">
        <v>80000</v>
      </c>
      <c r="C66" s="40" t="s">
        <v>85</v>
      </c>
    </row>
    <row r="67" spans="1:3" x14ac:dyDescent="0.3">
      <c r="A67" s="22"/>
      <c r="B67">
        <v>81000</v>
      </c>
      <c r="C67" s="40" t="s">
        <v>107</v>
      </c>
    </row>
    <row r="68" spans="1:3" x14ac:dyDescent="0.3">
      <c r="A68" s="22"/>
      <c r="B68">
        <v>82000</v>
      </c>
      <c r="C68" s="40" t="s">
        <v>83</v>
      </c>
    </row>
    <row r="69" spans="1:3" x14ac:dyDescent="0.3">
      <c r="A69" s="22"/>
      <c r="B69">
        <v>82100</v>
      </c>
      <c r="C69" s="40" t="s">
        <v>67</v>
      </c>
    </row>
    <row r="70" spans="1:3" x14ac:dyDescent="0.3">
      <c r="A70" s="22"/>
      <c r="B70">
        <v>82200</v>
      </c>
      <c r="C70" s="40" t="s">
        <v>68</v>
      </c>
    </row>
    <row r="71" spans="1:3" x14ac:dyDescent="0.3">
      <c r="A71" s="48"/>
      <c r="B71" s="49"/>
      <c r="C71" s="50"/>
    </row>
    <row r="72" spans="1:3" x14ac:dyDescent="0.3">
      <c r="A72" s="22" t="s">
        <v>104</v>
      </c>
      <c r="B72" s="327" t="s">
        <v>106</v>
      </c>
      <c r="C72" s="328"/>
    </row>
    <row r="73" spans="1:3" x14ac:dyDescent="0.3">
      <c r="A73" s="22"/>
      <c r="B73">
        <v>90000</v>
      </c>
      <c r="C73" s="40" t="s">
        <v>85</v>
      </c>
    </row>
    <row r="74" spans="1:3" x14ac:dyDescent="0.3">
      <c r="A74" s="22"/>
      <c r="B74">
        <v>91000</v>
      </c>
      <c r="C74" s="40" t="s">
        <v>69</v>
      </c>
    </row>
    <row r="75" spans="1:3" x14ac:dyDescent="0.3">
      <c r="A75" s="22"/>
      <c r="B75">
        <v>92000</v>
      </c>
      <c r="C75" s="40" t="s">
        <v>178</v>
      </c>
    </row>
    <row r="76" spans="1:3" ht="15" thickBot="1" x14ac:dyDescent="0.35">
      <c r="A76" s="13"/>
      <c r="B76" s="41"/>
      <c r="C76" s="42"/>
    </row>
  </sheetData>
  <sheetProtection algorithmName="SHA-512" hashValue="d06r6/Mlw8FAQtRmp0rhjuWn/mhJ+OHjArSjLpModfkh3GKXPJKWf1OhDlqQ1kE1HTNFqg4qgVOZNrsF1Box9Q==" saltValue="2iwf3YTMHYCk7cZkxzXZvQ==" spinCount="100000" sheet="1" objects="1" scenarios="1"/>
  <mergeCells count="9">
    <mergeCell ref="B14:C14"/>
    <mergeCell ref="B65:C65"/>
    <mergeCell ref="B72:C72"/>
    <mergeCell ref="B4:C4"/>
    <mergeCell ref="B55:C55"/>
    <mergeCell ref="B19:C19"/>
    <mergeCell ref="B25:C25"/>
    <mergeCell ref="B36:C36"/>
    <mergeCell ref="B47:C47"/>
  </mergeCells>
  <pageMargins left="0.25" right="0.25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68"/>
  <sheetViews>
    <sheetView zoomScale="70" zoomScaleNormal="70" zoomScalePageLayoutView="125" workbookViewId="0">
      <pane xSplit="3" topLeftCell="D1" activePane="topRight" state="frozen"/>
      <selection pane="topRight" activeCell="D22" sqref="D22"/>
    </sheetView>
  </sheetViews>
  <sheetFormatPr baseColWidth="10" defaultColWidth="11.44140625" defaultRowHeight="14.4" x14ac:dyDescent="0.3"/>
  <cols>
    <col min="1" max="1" width="9.44140625" bestFit="1" customWidth="1"/>
    <col min="2" max="2" width="6.44140625" bestFit="1" customWidth="1"/>
    <col min="3" max="3" width="37.5546875" bestFit="1" customWidth="1"/>
    <col min="4" max="4" width="17.109375" bestFit="1" customWidth="1"/>
    <col min="5" max="5" width="12" bestFit="1" customWidth="1"/>
    <col min="6" max="6" width="19.109375" bestFit="1" customWidth="1"/>
    <col min="7" max="7" width="3.44140625" customWidth="1"/>
    <col min="8" max="8" width="16.5546875" customWidth="1"/>
    <col min="9" max="9" width="12" customWidth="1"/>
    <col min="10" max="10" width="19.109375" bestFit="1" customWidth="1"/>
    <col min="11" max="11" width="3.44140625" customWidth="1"/>
    <col min="12" max="12" width="14.88671875" customWidth="1"/>
    <col min="13" max="13" width="12" customWidth="1"/>
    <col min="14" max="14" width="19.109375" bestFit="1" customWidth="1"/>
    <col min="15" max="15" width="3.44140625" customWidth="1"/>
    <col min="16" max="16" width="14.88671875" customWidth="1"/>
    <col min="17" max="17" width="12" customWidth="1"/>
    <col min="18" max="18" width="19.109375" bestFit="1" customWidth="1"/>
    <col min="19" max="19" width="3.44140625" customWidth="1"/>
    <col min="20" max="20" width="14.88671875" customWidth="1"/>
    <col min="21" max="21" width="12" customWidth="1"/>
    <col min="22" max="22" width="19.109375" bestFit="1" customWidth="1"/>
    <col min="23" max="23" width="3.44140625" customWidth="1"/>
    <col min="24" max="24" width="14.88671875" customWidth="1"/>
    <col min="25" max="25" width="12" customWidth="1"/>
    <col min="26" max="26" width="19.109375" bestFit="1" customWidth="1"/>
    <col min="27" max="27" width="3.44140625" customWidth="1"/>
    <col min="28" max="28" width="14.88671875" customWidth="1"/>
    <col min="29" max="29" width="12" customWidth="1"/>
    <col min="30" max="30" width="19.109375" bestFit="1" customWidth="1"/>
    <col min="31" max="31" width="3.44140625" customWidth="1"/>
    <col min="32" max="32" width="14.88671875" customWidth="1"/>
    <col min="33" max="33" width="12" customWidth="1"/>
    <col min="34" max="34" width="19.109375" bestFit="1" customWidth="1"/>
    <col min="35" max="35" width="3.44140625" customWidth="1"/>
    <col min="36" max="36" width="14.88671875" customWidth="1"/>
    <col min="37" max="37" width="12" customWidth="1"/>
    <col min="38" max="38" width="19.109375" bestFit="1" customWidth="1"/>
    <col min="39" max="39" width="3.44140625" customWidth="1"/>
    <col min="40" max="40" width="14.88671875" customWidth="1"/>
    <col min="41" max="41" width="12" customWidth="1"/>
    <col min="42" max="42" width="19.109375" bestFit="1" customWidth="1"/>
    <col min="43" max="43" width="3.44140625" customWidth="1"/>
    <col min="44" max="44" width="14.88671875" customWidth="1"/>
    <col min="45" max="45" width="12" customWidth="1"/>
    <col min="46" max="46" width="19.109375" bestFit="1" customWidth="1"/>
    <col min="47" max="47" width="3.44140625" customWidth="1"/>
    <col min="48" max="48" width="14.88671875" customWidth="1"/>
    <col min="49" max="49" width="12" customWidth="1"/>
    <col min="50" max="50" width="19.109375" bestFit="1" customWidth="1"/>
    <col min="51" max="51" width="4.88671875" customWidth="1"/>
    <col min="52" max="52" width="16.5546875" bestFit="1" customWidth="1"/>
    <col min="53" max="53" width="16.5546875" customWidth="1"/>
    <col min="54" max="54" width="8.5546875" bestFit="1" customWidth="1"/>
    <col min="55" max="55" width="14.44140625" bestFit="1" customWidth="1"/>
  </cols>
  <sheetData>
    <row r="1" spans="1:54" ht="15" thickBot="1" x14ac:dyDescent="0.35">
      <c r="A1" s="33"/>
      <c r="B1" s="341" t="s">
        <v>76</v>
      </c>
      <c r="C1" s="341"/>
      <c r="D1" s="19">
        <v>40000</v>
      </c>
      <c r="E1" s="344" t="s">
        <v>53</v>
      </c>
      <c r="F1" s="345"/>
      <c r="G1" s="1"/>
      <c r="H1" s="19">
        <v>41000</v>
      </c>
      <c r="I1" s="344" t="s">
        <v>58</v>
      </c>
      <c r="J1" s="345" t="s">
        <v>54</v>
      </c>
      <c r="K1" s="1"/>
      <c r="L1" s="19">
        <v>42000</v>
      </c>
      <c r="M1" s="344" t="s">
        <v>59</v>
      </c>
      <c r="N1" s="345"/>
      <c r="O1" s="1"/>
      <c r="P1" s="19">
        <v>42500</v>
      </c>
      <c r="Q1" s="344" t="s">
        <v>179</v>
      </c>
      <c r="R1" s="345"/>
      <c r="S1" s="1"/>
      <c r="T1" s="19">
        <v>42100</v>
      </c>
      <c r="U1" s="344" t="s">
        <v>227</v>
      </c>
      <c r="V1" s="345"/>
      <c r="W1" s="1"/>
      <c r="X1" s="19">
        <v>42200</v>
      </c>
      <c r="Y1" s="344" t="s">
        <v>242</v>
      </c>
      <c r="Z1" s="345"/>
      <c r="AA1" s="1"/>
      <c r="AB1" s="19">
        <v>43000</v>
      </c>
      <c r="AC1" s="344" t="s">
        <v>60</v>
      </c>
      <c r="AD1" s="345"/>
      <c r="AE1" s="1"/>
      <c r="AF1" s="19">
        <v>44000</v>
      </c>
      <c r="AG1" s="344" t="s">
        <v>61</v>
      </c>
      <c r="AH1" s="345"/>
      <c r="AI1" s="1"/>
      <c r="AJ1" s="19">
        <v>45000</v>
      </c>
      <c r="AK1" s="344" t="s">
        <v>229</v>
      </c>
      <c r="AL1" s="345"/>
      <c r="AM1" s="1"/>
      <c r="AN1" s="19">
        <v>46000</v>
      </c>
      <c r="AO1" s="344" t="s">
        <v>62</v>
      </c>
      <c r="AP1" s="345"/>
      <c r="AQ1" s="1"/>
      <c r="AR1" s="19">
        <v>46001</v>
      </c>
      <c r="AS1" s="344" t="s">
        <v>318</v>
      </c>
      <c r="AT1" s="345"/>
      <c r="AU1" s="1"/>
      <c r="AV1" s="19"/>
      <c r="AW1" s="344"/>
      <c r="AX1" s="345"/>
    </row>
    <row r="2" spans="1:54" ht="15" thickBot="1" x14ac:dyDescent="0.35">
      <c r="A2" s="32"/>
      <c r="B2" s="341" t="s">
        <v>75</v>
      </c>
      <c r="C2" s="341"/>
      <c r="D2" s="14"/>
      <c r="E2" s="15"/>
      <c r="F2" s="16"/>
      <c r="G2" s="2"/>
      <c r="H2" s="14"/>
      <c r="I2" s="15"/>
      <c r="J2" s="16"/>
      <c r="K2" s="2"/>
      <c r="L2" s="14"/>
      <c r="M2" s="15"/>
      <c r="N2" s="16"/>
      <c r="O2" s="2"/>
      <c r="P2" s="14"/>
      <c r="Q2" s="15"/>
      <c r="R2" s="16"/>
      <c r="S2" s="2"/>
      <c r="T2" s="14"/>
      <c r="U2" s="15"/>
      <c r="V2" s="16"/>
      <c r="W2" s="2"/>
      <c r="X2" s="14"/>
      <c r="Y2" s="15"/>
      <c r="Z2" s="16"/>
      <c r="AA2" s="2"/>
      <c r="AB2" s="14"/>
      <c r="AC2" s="15"/>
      <c r="AD2" s="16"/>
      <c r="AE2" s="2"/>
      <c r="AF2" s="14"/>
      <c r="AG2" s="15"/>
      <c r="AH2" s="16"/>
      <c r="AI2" s="2"/>
      <c r="AJ2" s="14"/>
      <c r="AK2" s="15"/>
      <c r="AL2" s="16"/>
      <c r="AM2" s="2"/>
      <c r="AN2" s="14"/>
      <c r="AO2" s="15"/>
      <c r="AP2" s="16"/>
      <c r="AQ2" s="2"/>
      <c r="AR2" s="14"/>
      <c r="AS2" s="15"/>
      <c r="AT2" s="16"/>
      <c r="AU2" s="2"/>
      <c r="AV2" s="14"/>
      <c r="AW2" s="15"/>
      <c r="AX2" s="16"/>
      <c r="AZ2" s="254" t="s">
        <v>52</v>
      </c>
      <c r="BA2" s="274" t="s">
        <v>52</v>
      </c>
    </row>
    <row r="3" spans="1:54" ht="15" thickBot="1" x14ac:dyDescent="0.35">
      <c r="B3" s="3" t="s">
        <v>0</v>
      </c>
      <c r="C3" s="18" t="s">
        <v>47</v>
      </c>
      <c r="D3" s="29" t="s">
        <v>342</v>
      </c>
      <c r="E3" s="30" t="s">
        <v>70</v>
      </c>
      <c r="F3" s="31" t="s">
        <v>343</v>
      </c>
      <c r="G3" s="4"/>
      <c r="H3" s="29" t="s">
        <v>342</v>
      </c>
      <c r="I3" s="30" t="s">
        <v>70</v>
      </c>
      <c r="J3" s="31" t="s">
        <v>343</v>
      </c>
      <c r="K3" s="4"/>
      <c r="L3" s="29" t="s">
        <v>342</v>
      </c>
      <c r="M3" s="30" t="s">
        <v>70</v>
      </c>
      <c r="N3" s="31" t="s">
        <v>343</v>
      </c>
      <c r="O3" s="4"/>
      <c r="P3" s="29" t="s">
        <v>342</v>
      </c>
      <c r="Q3" s="30" t="s">
        <v>70</v>
      </c>
      <c r="R3" s="31" t="s">
        <v>343</v>
      </c>
      <c r="S3" s="4"/>
      <c r="T3" s="29" t="s">
        <v>342</v>
      </c>
      <c r="U3" s="30" t="s">
        <v>70</v>
      </c>
      <c r="V3" s="31" t="s">
        <v>343</v>
      </c>
      <c r="W3" s="4"/>
      <c r="X3" s="29" t="s">
        <v>342</v>
      </c>
      <c r="Y3" s="30" t="s">
        <v>70</v>
      </c>
      <c r="Z3" s="31" t="s">
        <v>343</v>
      </c>
      <c r="AA3" s="4"/>
      <c r="AB3" s="29" t="s">
        <v>342</v>
      </c>
      <c r="AC3" s="30" t="s">
        <v>70</v>
      </c>
      <c r="AD3" s="31" t="s">
        <v>343</v>
      </c>
      <c r="AE3" s="4"/>
      <c r="AF3" s="29" t="s">
        <v>342</v>
      </c>
      <c r="AG3" s="30" t="s">
        <v>70</v>
      </c>
      <c r="AH3" s="31" t="s">
        <v>343</v>
      </c>
      <c r="AI3" s="4"/>
      <c r="AJ3" s="29" t="s">
        <v>342</v>
      </c>
      <c r="AK3" s="30" t="s">
        <v>70</v>
      </c>
      <c r="AL3" s="31" t="s">
        <v>343</v>
      </c>
      <c r="AM3" s="4"/>
      <c r="AN3" s="29" t="s">
        <v>304</v>
      </c>
      <c r="AO3" s="30" t="s">
        <v>70</v>
      </c>
      <c r="AP3" s="31" t="s">
        <v>283</v>
      </c>
      <c r="AQ3" s="4"/>
      <c r="AR3" s="29" t="s">
        <v>342</v>
      </c>
      <c r="AS3" s="30" t="s">
        <v>70</v>
      </c>
      <c r="AT3" s="31" t="s">
        <v>343</v>
      </c>
      <c r="AU3" s="4"/>
      <c r="AV3" s="29" t="s">
        <v>304</v>
      </c>
      <c r="AW3" s="30" t="s">
        <v>70</v>
      </c>
      <c r="AX3" s="31" t="s">
        <v>203</v>
      </c>
      <c r="AZ3" s="109" t="s">
        <v>367</v>
      </c>
      <c r="BA3" s="284" t="s">
        <v>368</v>
      </c>
      <c r="BB3" s="263" t="s">
        <v>0</v>
      </c>
    </row>
    <row r="4" spans="1:54" ht="15" thickBot="1" x14ac:dyDescent="0.35">
      <c r="A4" s="5" t="s">
        <v>45</v>
      </c>
      <c r="B4" s="6">
        <v>3100</v>
      </c>
      <c r="C4" s="17" t="s">
        <v>3</v>
      </c>
      <c r="D4" s="80"/>
      <c r="E4" s="81"/>
      <c r="F4" s="82"/>
      <c r="G4" s="83"/>
      <c r="H4" s="80"/>
      <c r="I4" s="81"/>
      <c r="J4" s="82"/>
      <c r="K4" s="83"/>
      <c r="L4" s="80"/>
      <c r="M4" s="81"/>
      <c r="N4" s="82"/>
      <c r="O4" s="83"/>
      <c r="P4" s="80"/>
      <c r="Q4" s="81"/>
      <c r="R4" s="82"/>
      <c r="S4" s="83"/>
      <c r="T4" s="80"/>
      <c r="U4" s="81"/>
      <c r="V4" s="82"/>
      <c r="W4" s="83"/>
      <c r="X4" s="80"/>
      <c r="Y4" s="81"/>
      <c r="Z4" s="82"/>
      <c r="AA4" s="83"/>
      <c r="AB4" s="80"/>
      <c r="AC4" s="81"/>
      <c r="AD4" s="82"/>
      <c r="AE4" s="83"/>
      <c r="AF4" s="80"/>
      <c r="AG4" s="81"/>
      <c r="AH4" s="82"/>
      <c r="AI4" s="83"/>
      <c r="AJ4" s="80"/>
      <c r="AK4" s="81"/>
      <c r="AL4" s="82"/>
      <c r="AM4" s="83"/>
      <c r="AN4" s="80"/>
      <c r="AO4" s="81"/>
      <c r="AP4" s="82"/>
      <c r="AQ4" s="83"/>
      <c r="AR4" s="80"/>
      <c r="AS4" s="81"/>
      <c r="AT4" s="82"/>
      <c r="AU4" s="83"/>
      <c r="AV4" s="80"/>
      <c r="AW4" s="81"/>
      <c r="AX4" s="82"/>
      <c r="AZ4" s="288">
        <f>SUM(F4+J4+N4+R4+V4+Z4+AD4+AH4+AL4+AP4+AT4+AX4)</f>
        <v>0</v>
      </c>
      <c r="BA4" s="82">
        <f t="shared" ref="BA4:BA8" si="0">SUM(D4+H4+L4+P4+T4+X4+AB4+AF4+AJ4+AN4+AR4+AV4)</f>
        <v>0</v>
      </c>
      <c r="BB4" s="256">
        <v>3100</v>
      </c>
    </row>
    <row r="5" spans="1:54" hidden="1" x14ac:dyDescent="0.3">
      <c r="B5" s="6">
        <v>3120</v>
      </c>
      <c r="C5" s="7" t="s">
        <v>4</v>
      </c>
      <c r="D5" s="80"/>
      <c r="E5" s="81"/>
      <c r="F5" s="82"/>
      <c r="G5" s="83"/>
      <c r="H5" s="80"/>
      <c r="I5" s="81"/>
      <c r="J5" s="82"/>
      <c r="K5" s="83"/>
      <c r="L5" s="80"/>
      <c r="M5" s="81"/>
      <c r="N5" s="82"/>
      <c r="O5" s="83"/>
      <c r="P5" s="80"/>
      <c r="Q5" s="81"/>
      <c r="R5" s="82"/>
      <c r="S5" s="83"/>
      <c r="T5" s="80"/>
      <c r="U5" s="81"/>
      <c r="V5" s="82"/>
      <c r="W5" s="83"/>
      <c r="X5" s="80"/>
      <c r="Y5" s="81"/>
      <c r="Z5" s="82"/>
      <c r="AA5" s="83"/>
      <c r="AB5" s="80"/>
      <c r="AC5" s="81"/>
      <c r="AD5" s="82"/>
      <c r="AE5" s="83"/>
      <c r="AF5" s="80"/>
      <c r="AG5" s="81"/>
      <c r="AH5" s="82"/>
      <c r="AI5" s="83"/>
      <c r="AJ5" s="80"/>
      <c r="AK5" s="81"/>
      <c r="AL5" s="82"/>
      <c r="AM5" s="83"/>
      <c r="AN5" s="80"/>
      <c r="AO5" s="81"/>
      <c r="AP5" s="82"/>
      <c r="AQ5" s="83"/>
      <c r="AR5" s="80"/>
      <c r="AS5" s="81"/>
      <c r="AT5" s="82"/>
      <c r="AU5" s="83"/>
      <c r="AV5" s="80"/>
      <c r="AW5" s="81"/>
      <c r="AX5" s="82"/>
      <c r="AZ5" s="288">
        <f t="shared" ref="AZ5:AZ59" si="1">SUM(F5+J5+N5+R5+V5+Z5+AD5+AH5+AL5+AP5+AT5+AX5)</f>
        <v>0</v>
      </c>
      <c r="BA5" s="82">
        <f t="shared" si="0"/>
        <v>0</v>
      </c>
      <c r="BB5" s="256">
        <v>3120</v>
      </c>
    </row>
    <row r="6" spans="1:54" hidden="1" x14ac:dyDescent="0.3">
      <c r="B6" s="6">
        <v>3400</v>
      </c>
      <c r="C6" s="7" t="s">
        <v>5</v>
      </c>
      <c r="D6" s="80"/>
      <c r="E6" s="81"/>
      <c r="F6" s="82"/>
      <c r="G6" s="83"/>
      <c r="H6" s="80"/>
      <c r="I6" s="81"/>
      <c r="J6" s="82"/>
      <c r="K6" s="83"/>
      <c r="L6" s="80"/>
      <c r="M6" s="81"/>
      <c r="N6" s="82"/>
      <c r="O6" s="83"/>
      <c r="P6" s="80"/>
      <c r="Q6" s="81"/>
      <c r="R6" s="82"/>
      <c r="S6" s="83"/>
      <c r="T6" s="80"/>
      <c r="U6" s="81"/>
      <c r="V6" s="82"/>
      <c r="W6" s="83"/>
      <c r="X6" s="80"/>
      <c r="Y6" s="81"/>
      <c r="Z6" s="82"/>
      <c r="AA6" s="83"/>
      <c r="AB6" s="80"/>
      <c r="AC6" s="81"/>
      <c r="AD6" s="82"/>
      <c r="AE6" s="83"/>
      <c r="AF6" s="80"/>
      <c r="AG6" s="81"/>
      <c r="AH6" s="82"/>
      <c r="AI6" s="83"/>
      <c r="AJ6" s="80"/>
      <c r="AK6" s="81"/>
      <c r="AL6" s="82"/>
      <c r="AM6" s="83"/>
      <c r="AN6" s="80"/>
      <c r="AO6" s="81"/>
      <c r="AP6" s="82"/>
      <c r="AQ6" s="83"/>
      <c r="AR6" s="80"/>
      <c r="AS6" s="81"/>
      <c r="AT6" s="82"/>
      <c r="AU6" s="83"/>
      <c r="AV6" s="80"/>
      <c r="AW6" s="81"/>
      <c r="AX6" s="82"/>
      <c r="AZ6" s="288">
        <f t="shared" si="1"/>
        <v>0</v>
      </c>
      <c r="BA6" s="82">
        <f t="shared" si="0"/>
        <v>0</v>
      </c>
      <c r="BB6" s="256">
        <v>3400</v>
      </c>
    </row>
    <row r="7" spans="1:54" hidden="1" x14ac:dyDescent="0.3">
      <c r="B7" s="6">
        <v>3410</v>
      </c>
      <c r="C7" s="7" t="s">
        <v>6</v>
      </c>
      <c r="D7" s="80"/>
      <c r="E7" s="81"/>
      <c r="F7" s="82"/>
      <c r="G7" s="83"/>
      <c r="H7" s="80"/>
      <c r="I7" s="81"/>
      <c r="J7" s="82"/>
      <c r="K7" s="83"/>
      <c r="L7" s="80"/>
      <c r="M7" s="81"/>
      <c r="N7" s="82"/>
      <c r="O7" s="83"/>
      <c r="P7" s="80"/>
      <c r="Q7" s="81"/>
      <c r="R7" s="82"/>
      <c r="S7" s="83"/>
      <c r="T7" s="80"/>
      <c r="U7" s="81"/>
      <c r="V7" s="82"/>
      <c r="W7" s="83"/>
      <c r="X7" s="80"/>
      <c r="Y7" s="81"/>
      <c r="Z7" s="82"/>
      <c r="AA7" s="83"/>
      <c r="AB7" s="80"/>
      <c r="AC7" s="81"/>
      <c r="AD7" s="82"/>
      <c r="AE7" s="83"/>
      <c r="AF7" s="80"/>
      <c r="AG7" s="81"/>
      <c r="AH7" s="82"/>
      <c r="AI7" s="83"/>
      <c r="AJ7" s="80"/>
      <c r="AK7" s="81"/>
      <c r="AL7" s="82"/>
      <c r="AM7" s="83"/>
      <c r="AN7" s="80"/>
      <c r="AO7" s="81"/>
      <c r="AP7" s="82"/>
      <c r="AQ7" s="83"/>
      <c r="AR7" s="80"/>
      <c r="AS7" s="81"/>
      <c r="AT7" s="82"/>
      <c r="AU7" s="83"/>
      <c r="AV7" s="80"/>
      <c r="AW7" s="81"/>
      <c r="AX7" s="82"/>
      <c r="AZ7" s="288">
        <f t="shared" si="1"/>
        <v>0</v>
      </c>
      <c r="BA7" s="82">
        <f t="shared" si="0"/>
        <v>0</v>
      </c>
      <c r="BB7" s="256">
        <v>3410</v>
      </c>
    </row>
    <row r="8" spans="1:54" hidden="1" x14ac:dyDescent="0.3">
      <c r="B8" s="6">
        <v>3900</v>
      </c>
      <c r="C8" s="7" t="s">
        <v>7</v>
      </c>
      <c r="D8" s="80"/>
      <c r="E8" s="81"/>
      <c r="F8" s="82"/>
      <c r="G8" s="83"/>
      <c r="H8" s="80"/>
      <c r="I8" s="81"/>
      <c r="J8" s="82"/>
      <c r="K8" s="83"/>
      <c r="L8" s="80"/>
      <c r="M8" s="81"/>
      <c r="N8" s="82"/>
      <c r="O8" s="83"/>
      <c r="P8" s="80"/>
      <c r="Q8" s="81"/>
      <c r="R8" s="82"/>
      <c r="S8" s="83"/>
      <c r="T8" s="80"/>
      <c r="U8" s="81"/>
      <c r="V8" s="82"/>
      <c r="W8" s="83"/>
      <c r="X8" s="80"/>
      <c r="Y8" s="81"/>
      <c r="Z8" s="82"/>
      <c r="AA8" s="83"/>
      <c r="AB8" s="80"/>
      <c r="AC8" s="81"/>
      <c r="AD8" s="82"/>
      <c r="AE8" s="83"/>
      <c r="AF8" s="80"/>
      <c r="AG8" s="81"/>
      <c r="AH8" s="82"/>
      <c r="AI8" s="83"/>
      <c r="AJ8" s="80"/>
      <c r="AK8" s="81"/>
      <c r="AL8" s="82"/>
      <c r="AM8" s="83"/>
      <c r="AN8" s="80"/>
      <c r="AO8" s="81"/>
      <c r="AP8" s="82"/>
      <c r="AQ8" s="83"/>
      <c r="AR8" s="80"/>
      <c r="AS8" s="81"/>
      <c r="AT8" s="82"/>
      <c r="AU8" s="83"/>
      <c r="AV8" s="80"/>
      <c r="AW8" s="81"/>
      <c r="AX8" s="82"/>
      <c r="AZ8" s="288">
        <f t="shared" si="1"/>
        <v>0</v>
      </c>
      <c r="BA8" s="82">
        <f t="shared" si="0"/>
        <v>0</v>
      </c>
      <c r="BB8" s="256">
        <v>3900</v>
      </c>
    </row>
    <row r="9" spans="1:54" ht="15" thickBot="1" x14ac:dyDescent="0.35">
      <c r="B9" s="6">
        <v>3910</v>
      </c>
      <c r="C9" s="7" t="s">
        <v>8</v>
      </c>
      <c r="D9" s="80"/>
      <c r="E9" s="81"/>
      <c r="F9" s="82"/>
      <c r="G9" s="83"/>
      <c r="H9" s="80"/>
      <c r="I9" s="81"/>
      <c r="J9" s="82"/>
      <c r="K9" s="83"/>
      <c r="L9" s="80"/>
      <c r="M9" s="81"/>
      <c r="N9" s="82"/>
      <c r="O9" s="83"/>
      <c r="P9" s="80"/>
      <c r="Q9" s="81"/>
      <c r="R9" s="82"/>
      <c r="S9" s="83"/>
      <c r="T9" s="80"/>
      <c r="U9" s="81"/>
      <c r="V9" s="82"/>
      <c r="W9" s="83"/>
      <c r="X9" s="80"/>
      <c r="Y9" s="81"/>
      <c r="Z9" s="82"/>
      <c r="AA9" s="83"/>
      <c r="AB9" s="80"/>
      <c r="AC9" s="81"/>
      <c r="AD9" s="82"/>
      <c r="AE9" s="83"/>
      <c r="AF9" s="80"/>
      <c r="AG9" s="81"/>
      <c r="AH9" s="82"/>
      <c r="AI9" s="83"/>
      <c r="AJ9" s="80"/>
      <c r="AK9" s="81"/>
      <c r="AL9" s="82"/>
      <c r="AM9" s="83"/>
      <c r="AN9" s="80"/>
      <c r="AO9" s="81"/>
      <c r="AP9" s="82"/>
      <c r="AQ9" s="83"/>
      <c r="AR9" s="80"/>
      <c r="AS9" s="81"/>
      <c r="AT9" s="82"/>
      <c r="AU9" s="83"/>
      <c r="AV9" s="80"/>
      <c r="AW9" s="81"/>
      <c r="AX9" s="82"/>
      <c r="AZ9" s="288">
        <f t="shared" si="1"/>
        <v>0</v>
      </c>
      <c r="BA9" s="82">
        <f>SUM(D9+H9+L9+P9+T9+X9+AB9+AF9+AJ9+AN9+AR9+AV9)</f>
        <v>0</v>
      </c>
      <c r="BB9" s="256">
        <v>3910</v>
      </c>
    </row>
    <row r="10" spans="1:54" ht="15" hidden="1" thickBot="1" x14ac:dyDescent="0.35">
      <c r="B10" s="8">
        <v>3950</v>
      </c>
      <c r="C10" s="9" t="s">
        <v>9</v>
      </c>
      <c r="D10" s="84"/>
      <c r="E10" s="85"/>
      <c r="F10" s="86"/>
      <c r="G10" s="83"/>
      <c r="H10" s="84"/>
      <c r="I10" s="85"/>
      <c r="J10" s="86"/>
      <c r="K10" s="83"/>
      <c r="L10" s="84"/>
      <c r="M10" s="85"/>
      <c r="N10" s="86"/>
      <c r="O10" s="83"/>
      <c r="P10" s="84"/>
      <c r="Q10" s="85"/>
      <c r="R10" s="86"/>
      <c r="S10" s="83"/>
      <c r="T10" s="84"/>
      <c r="U10" s="85"/>
      <c r="V10" s="86"/>
      <c r="W10" s="83"/>
      <c r="X10" s="84"/>
      <c r="Y10" s="85"/>
      <c r="Z10" s="86"/>
      <c r="AA10" s="83"/>
      <c r="AB10" s="84"/>
      <c r="AC10" s="85"/>
      <c r="AD10" s="86"/>
      <c r="AE10" s="83"/>
      <c r="AF10" s="84"/>
      <c r="AG10" s="85"/>
      <c r="AH10" s="86"/>
      <c r="AI10" s="83"/>
      <c r="AJ10" s="84"/>
      <c r="AK10" s="85"/>
      <c r="AL10" s="86"/>
      <c r="AM10" s="83"/>
      <c r="AN10" s="84"/>
      <c r="AO10" s="85"/>
      <c r="AP10" s="86"/>
      <c r="AQ10" s="83"/>
      <c r="AR10" s="84"/>
      <c r="AS10" s="85"/>
      <c r="AT10" s="86"/>
      <c r="AU10" s="83"/>
      <c r="AV10" s="84"/>
      <c r="AW10" s="85"/>
      <c r="AX10" s="86"/>
      <c r="AZ10" s="288">
        <f t="shared" si="1"/>
        <v>0</v>
      </c>
      <c r="BA10" s="82">
        <f t="shared" ref="BA10:BA59" si="2">SUM(D10+H10+L10+P10+T10+X10+AB10+AF10+AJ10+AN10+AR10+AV10)</f>
        <v>0</v>
      </c>
      <c r="BB10" s="258">
        <v>3950</v>
      </c>
    </row>
    <row r="11" spans="1:54" ht="15" thickBot="1" x14ac:dyDescent="0.35">
      <c r="B11" s="24"/>
      <c r="C11" s="25" t="s">
        <v>73</v>
      </c>
      <c r="D11" s="87">
        <f>SUM(D4:D10)</f>
        <v>0</v>
      </c>
      <c r="E11" s="87"/>
      <c r="F11" s="87">
        <f t="shared" ref="F11" si="3">SUM(F4:F10)</f>
        <v>0</v>
      </c>
      <c r="G11" s="83"/>
      <c r="H11" s="87">
        <f>SUM(H4:H10)</f>
        <v>0</v>
      </c>
      <c r="I11" s="87"/>
      <c r="J11" s="87">
        <f t="shared" ref="J11" si="4">SUM(J4:J10)</f>
        <v>0</v>
      </c>
      <c r="K11" s="83"/>
      <c r="L11" s="87">
        <f>SUM(L4:L10)</f>
        <v>0</v>
      </c>
      <c r="M11" s="87"/>
      <c r="N11" s="87">
        <f t="shared" ref="N11" si="5">SUM(N4:N10)</f>
        <v>0</v>
      </c>
      <c r="O11" s="83"/>
      <c r="P11" s="87">
        <f>SUM(P4:P10)</f>
        <v>0</v>
      </c>
      <c r="Q11" s="87"/>
      <c r="R11" s="87">
        <f>SUM(R4:R10)</f>
        <v>0</v>
      </c>
      <c r="S11" s="83"/>
      <c r="T11" s="87">
        <f>SUM(T4:T10)</f>
        <v>0</v>
      </c>
      <c r="U11" s="87"/>
      <c r="V11" s="87">
        <f t="shared" ref="V11" si="6">SUM(V4:V10)</f>
        <v>0</v>
      </c>
      <c r="W11" s="83"/>
      <c r="X11" s="87">
        <f>SUM(X4:X10)</f>
        <v>0</v>
      </c>
      <c r="Y11" s="87"/>
      <c r="Z11" s="87">
        <f t="shared" ref="Z11" si="7">SUM(Z4:Z10)</f>
        <v>0</v>
      </c>
      <c r="AA11" s="83"/>
      <c r="AB11" s="87">
        <f>SUM(AB4:AB10)</f>
        <v>0</v>
      </c>
      <c r="AC11" s="87"/>
      <c r="AD11" s="87"/>
      <c r="AE11" s="83"/>
      <c r="AF11" s="87">
        <f>SUM(AF4:AF10)</f>
        <v>0</v>
      </c>
      <c r="AG11" s="87"/>
      <c r="AH11" s="87">
        <f t="shared" ref="AH11" si="8">SUM(AH4:AH10)</f>
        <v>0</v>
      </c>
      <c r="AI11" s="83"/>
      <c r="AJ11" s="87"/>
      <c r="AK11" s="87"/>
      <c r="AL11" s="87"/>
      <c r="AM11" s="83"/>
      <c r="AN11" s="87">
        <f>SUM(AN4:AN10)</f>
        <v>0</v>
      </c>
      <c r="AO11" s="87"/>
      <c r="AP11" s="87">
        <f t="shared" ref="AP11" si="9">SUM(AP4:AP10)</f>
        <v>0</v>
      </c>
      <c r="AQ11" s="83"/>
      <c r="AR11" s="87">
        <f>SUM(AR4:AR10)</f>
        <v>0</v>
      </c>
      <c r="AS11" s="87"/>
      <c r="AT11" s="87"/>
      <c r="AU11" s="83"/>
      <c r="AV11" s="87">
        <f>SUM(AV4:AV10)</f>
        <v>0</v>
      </c>
      <c r="AW11" s="87"/>
      <c r="AX11" s="87"/>
      <c r="AZ11" s="95">
        <f t="shared" si="1"/>
        <v>0</v>
      </c>
      <c r="BA11" s="89">
        <f t="shared" si="2"/>
        <v>0</v>
      </c>
      <c r="BB11" s="257"/>
    </row>
    <row r="12" spans="1:54" ht="15" thickBot="1" x14ac:dyDescent="0.35">
      <c r="A12" s="21" t="s">
        <v>46</v>
      </c>
      <c r="B12" s="20">
        <v>5000</v>
      </c>
      <c r="C12" s="23" t="s">
        <v>10</v>
      </c>
      <c r="D12" s="90">
        <f>Lønnsmatrise!F59+Lønnsmatrise!F30</f>
        <v>151365.84999999998</v>
      </c>
      <c r="E12" s="81"/>
      <c r="F12" s="82"/>
      <c r="G12" s="83"/>
      <c r="H12" s="90"/>
      <c r="I12" s="81"/>
      <c r="J12" s="82"/>
      <c r="K12" s="83"/>
      <c r="L12" s="90"/>
      <c r="M12" s="81"/>
      <c r="N12" s="82"/>
      <c r="O12" s="83"/>
      <c r="P12" s="90"/>
      <c r="Q12" s="81"/>
      <c r="R12" s="82"/>
      <c r="S12" s="83"/>
      <c r="T12" s="90"/>
      <c r="U12" s="81"/>
      <c r="V12" s="82"/>
      <c r="W12" s="83"/>
      <c r="X12" s="90"/>
      <c r="Y12" s="81"/>
      <c r="Z12" s="82"/>
      <c r="AA12" s="83"/>
      <c r="AB12" s="90"/>
      <c r="AC12" s="81"/>
      <c r="AD12" s="82"/>
      <c r="AE12" s="83"/>
      <c r="AF12" s="90"/>
      <c r="AG12" s="81"/>
      <c r="AH12" s="82"/>
      <c r="AI12" s="83"/>
      <c r="AJ12" s="90"/>
      <c r="AK12" s="81"/>
      <c r="AL12" s="82"/>
      <c r="AM12" s="83"/>
      <c r="AN12" s="90"/>
      <c r="AO12" s="81"/>
      <c r="AP12" s="82"/>
      <c r="AQ12" s="83"/>
      <c r="AR12" s="90"/>
      <c r="AS12" s="81"/>
      <c r="AT12" s="82"/>
      <c r="AU12" s="83"/>
      <c r="AV12" s="90"/>
      <c r="AW12" s="81"/>
      <c r="AX12" s="82"/>
      <c r="AZ12" s="288">
        <f t="shared" si="1"/>
        <v>0</v>
      </c>
      <c r="BA12" s="82">
        <f t="shared" si="2"/>
        <v>151365.84999999998</v>
      </c>
      <c r="BB12" s="50">
        <v>5000</v>
      </c>
    </row>
    <row r="13" spans="1:54" hidden="1" x14ac:dyDescent="0.3">
      <c r="B13" s="6">
        <v>5001</v>
      </c>
      <c r="C13" s="11" t="s">
        <v>11</v>
      </c>
      <c r="D13" s="90">
        <f>Lønnsmatrise!F60</f>
        <v>0</v>
      </c>
      <c r="E13" s="81"/>
      <c r="F13" s="82"/>
      <c r="G13" s="83"/>
      <c r="H13" s="90"/>
      <c r="I13" s="81"/>
      <c r="J13" s="82"/>
      <c r="K13" s="83"/>
      <c r="L13" s="90"/>
      <c r="M13" s="81"/>
      <c r="N13" s="82"/>
      <c r="O13" s="83"/>
      <c r="P13" s="90"/>
      <c r="Q13" s="81"/>
      <c r="R13" s="82"/>
      <c r="S13" s="83"/>
      <c r="T13" s="90"/>
      <c r="U13" s="81"/>
      <c r="V13" s="82"/>
      <c r="W13" s="83"/>
      <c r="X13" s="90"/>
      <c r="Y13" s="81"/>
      <c r="Z13" s="82"/>
      <c r="AA13" s="83"/>
      <c r="AB13" s="90"/>
      <c r="AC13" s="81"/>
      <c r="AD13" s="82"/>
      <c r="AE13" s="83"/>
      <c r="AF13" s="90"/>
      <c r="AG13" s="81"/>
      <c r="AH13" s="82"/>
      <c r="AI13" s="83"/>
      <c r="AJ13" s="90"/>
      <c r="AK13" s="81"/>
      <c r="AL13" s="82"/>
      <c r="AM13" s="83"/>
      <c r="AN13" s="90"/>
      <c r="AO13" s="81"/>
      <c r="AP13" s="82"/>
      <c r="AQ13" s="83"/>
      <c r="AR13" s="90"/>
      <c r="AS13" s="81"/>
      <c r="AT13" s="82"/>
      <c r="AU13" s="83"/>
      <c r="AV13" s="90"/>
      <c r="AW13" s="81"/>
      <c r="AX13" s="82"/>
      <c r="AZ13" s="288">
        <f t="shared" si="1"/>
        <v>0</v>
      </c>
      <c r="BA13" s="82">
        <f t="shared" si="2"/>
        <v>0</v>
      </c>
      <c r="BB13" s="256">
        <v>5001</v>
      </c>
    </row>
    <row r="14" spans="1:54" hidden="1" x14ac:dyDescent="0.3">
      <c r="B14" s="6">
        <v>5004</v>
      </c>
      <c r="C14" s="11" t="s">
        <v>12</v>
      </c>
      <c r="D14" s="90">
        <f>Lønnsmatrise!F61</f>
        <v>0</v>
      </c>
      <c r="E14" s="81"/>
      <c r="F14" s="82"/>
      <c r="G14" s="83"/>
      <c r="H14" s="90"/>
      <c r="I14" s="81"/>
      <c r="J14" s="82"/>
      <c r="K14" s="83"/>
      <c r="L14" s="90"/>
      <c r="M14" s="81"/>
      <c r="N14" s="82"/>
      <c r="O14" s="83"/>
      <c r="P14" s="90"/>
      <c r="Q14" s="81"/>
      <c r="R14" s="82"/>
      <c r="S14" s="83"/>
      <c r="T14" s="90"/>
      <c r="U14" s="81"/>
      <c r="V14" s="82"/>
      <c r="W14" s="83"/>
      <c r="X14" s="90"/>
      <c r="Y14" s="81"/>
      <c r="Z14" s="82"/>
      <c r="AA14" s="83"/>
      <c r="AB14" s="90"/>
      <c r="AC14" s="81"/>
      <c r="AD14" s="82"/>
      <c r="AE14" s="83"/>
      <c r="AF14" s="90"/>
      <c r="AG14" s="81"/>
      <c r="AH14" s="82"/>
      <c r="AI14" s="83"/>
      <c r="AJ14" s="90"/>
      <c r="AK14" s="81"/>
      <c r="AL14" s="82"/>
      <c r="AM14" s="83"/>
      <c r="AN14" s="90"/>
      <c r="AO14" s="81"/>
      <c r="AP14" s="82"/>
      <c r="AQ14" s="83"/>
      <c r="AR14" s="90"/>
      <c r="AS14" s="81"/>
      <c r="AT14" s="82"/>
      <c r="AU14" s="83"/>
      <c r="AV14" s="90"/>
      <c r="AW14" s="81"/>
      <c r="AX14" s="82"/>
      <c r="AZ14" s="288">
        <f t="shared" si="1"/>
        <v>0</v>
      </c>
      <c r="BA14" s="82">
        <f t="shared" si="2"/>
        <v>0</v>
      </c>
      <c r="BB14" s="256">
        <v>5004</v>
      </c>
    </row>
    <row r="15" spans="1:54" x14ac:dyDescent="0.3">
      <c r="B15" s="6">
        <v>5001</v>
      </c>
      <c r="C15" s="186" t="s">
        <v>11</v>
      </c>
      <c r="D15" s="90"/>
      <c r="E15" s="81"/>
      <c r="F15" s="82"/>
      <c r="G15" s="83"/>
      <c r="H15" s="90"/>
      <c r="I15" s="81"/>
      <c r="J15" s="82"/>
      <c r="K15" s="83"/>
      <c r="L15" s="90"/>
      <c r="M15" s="81"/>
      <c r="N15" s="82"/>
      <c r="O15" s="83"/>
      <c r="P15" s="90"/>
      <c r="Q15" s="81"/>
      <c r="R15" s="82"/>
      <c r="S15" s="83"/>
      <c r="T15" s="90"/>
      <c r="U15" s="81"/>
      <c r="V15" s="82"/>
      <c r="W15" s="83"/>
      <c r="X15" s="90"/>
      <c r="Y15" s="81"/>
      <c r="Z15" s="82"/>
      <c r="AA15" s="83"/>
      <c r="AB15" s="90">
        <f>SUM(200*18*2)</f>
        <v>7200</v>
      </c>
      <c r="AC15" s="81"/>
      <c r="AD15" s="82"/>
      <c r="AE15" s="83"/>
      <c r="AF15" s="90">
        <f>SUM(200*5)</f>
        <v>1000</v>
      </c>
      <c r="AG15" s="81"/>
      <c r="AH15" s="82"/>
      <c r="AI15" s="83"/>
      <c r="AJ15" s="90"/>
      <c r="AK15" s="81"/>
      <c r="AL15" s="82"/>
      <c r="AM15" s="83"/>
      <c r="AN15" s="90"/>
      <c r="AO15" s="81"/>
      <c r="AP15" s="82"/>
      <c r="AQ15" s="83"/>
      <c r="AR15" s="90"/>
      <c r="AS15" s="81"/>
      <c r="AT15" s="82"/>
      <c r="AU15" s="83"/>
      <c r="AV15" s="90"/>
      <c r="AW15" s="81"/>
      <c r="AX15" s="82"/>
      <c r="AZ15" s="289">
        <f t="shared" si="1"/>
        <v>0</v>
      </c>
      <c r="BA15" s="82">
        <f t="shared" si="2"/>
        <v>8200</v>
      </c>
      <c r="BB15" s="256">
        <v>5001</v>
      </c>
    </row>
    <row r="16" spans="1:54" x14ac:dyDescent="0.3">
      <c r="A16" s="10"/>
      <c r="B16" s="6">
        <v>5180</v>
      </c>
      <c r="C16" s="11" t="s">
        <v>13</v>
      </c>
      <c r="D16" s="90">
        <f>Lønnsmatrise!F62+Lønnsmatrise!F33</f>
        <v>18163.901999999998</v>
      </c>
      <c r="E16" s="81"/>
      <c r="F16" s="82"/>
      <c r="G16" s="83"/>
      <c r="H16" s="90">
        <f>SUM(H12*0.12)</f>
        <v>0</v>
      </c>
      <c r="I16" s="81"/>
      <c r="J16" s="82"/>
      <c r="K16" s="83"/>
      <c r="L16" s="90">
        <f>SUM(L12*0.12)</f>
        <v>0</v>
      </c>
      <c r="M16" s="81"/>
      <c r="N16" s="82"/>
      <c r="O16" s="83"/>
      <c r="P16" s="90">
        <f>SUM(P12*0.12)</f>
        <v>0</v>
      </c>
      <c r="Q16" s="81"/>
      <c r="R16" s="82"/>
      <c r="S16" s="83"/>
      <c r="T16" s="90">
        <f>SUM(T12*0.12)</f>
        <v>0</v>
      </c>
      <c r="U16" s="81"/>
      <c r="V16" s="82"/>
      <c r="W16" s="83"/>
      <c r="X16" s="90">
        <f>SUM(X12*0.12)</f>
        <v>0</v>
      </c>
      <c r="Y16" s="81"/>
      <c r="Z16" s="82"/>
      <c r="AA16" s="83"/>
      <c r="AB16" s="90">
        <f>SUM(AB12*0.12)</f>
        <v>0</v>
      </c>
      <c r="AC16" s="81"/>
      <c r="AD16" s="82"/>
      <c r="AE16" s="83"/>
      <c r="AF16" s="90">
        <f>SUM(AF12*0.12)</f>
        <v>0</v>
      </c>
      <c r="AG16" s="81"/>
      <c r="AH16" s="82"/>
      <c r="AI16" s="83"/>
      <c r="AJ16" s="90"/>
      <c r="AK16" s="81"/>
      <c r="AL16" s="82"/>
      <c r="AM16" s="83"/>
      <c r="AN16" s="90">
        <f>SUM(AN12*0.12)</f>
        <v>0</v>
      </c>
      <c r="AO16" s="81"/>
      <c r="AP16" s="82"/>
      <c r="AQ16" s="83"/>
      <c r="AR16" s="90">
        <f>SUM(AR12*0.12)</f>
        <v>0</v>
      </c>
      <c r="AS16" s="81"/>
      <c r="AT16" s="82"/>
      <c r="AU16" s="83"/>
      <c r="AV16" s="90">
        <f>SUM(AV12*0.12)</f>
        <v>0</v>
      </c>
      <c r="AW16" s="81"/>
      <c r="AX16" s="82"/>
      <c r="AZ16" s="288">
        <f t="shared" si="1"/>
        <v>0</v>
      </c>
      <c r="BA16" s="82">
        <f t="shared" si="2"/>
        <v>18163.901999999998</v>
      </c>
      <c r="BB16" s="256">
        <v>5180</v>
      </c>
    </row>
    <row r="17" spans="1:54" x14ac:dyDescent="0.3">
      <c r="A17" s="10"/>
      <c r="B17" s="6">
        <v>5182</v>
      </c>
      <c r="C17" s="11" t="s">
        <v>14</v>
      </c>
      <c r="D17" s="90">
        <f>Lønnsmatrise!F63+Lønnsmatrise!F34</f>
        <v>2561.1101819999994</v>
      </c>
      <c r="E17" s="81"/>
      <c r="F17" s="82"/>
      <c r="G17" s="83"/>
      <c r="H17" s="90">
        <f>SUM(H16*0.141)</f>
        <v>0</v>
      </c>
      <c r="I17" s="81"/>
      <c r="J17" s="82"/>
      <c r="K17" s="83"/>
      <c r="L17" s="90">
        <f>SUM(L16*0.141)</f>
        <v>0</v>
      </c>
      <c r="M17" s="81"/>
      <c r="N17" s="82"/>
      <c r="O17" s="83"/>
      <c r="P17" s="90">
        <f>SUM(P16*0.141)</f>
        <v>0</v>
      </c>
      <c r="Q17" s="81"/>
      <c r="R17" s="82"/>
      <c r="S17" s="83"/>
      <c r="T17" s="90">
        <f>SUM(T16*0.141)</f>
        <v>0</v>
      </c>
      <c r="U17" s="81"/>
      <c r="V17" s="82"/>
      <c r="W17" s="83"/>
      <c r="X17" s="90">
        <f>SUM(X16*0.141)</f>
        <v>0</v>
      </c>
      <c r="Y17" s="81"/>
      <c r="Z17" s="82"/>
      <c r="AA17" s="83"/>
      <c r="AB17" s="90">
        <f>SUM(AB16*0.141)</f>
        <v>0</v>
      </c>
      <c r="AC17" s="81"/>
      <c r="AD17" s="82"/>
      <c r="AE17" s="83"/>
      <c r="AF17" s="90">
        <f>SUM(AF16*0.141)</f>
        <v>0</v>
      </c>
      <c r="AG17" s="81"/>
      <c r="AH17" s="82"/>
      <c r="AI17" s="83"/>
      <c r="AJ17" s="90"/>
      <c r="AK17" s="81"/>
      <c r="AL17" s="82"/>
      <c r="AM17" s="83"/>
      <c r="AN17" s="90">
        <f>SUM(AN16*0.141)</f>
        <v>0</v>
      </c>
      <c r="AO17" s="81"/>
      <c r="AP17" s="82"/>
      <c r="AQ17" s="83"/>
      <c r="AR17" s="90">
        <f>SUM(AR16*0.141)</f>
        <v>0</v>
      </c>
      <c r="AS17" s="81"/>
      <c r="AT17" s="82"/>
      <c r="AU17" s="83"/>
      <c r="AV17" s="90">
        <f>SUM(AV16*0.141)</f>
        <v>0</v>
      </c>
      <c r="AW17" s="81"/>
      <c r="AX17" s="82"/>
      <c r="AZ17" s="288">
        <f t="shared" si="1"/>
        <v>0</v>
      </c>
      <c r="BA17" s="82">
        <f t="shared" si="2"/>
        <v>2561.1101819999994</v>
      </c>
      <c r="BB17" s="256">
        <v>5182</v>
      </c>
    </row>
    <row r="18" spans="1:54" hidden="1" x14ac:dyDescent="0.3">
      <c r="A18" s="10"/>
      <c r="B18" s="6">
        <v>5211</v>
      </c>
      <c r="C18" s="11" t="s">
        <v>15</v>
      </c>
      <c r="D18" s="80"/>
      <c r="E18" s="81"/>
      <c r="F18" s="82"/>
      <c r="G18" s="83"/>
      <c r="H18" s="80"/>
      <c r="I18" s="81"/>
      <c r="J18" s="82"/>
      <c r="K18" s="83"/>
      <c r="L18" s="80"/>
      <c r="M18" s="81"/>
      <c r="N18" s="82"/>
      <c r="O18" s="83"/>
      <c r="P18" s="80"/>
      <c r="Q18" s="81"/>
      <c r="R18" s="82"/>
      <c r="S18" s="83"/>
      <c r="T18" s="80"/>
      <c r="U18" s="81"/>
      <c r="V18" s="82"/>
      <c r="W18" s="83"/>
      <c r="X18" s="80"/>
      <c r="Y18" s="81"/>
      <c r="Z18" s="82"/>
      <c r="AA18" s="83"/>
      <c r="AB18" s="80"/>
      <c r="AC18" s="81"/>
      <c r="AD18" s="82"/>
      <c r="AE18" s="83"/>
      <c r="AF18" s="80"/>
      <c r="AG18" s="81"/>
      <c r="AH18" s="82"/>
      <c r="AI18" s="83"/>
      <c r="AJ18" s="80"/>
      <c r="AK18" s="81"/>
      <c r="AL18" s="82"/>
      <c r="AM18" s="83"/>
      <c r="AN18" s="80"/>
      <c r="AO18" s="81"/>
      <c r="AP18" s="82"/>
      <c r="AQ18" s="83"/>
      <c r="AR18" s="80"/>
      <c r="AS18" s="81"/>
      <c r="AT18" s="82"/>
      <c r="AU18" s="83"/>
      <c r="AV18" s="80"/>
      <c r="AW18" s="81"/>
      <c r="AX18" s="82"/>
      <c r="AZ18" s="288">
        <f t="shared" si="1"/>
        <v>0</v>
      </c>
      <c r="BA18" s="82">
        <f t="shared" si="2"/>
        <v>0</v>
      </c>
      <c r="BB18" s="256">
        <v>5211</v>
      </c>
    </row>
    <row r="19" spans="1:54" hidden="1" x14ac:dyDescent="0.3">
      <c r="A19" s="10"/>
      <c r="B19" s="6">
        <v>5230</v>
      </c>
      <c r="C19" s="11" t="s">
        <v>16</v>
      </c>
      <c r="D19" s="80"/>
      <c r="E19" s="81"/>
      <c r="F19" s="82"/>
      <c r="G19" s="83"/>
      <c r="H19" s="80"/>
      <c r="I19" s="81"/>
      <c r="J19" s="82"/>
      <c r="K19" s="83"/>
      <c r="L19" s="80"/>
      <c r="M19" s="81"/>
      <c r="N19" s="82"/>
      <c r="O19" s="83"/>
      <c r="P19" s="80"/>
      <c r="Q19" s="81"/>
      <c r="R19" s="82"/>
      <c r="S19" s="83"/>
      <c r="T19" s="80"/>
      <c r="U19" s="81"/>
      <c r="V19" s="82"/>
      <c r="W19" s="83"/>
      <c r="X19" s="80"/>
      <c r="Y19" s="81"/>
      <c r="Z19" s="82"/>
      <c r="AA19" s="83"/>
      <c r="AB19" s="80"/>
      <c r="AC19" s="81"/>
      <c r="AD19" s="82"/>
      <c r="AE19" s="83"/>
      <c r="AF19" s="80"/>
      <c r="AG19" s="81"/>
      <c r="AH19" s="82"/>
      <c r="AI19" s="83"/>
      <c r="AJ19" s="80"/>
      <c r="AK19" s="81"/>
      <c r="AL19" s="82"/>
      <c r="AM19" s="83"/>
      <c r="AN19" s="80"/>
      <c r="AO19" s="81"/>
      <c r="AP19" s="82"/>
      <c r="AQ19" s="83"/>
      <c r="AR19" s="80"/>
      <c r="AS19" s="81"/>
      <c r="AT19" s="82"/>
      <c r="AU19" s="83"/>
      <c r="AV19" s="80"/>
      <c r="AW19" s="81"/>
      <c r="AX19" s="82"/>
      <c r="AZ19" s="288">
        <f t="shared" si="1"/>
        <v>0</v>
      </c>
      <c r="BA19" s="82">
        <f t="shared" si="2"/>
        <v>0</v>
      </c>
      <c r="BB19" s="256">
        <v>5230</v>
      </c>
    </row>
    <row r="20" spans="1:54" x14ac:dyDescent="0.3">
      <c r="A20" s="10"/>
      <c r="B20" s="6">
        <v>5400</v>
      </c>
      <c r="C20" s="11" t="s">
        <v>48</v>
      </c>
      <c r="D20" s="90">
        <f>Lønnsmatrise!F65+Lønnsmatrise!F36</f>
        <v>22691.714092499995</v>
      </c>
      <c r="E20" s="81"/>
      <c r="F20" s="82"/>
      <c r="G20" s="83"/>
      <c r="H20" s="90">
        <f>SUM((H12+H13+H14+H18+H19)*0.141)</f>
        <v>0</v>
      </c>
      <c r="I20" s="81"/>
      <c r="J20" s="82"/>
      <c r="K20" s="83"/>
      <c r="L20" s="90">
        <f>SUM((L12+L13+L14+L18+L19)*0.141)</f>
        <v>0</v>
      </c>
      <c r="M20" s="81"/>
      <c r="N20" s="82"/>
      <c r="O20" s="83"/>
      <c r="P20" s="90">
        <f>SUM((P12+P13+P14+P18+P19)*0.141)</f>
        <v>0</v>
      </c>
      <c r="Q20" s="81"/>
      <c r="R20" s="82"/>
      <c r="S20" s="83"/>
      <c r="T20" s="90"/>
      <c r="U20" s="81"/>
      <c r="V20" s="82"/>
      <c r="W20" s="83"/>
      <c r="X20" s="90"/>
      <c r="Y20" s="81"/>
      <c r="Z20" s="82"/>
      <c r="AA20" s="83"/>
      <c r="AB20" s="90">
        <f>SUM(AB15*14.1%)</f>
        <v>1015.1999999999999</v>
      </c>
      <c r="AC20" s="81"/>
      <c r="AD20" s="82"/>
      <c r="AE20" s="83"/>
      <c r="AF20" s="90">
        <f>SUM(AF15*14.1%)</f>
        <v>141</v>
      </c>
      <c r="AG20" s="81"/>
      <c r="AH20" s="82"/>
      <c r="AI20" s="83"/>
      <c r="AJ20" s="90"/>
      <c r="AK20" s="81"/>
      <c r="AL20" s="82"/>
      <c r="AM20" s="83"/>
      <c r="AN20" s="90">
        <f>SUM((AN12+AN13+AN14+AN18+AN19)*0.141)</f>
        <v>0</v>
      </c>
      <c r="AO20" s="81"/>
      <c r="AP20" s="82"/>
      <c r="AQ20" s="83"/>
      <c r="AR20" s="90">
        <f>SUM((AR12+AR13+AR14+AR18+AR19)*0.141)</f>
        <v>0</v>
      </c>
      <c r="AS20" s="81"/>
      <c r="AT20" s="82"/>
      <c r="AU20" s="83"/>
      <c r="AV20" s="90">
        <f>SUM((AV12+AV13+AV14+AV18+AV19)*0.141)</f>
        <v>0</v>
      </c>
      <c r="AW20" s="81"/>
      <c r="AX20" s="82"/>
      <c r="AZ20" s="288">
        <f t="shared" si="1"/>
        <v>0</v>
      </c>
      <c r="BA20" s="82">
        <f t="shared" si="2"/>
        <v>23847.914092499996</v>
      </c>
      <c r="BB20" s="256">
        <v>5400</v>
      </c>
    </row>
    <row r="21" spans="1:54" hidden="1" x14ac:dyDescent="0.3">
      <c r="A21" s="10"/>
      <c r="B21" s="6">
        <v>5900</v>
      </c>
      <c r="C21" s="11" t="s">
        <v>145</v>
      </c>
      <c r="D21" s="90"/>
      <c r="E21" s="81"/>
      <c r="F21" s="82"/>
      <c r="G21" s="83"/>
      <c r="H21" s="90"/>
      <c r="I21" s="81"/>
      <c r="J21" s="82"/>
      <c r="K21" s="83"/>
      <c r="L21" s="90"/>
      <c r="M21" s="81"/>
      <c r="N21" s="82"/>
      <c r="O21" s="83"/>
      <c r="P21" s="90"/>
      <c r="Q21" s="81"/>
      <c r="R21" s="82"/>
      <c r="S21" s="83"/>
      <c r="T21" s="90"/>
      <c r="U21" s="81"/>
      <c r="V21" s="82"/>
      <c r="W21" s="83"/>
      <c r="X21" s="90"/>
      <c r="Y21" s="81"/>
      <c r="Z21" s="82"/>
      <c r="AA21" s="83"/>
      <c r="AB21" s="90"/>
      <c r="AC21" s="81"/>
      <c r="AD21" s="82"/>
      <c r="AE21" s="83"/>
      <c r="AF21" s="90"/>
      <c r="AG21" s="81"/>
      <c r="AH21" s="82"/>
      <c r="AI21" s="83"/>
      <c r="AJ21" s="90"/>
      <c r="AK21" s="81"/>
      <c r="AL21" s="82"/>
      <c r="AM21" s="83"/>
      <c r="AN21" s="90"/>
      <c r="AO21" s="81"/>
      <c r="AP21" s="82"/>
      <c r="AQ21" s="83"/>
      <c r="AR21" s="90"/>
      <c r="AS21" s="81"/>
      <c r="AT21" s="82"/>
      <c r="AU21" s="83"/>
      <c r="AV21" s="90"/>
      <c r="AW21" s="81"/>
      <c r="AX21" s="82"/>
      <c r="AZ21" s="288">
        <f t="shared" si="1"/>
        <v>0</v>
      </c>
      <c r="BA21" s="82">
        <f t="shared" si="2"/>
        <v>0</v>
      </c>
      <c r="BB21" s="256">
        <v>5900</v>
      </c>
    </row>
    <row r="22" spans="1:54" x14ac:dyDescent="0.3">
      <c r="B22" s="6">
        <v>5990</v>
      </c>
      <c r="C22" s="11" t="s">
        <v>17</v>
      </c>
      <c r="D22" s="90">
        <f>Lønnsmatrise!F66+Lønnsmatrise!F35+Lønnsmatrise!F37</f>
        <v>9568.2924999999996</v>
      </c>
      <c r="E22" s="81"/>
      <c r="F22" s="82"/>
      <c r="G22" s="83"/>
      <c r="H22" s="90"/>
      <c r="I22" s="81"/>
      <c r="J22" s="82"/>
      <c r="K22" s="83"/>
      <c r="L22" s="90"/>
      <c r="M22" s="81"/>
      <c r="N22" s="82"/>
      <c r="O22" s="83"/>
      <c r="P22" s="90"/>
      <c r="Q22" s="81"/>
      <c r="R22" s="82"/>
      <c r="S22" s="83"/>
      <c r="T22" s="90"/>
      <c r="U22" s="81"/>
      <c r="V22" s="82"/>
      <c r="W22" s="83"/>
      <c r="X22" s="90"/>
      <c r="Y22" s="81"/>
      <c r="Z22" s="82"/>
      <c r="AA22" s="83"/>
      <c r="AB22" s="90"/>
      <c r="AC22" s="81"/>
      <c r="AD22" s="82"/>
      <c r="AE22" s="83"/>
      <c r="AF22" s="90"/>
      <c r="AG22" s="81"/>
      <c r="AH22" s="82"/>
      <c r="AI22" s="83"/>
      <c r="AJ22" s="90"/>
      <c r="AK22" s="81"/>
      <c r="AL22" s="82"/>
      <c r="AM22" s="83"/>
      <c r="AN22" s="90"/>
      <c r="AO22" s="81"/>
      <c r="AP22" s="82"/>
      <c r="AQ22" s="83"/>
      <c r="AR22" s="90"/>
      <c r="AS22" s="81"/>
      <c r="AT22" s="82"/>
      <c r="AU22" s="83"/>
      <c r="AV22" s="90"/>
      <c r="AW22" s="81"/>
      <c r="AX22" s="82"/>
      <c r="AZ22" s="288">
        <f t="shared" si="1"/>
        <v>0</v>
      </c>
      <c r="BA22" s="82">
        <f t="shared" si="2"/>
        <v>9568.2924999999996</v>
      </c>
      <c r="BB22" s="256">
        <v>5990</v>
      </c>
    </row>
    <row r="23" spans="1:54" x14ac:dyDescent="0.3">
      <c r="B23" s="6">
        <v>6110</v>
      </c>
      <c r="C23" s="11" t="s">
        <v>50</v>
      </c>
      <c r="D23" s="80"/>
      <c r="E23" s="81"/>
      <c r="F23" s="82"/>
      <c r="G23" s="83"/>
      <c r="H23" s="80"/>
      <c r="I23" s="81"/>
      <c r="J23" s="82"/>
      <c r="K23" s="83"/>
      <c r="L23" s="80"/>
      <c r="M23" s="81"/>
      <c r="N23" s="82"/>
      <c r="O23" s="83"/>
      <c r="P23" s="80"/>
      <c r="Q23" s="81"/>
      <c r="R23" s="82"/>
      <c r="S23" s="83"/>
      <c r="T23" s="80"/>
      <c r="U23" s="81"/>
      <c r="V23" s="82"/>
      <c r="W23" s="83"/>
      <c r="X23" s="80"/>
      <c r="Y23" s="81"/>
      <c r="Z23" s="82"/>
      <c r="AA23" s="83"/>
      <c r="AB23" s="80"/>
      <c r="AC23" s="81"/>
      <c r="AD23" s="82"/>
      <c r="AE23" s="83"/>
      <c r="AF23" s="80"/>
      <c r="AG23" s="81"/>
      <c r="AH23" s="82"/>
      <c r="AI23" s="83"/>
      <c r="AJ23" s="80"/>
      <c r="AK23" s="81"/>
      <c r="AL23" s="82"/>
      <c r="AM23" s="83"/>
      <c r="AN23" s="80"/>
      <c r="AO23" s="81"/>
      <c r="AP23" s="82"/>
      <c r="AQ23" s="83"/>
      <c r="AR23" s="80"/>
      <c r="AS23" s="81"/>
      <c r="AT23" s="82"/>
      <c r="AU23" s="83"/>
      <c r="AV23" s="80"/>
      <c r="AW23" s="81"/>
      <c r="AX23" s="82"/>
      <c r="AZ23" s="288">
        <f t="shared" si="1"/>
        <v>0</v>
      </c>
      <c r="BA23" s="82">
        <f t="shared" si="2"/>
        <v>0</v>
      </c>
      <c r="BB23" s="256">
        <v>6110</v>
      </c>
    </row>
    <row r="24" spans="1:54" x14ac:dyDescent="0.3">
      <c r="B24" s="6">
        <v>6300</v>
      </c>
      <c r="C24" s="11" t="s">
        <v>18</v>
      </c>
      <c r="D24" s="80"/>
      <c r="E24" s="81"/>
      <c r="F24" s="82"/>
      <c r="G24" s="83"/>
      <c r="H24" s="80"/>
      <c r="I24" s="81"/>
      <c r="J24" s="82"/>
      <c r="K24" s="83"/>
      <c r="L24" s="80">
        <v>10000</v>
      </c>
      <c r="M24" s="81"/>
      <c r="N24" s="82"/>
      <c r="O24" s="83"/>
      <c r="P24" s="80"/>
      <c r="Q24" s="81"/>
      <c r="R24" s="82"/>
      <c r="S24" s="83"/>
      <c r="T24" s="80">
        <v>10000</v>
      </c>
      <c r="U24" s="81" t="s">
        <v>243</v>
      </c>
      <c r="V24" s="82"/>
      <c r="W24" s="83"/>
      <c r="X24" s="80">
        <v>10000</v>
      </c>
      <c r="Y24" s="81"/>
      <c r="Z24" s="82"/>
      <c r="AA24" s="83"/>
      <c r="AB24" s="80">
        <v>3000</v>
      </c>
      <c r="AC24" s="81"/>
      <c r="AD24" s="82"/>
      <c r="AE24" s="83"/>
      <c r="AF24" s="80"/>
      <c r="AG24" s="81"/>
      <c r="AH24" s="82"/>
      <c r="AI24" s="83"/>
      <c r="AJ24" s="80"/>
      <c r="AK24" s="81"/>
      <c r="AL24" s="82"/>
      <c r="AM24" s="83"/>
      <c r="AN24" s="80"/>
      <c r="AO24" s="81"/>
      <c r="AP24" s="82"/>
      <c r="AQ24" s="83"/>
      <c r="AR24" s="80"/>
      <c r="AS24" s="81"/>
      <c r="AT24" s="82"/>
      <c r="AU24" s="83"/>
      <c r="AV24" s="80"/>
      <c r="AW24" s="81"/>
      <c r="AX24" s="82"/>
      <c r="AZ24" s="288">
        <f t="shared" si="1"/>
        <v>0</v>
      </c>
      <c r="BA24" s="82">
        <f t="shared" si="2"/>
        <v>33000</v>
      </c>
      <c r="BB24" s="256">
        <v>6300</v>
      </c>
    </row>
    <row r="25" spans="1:54" ht="14.4" hidden="1" customHeight="1" thickBot="1" x14ac:dyDescent="0.3">
      <c r="B25" s="6">
        <v>6440</v>
      </c>
      <c r="C25" s="11" t="s">
        <v>19</v>
      </c>
      <c r="D25" s="80"/>
      <c r="E25" s="81"/>
      <c r="F25" s="82"/>
      <c r="G25" s="83"/>
      <c r="H25" s="80"/>
      <c r="I25" s="81"/>
      <c r="J25" s="82"/>
      <c r="K25" s="83"/>
      <c r="L25" s="80"/>
      <c r="M25" s="81"/>
      <c r="N25" s="82"/>
      <c r="O25" s="83"/>
      <c r="P25" s="80"/>
      <c r="Q25" s="81"/>
      <c r="R25" s="82"/>
      <c r="S25" s="83"/>
      <c r="T25" s="80"/>
      <c r="U25" s="81"/>
      <c r="V25" s="82"/>
      <c r="W25" s="83"/>
      <c r="X25" s="80"/>
      <c r="Y25" s="81"/>
      <c r="Z25" s="82"/>
      <c r="AA25" s="83"/>
      <c r="AB25" s="80"/>
      <c r="AC25" s="81"/>
      <c r="AD25" s="82"/>
      <c r="AE25" s="83"/>
      <c r="AF25" s="80"/>
      <c r="AG25" s="81"/>
      <c r="AH25" s="82"/>
      <c r="AI25" s="83"/>
      <c r="AJ25" s="80"/>
      <c r="AK25" s="81"/>
      <c r="AL25" s="82"/>
      <c r="AM25" s="83"/>
      <c r="AN25" s="80"/>
      <c r="AO25" s="81"/>
      <c r="AP25" s="82"/>
      <c r="AQ25" s="83"/>
      <c r="AR25" s="80"/>
      <c r="AS25" s="81"/>
      <c r="AT25" s="82"/>
      <c r="AU25" s="83"/>
      <c r="AV25" s="80"/>
      <c r="AW25" s="81"/>
      <c r="AX25" s="82"/>
      <c r="AZ25" s="288">
        <f t="shared" si="1"/>
        <v>0</v>
      </c>
      <c r="BA25" s="82">
        <f t="shared" si="2"/>
        <v>0</v>
      </c>
      <c r="BB25" s="256">
        <v>6440</v>
      </c>
    </row>
    <row r="26" spans="1:54" hidden="1" x14ac:dyDescent="0.3">
      <c r="B26" s="6">
        <v>6550</v>
      </c>
      <c r="C26" s="11" t="s">
        <v>20</v>
      </c>
      <c r="D26" s="80"/>
      <c r="E26" s="81"/>
      <c r="F26" s="82"/>
      <c r="G26" s="83"/>
      <c r="H26" s="80"/>
      <c r="I26" s="81"/>
      <c r="J26" s="82"/>
      <c r="K26" s="83"/>
      <c r="L26" s="80"/>
      <c r="M26" s="81"/>
      <c r="N26" s="82"/>
      <c r="O26" s="83"/>
      <c r="P26" s="80"/>
      <c r="Q26" s="81"/>
      <c r="R26" s="82"/>
      <c r="S26" s="83"/>
      <c r="T26" s="80"/>
      <c r="U26" s="81"/>
      <c r="V26" s="82"/>
      <c r="W26" s="83"/>
      <c r="X26" s="80"/>
      <c r="Y26" s="81"/>
      <c r="Z26" s="82"/>
      <c r="AA26" s="83"/>
      <c r="AB26" s="80"/>
      <c r="AC26" s="81"/>
      <c r="AD26" s="82"/>
      <c r="AE26" s="83"/>
      <c r="AF26" s="80"/>
      <c r="AG26" s="81"/>
      <c r="AH26" s="82"/>
      <c r="AI26" s="83"/>
      <c r="AJ26" s="80"/>
      <c r="AK26" s="81"/>
      <c r="AL26" s="82"/>
      <c r="AM26" s="83"/>
      <c r="AN26" s="80"/>
      <c r="AO26" s="81"/>
      <c r="AP26" s="82"/>
      <c r="AQ26" s="83"/>
      <c r="AR26" s="80"/>
      <c r="AS26" s="81"/>
      <c r="AT26" s="82"/>
      <c r="AU26" s="83"/>
      <c r="AV26" s="80"/>
      <c r="AW26" s="81"/>
      <c r="AX26" s="82"/>
      <c r="AZ26" s="288">
        <f t="shared" si="1"/>
        <v>0</v>
      </c>
      <c r="BA26" s="82">
        <f t="shared" si="2"/>
        <v>0</v>
      </c>
      <c r="BB26" s="256">
        <v>6550</v>
      </c>
    </row>
    <row r="27" spans="1:54" hidden="1" x14ac:dyDescent="0.3">
      <c r="B27" s="6">
        <v>6560</v>
      </c>
      <c r="C27" s="11" t="s">
        <v>21</v>
      </c>
      <c r="D27" s="80"/>
      <c r="E27" s="81"/>
      <c r="F27" s="82"/>
      <c r="G27" s="83"/>
      <c r="H27" s="80"/>
      <c r="I27" s="81"/>
      <c r="J27" s="82"/>
      <c r="K27" s="83"/>
      <c r="L27" s="80"/>
      <c r="M27" s="81"/>
      <c r="N27" s="82"/>
      <c r="O27" s="83"/>
      <c r="P27" s="80"/>
      <c r="Q27" s="81"/>
      <c r="R27" s="82"/>
      <c r="S27" s="83"/>
      <c r="T27" s="80"/>
      <c r="U27" s="81"/>
      <c r="V27" s="82"/>
      <c r="W27" s="83"/>
      <c r="X27" s="80"/>
      <c r="Y27" s="81"/>
      <c r="Z27" s="82"/>
      <c r="AA27" s="83"/>
      <c r="AB27" s="80"/>
      <c r="AC27" s="81"/>
      <c r="AD27" s="82"/>
      <c r="AE27" s="83"/>
      <c r="AF27" s="80"/>
      <c r="AG27" s="81"/>
      <c r="AH27" s="82"/>
      <c r="AI27" s="83"/>
      <c r="AJ27" s="80"/>
      <c r="AK27" s="81"/>
      <c r="AL27" s="82"/>
      <c r="AM27" s="83"/>
      <c r="AN27" s="80"/>
      <c r="AO27" s="81"/>
      <c r="AP27" s="82"/>
      <c r="AQ27" s="83"/>
      <c r="AR27" s="80"/>
      <c r="AS27" s="81"/>
      <c r="AT27" s="82"/>
      <c r="AU27" s="83"/>
      <c r="AV27" s="80"/>
      <c r="AW27" s="81"/>
      <c r="AX27" s="82"/>
      <c r="AZ27" s="288">
        <f t="shared" si="1"/>
        <v>0</v>
      </c>
      <c r="BA27" s="82">
        <f t="shared" si="2"/>
        <v>0</v>
      </c>
      <c r="BB27" s="256">
        <v>6560</v>
      </c>
    </row>
    <row r="28" spans="1:54" hidden="1" x14ac:dyDescent="0.3">
      <c r="B28" s="6">
        <v>6580</v>
      </c>
      <c r="C28" s="11" t="s">
        <v>2</v>
      </c>
      <c r="D28" s="80"/>
      <c r="E28" s="81"/>
      <c r="F28" s="82"/>
      <c r="G28" s="83"/>
      <c r="H28" s="80"/>
      <c r="I28" s="81"/>
      <c r="J28" s="82"/>
      <c r="K28" s="83"/>
      <c r="L28" s="80"/>
      <c r="M28" s="81"/>
      <c r="N28" s="82"/>
      <c r="O28" s="83"/>
      <c r="P28" s="80"/>
      <c r="Q28" s="81"/>
      <c r="R28" s="82"/>
      <c r="S28" s="83"/>
      <c r="T28" s="80"/>
      <c r="U28" s="81"/>
      <c r="V28" s="82"/>
      <c r="W28" s="83"/>
      <c r="X28" s="80"/>
      <c r="Y28" s="81"/>
      <c r="Z28" s="82"/>
      <c r="AA28" s="83"/>
      <c r="AB28" s="80"/>
      <c r="AC28" s="81"/>
      <c r="AD28" s="82"/>
      <c r="AE28" s="83"/>
      <c r="AF28" s="80"/>
      <c r="AG28" s="81"/>
      <c r="AH28" s="82"/>
      <c r="AI28" s="83"/>
      <c r="AJ28" s="80"/>
      <c r="AK28" s="81"/>
      <c r="AL28" s="82"/>
      <c r="AM28" s="83"/>
      <c r="AN28" s="80"/>
      <c r="AO28" s="81"/>
      <c r="AP28" s="82"/>
      <c r="AQ28" s="83"/>
      <c r="AR28" s="80"/>
      <c r="AS28" s="81"/>
      <c r="AT28" s="82"/>
      <c r="AU28" s="83"/>
      <c r="AV28" s="80"/>
      <c r="AW28" s="81"/>
      <c r="AX28" s="82"/>
      <c r="AZ28" s="288">
        <f t="shared" si="1"/>
        <v>0</v>
      </c>
      <c r="BA28" s="82">
        <f t="shared" si="2"/>
        <v>0</v>
      </c>
      <c r="BB28" s="256">
        <v>6580</v>
      </c>
    </row>
    <row r="29" spans="1:54" hidden="1" x14ac:dyDescent="0.3">
      <c r="B29" s="6">
        <v>6800</v>
      </c>
      <c r="C29" s="11" t="s">
        <v>22</v>
      </c>
      <c r="D29" s="80"/>
      <c r="E29" s="81"/>
      <c r="F29" s="82"/>
      <c r="G29" s="83"/>
      <c r="H29" s="80"/>
      <c r="I29" s="81"/>
      <c r="J29" s="82"/>
      <c r="K29" s="83"/>
      <c r="L29" s="80"/>
      <c r="M29" s="81"/>
      <c r="N29" s="82"/>
      <c r="O29" s="83"/>
      <c r="P29" s="80"/>
      <c r="Q29" s="81"/>
      <c r="R29" s="82"/>
      <c r="S29" s="83"/>
      <c r="T29" s="80"/>
      <c r="U29" s="81"/>
      <c r="V29" s="82"/>
      <c r="W29" s="83"/>
      <c r="X29" s="80"/>
      <c r="Y29" s="81"/>
      <c r="Z29" s="82"/>
      <c r="AA29" s="83"/>
      <c r="AB29" s="80"/>
      <c r="AC29" s="81"/>
      <c r="AD29" s="82"/>
      <c r="AE29" s="83"/>
      <c r="AF29" s="80"/>
      <c r="AG29" s="81"/>
      <c r="AH29" s="82"/>
      <c r="AI29" s="83"/>
      <c r="AJ29" s="80"/>
      <c r="AK29" s="81"/>
      <c r="AL29" s="82"/>
      <c r="AM29" s="83"/>
      <c r="AN29" s="80"/>
      <c r="AO29" s="81"/>
      <c r="AP29" s="82"/>
      <c r="AQ29" s="83"/>
      <c r="AR29" s="80"/>
      <c r="AS29" s="81"/>
      <c r="AT29" s="82"/>
      <c r="AU29" s="83"/>
      <c r="AV29" s="80"/>
      <c r="AW29" s="81"/>
      <c r="AX29" s="82"/>
      <c r="AZ29" s="288">
        <f t="shared" si="1"/>
        <v>0</v>
      </c>
      <c r="BA29" s="82">
        <f t="shared" si="2"/>
        <v>0</v>
      </c>
      <c r="BB29" s="256">
        <v>6800</v>
      </c>
    </row>
    <row r="30" spans="1:54" x14ac:dyDescent="0.3">
      <c r="B30" s="6">
        <v>6440</v>
      </c>
      <c r="C30" s="186" t="s">
        <v>19</v>
      </c>
      <c r="D30" s="80"/>
      <c r="E30" s="81"/>
      <c r="F30" s="82"/>
      <c r="G30" s="83"/>
      <c r="H30" s="80"/>
      <c r="I30" s="81"/>
      <c r="J30" s="82"/>
      <c r="K30" s="83"/>
      <c r="L30" s="80"/>
      <c r="M30" s="81"/>
      <c r="N30" s="82"/>
      <c r="O30" s="83"/>
      <c r="P30" s="80"/>
      <c r="Q30" s="81"/>
      <c r="R30" s="82"/>
      <c r="S30" s="83"/>
      <c r="T30" s="80"/>
      <c r="U30" s="81"/>
      <c r="V30" s="82"/>
      <c r="W30" s="83"/>
      <c r="X30" s="80"/>
      <c r="Y30" s="81"/>
      <c r="Z30" s="82"/>
      <c r="AA30" s="83"/>
      <c r="AB30" s="80"/>
      <c r="AC30" s="81"/>
      <c r="AD30" s="82"/>
      <c r="AE30" s="83"/>
      <c r="AF30" s="80"/>
      <c r="AG30" s="81"/>
      <c r="AH30" s="82"/>
      <c r="AI30" s="83"/>
      <c r="AJ30" s="80"/>
      <c r="AK30" s="81"/>
      <c r="AL30" s="82"/>
      <c r="AM30" s="83"/>
      <c r="AN30" s="80"/>
      <c r="AO30" s="81"/>
      <c r="AP30" s="82"/>
      <c r="AQ30" s="83"/>
      <c r="AR30" s="80"/>
      <c r="AS30" s="81"/>
      <c r="AT30" s="82"/>
      <c r="AU30" s="83"/>
      <c r="AV30" s="80"/>
      <c r="AW30" s="81"/>
      <c r="AX30" s="82"/>
      <c r="AZ30" s="289">
        <f t="shared" si="1"/>
        <v>0</v>
      </c>
      <c r="BA30" s="82">
        <f t="shared" si="2"/>
        <v>0</v>
      </c>
      <c r="BB30" s="256">
        <v>6440</v>
      </c>
    </row>
    <row r="31" spans="1:54" x14ac:dyDescent="0.3">
      <c r="B31" s="6">
        <v>6580</v>
      </c>
      <c r="C31" s="186" t="s">
        <v>2</v>
      </c>
      <c r="D31" s="80"/>
      <c r="E31" s="81"/>
      <c r="F31" s="82"/>
      <c r="G31" s="83"/>
      <c r="H31" s="80"/>
      <c r="I31" s="81"/>
      <c r="J31" s="82"/>
      <c r="K31" s="83"/>
      <c r="L31" s="80"/>
      <c r="M31" s="81"/>
      <c r="N31" s="82"/>
      <c r="O31" s="83"/>
      <c r="P31" s="80"/>
      <c r="Q31" s="81"/>
      <c r="R31" s="82"/>
      <c r="S31" s="83"/>
      <c r="T31" s="80"/>
      <c r="U31" s="81"/>
      <c r="V31" s="82"/>
      <c r="W31" s="83"/>
      <c r="X31" s="80"/>
      <c r="Y31" s="81"/>
      <c r="Z31" s="82"/>
      <c r="AA31" s="83"/>
      <c r="AB31" s="80"/>
      <c r="AC31" s="81"/>
      <c r="AD31" s="82"/>
      <c r="AE31" s="83"/>
      <c r="AF31" s="80"/>
      <c r="AG31" s="81"/>
      <c r="AH31" s="82"/>
      <c r="AI31" s="83"/>
      <c r="AJ31" s="80"/>
      <c r="AK31" s="81"/>
      <c r="AL31" s="82"/>
      <c r="AM31" s="83"/>
      <c r="AN31" s="80"/>
      <c r="AO31" s="81"/>
      <c r="AP31" s="82"/>
      <c r="AQ31" s="83"/>
      <c r="AR31" s="80"/>
      <c r="AS31" s="81"/>
      <c r="AT31" s="82"/>
      <c r="AU31" s="83"/>
      <c r="AV31" s="80"/>
      <c r="AW31" s="81"/>
      <c r="AX31" s="82"/>
      <c r="AZ31" s="289">
        <f t="shared" si="1"/>
        <v>0</v>
      </c>
      <c r="BA31" s="82">
        <f t="shared" si="2"/>
        <v>0</v>
      </c>
      <c r="BB31" s="256">
        <v>6580</v>
      </c>
    </row>
    <row r="32" spans="1:54" x14ac:dyDescent="0.3">
      <c r="B32" s="6">
        <v>6790</v>
      </c>
      <c r="C32" s="186" t="s">
        <v>292</v>
      </c>
      <c r="D32" s="80"/>
      <c r="E32" s="81"/>
      <c r="F32" s="82"/>
      <c r="G32" s="83"/>
      <c r="H32" s="80"/>
      <c r="I32" s="81"/>
      <c r="J32" s="82"/>
      <c r="K32" s="83"/>
      <c r="L32" s="80"/>
      <c r="M32" s="81"/>
      <c r="N32" s="82"/>
      <c r="O32" s="83"/>
      <c r="P32" s="80"/>
      <c r="Q32" s="81"/>
      <c r="R32" s="82"/>
      <c r="S32" s="83"/>
      <c r="T32" s="80"/>
      <c r="U32" s="81"/>
      <c r="V32" s="82"/>
      <c r="W32" s="83"/>
      <c r="X32" s="80"/>
      <c r="Y32" s="81"/>
      <c r="Z32" s="82"/>
      <c r="AA32" s="83"/>
      <c r="AB32" s="80"/>
      <c r="AC32" s="81"/>
      <c r="AD32" s="82"/>
      <c r="AE32" s="83"/>
      <c r="AF32" s="80"/>
      <c r="AG32" s="81"/>
      <c r="AH32" s="82"/>
      <c r="AI32" s="83"/>
      <c r="AJ32" s="80"/>
      <c r="AK32" s="81"/>
      <c r="AL32" s="82"/>
      <c r="AM32" s="83"/>
      <c r="AN32" s="80"/>
      <c r="AO32" s="81"/>
      <c r="AP32" s="82"/>
      <c r="AQ32" s="83"/>
      <c r="AR32" s="80"/>
      <c r="AS32" s="81"/>
      <c r="AT32" s="82"/>
      <c r="AU32" s="83"/>
      <c r="AV32" s="80"/>
      <c r="AW32" s="81"/>
      <c r="AX32" s="82"/>
      <c r="AZ32" s="289">
        <f t="shared" si="1"/>
        <v>0</v>
      </c>
      <c r="BA32" s="82">
        <f t="shared" si="2"/>
        <v>0</v>
      </c>
      <c r="BB32" s="256">
        <v>6790</v>
      </c>
    </row>
    <row r="33" spans="2:54" x14ac:dyDescent="0.3">
      <c r="B33" s="6">
        <v>6820</v>
      </c>
      <c r="C33" s="11" t="s">
        <v>23</v>
      </c>
      <c r="D33" s="80"/>
      <c r="E33" s="81"/>
      <c r="F33" s="82"/>
      <c r="G33" s="83"/>
      <c r="H33" s="80"/>
      <c r="I33" s="81"/>
      <c r="J33" s="82"/>
      <c r="K33" s="83"/>
      <c r="L33" s="80">
        <v>500</v>
      </c>
      <c r="M33" s="81"/>
      <c r="N33" s="82"/>
      <c r="O33" s="83"/>
      <c r="P33" s="80"/>
      <c r="Q33" s="81"/>
      <c r="R33" s="82"/>
      <c r="S33" s="83"/>
      <c r="T33" s="80">
        <v>1000</v>
      </c>
      <c r="U33" s="81"/>
      <c r="V33" s="82"/>
      <c r="W33" s="83"/>
      <c r="X33" s="80">
        <v>1000</v>
      </c>
      <c r="Y33" s="81"/>
      <c r="Z33" s="82"/>
      <c r="AA33" s="83"/>
      <c r="AB33" s="80"/>
      <c r="AC33" s="81"/>
      <c r="AD33" s="82"/>
      <c r="AE33" s="83"/>
      <c r="AF33" s="80"/>
      <c r="AG33" s="81"/>
      <c r="AH33" s="82"/>
      <c r="AI33" s="83"/>
      <c r="AJ33" s="80"/>
      <c r="AK33" s="81"/>
      <c r="AL33" s="82"/>
      <c r="AM33" s="83"/>
      <c r="AN33" s="80"/>
      <c r="AO33" s="81"/>
      <c r="AP33" s="82"/>
      <c r="AQ33" s="83"/>
      <c r="AR33" s="80"/>
      <c r="AS33" s="81"/>
      <c r="AT33" s="82"/>
      <c r="AU33" s="83"/>
      <c r="AV33" s="80"/>
      <c r="AW33" s="81"/>
      <c r="AX33" s="82"/>
      <c r="AZ33" s="288">
        <f t="shared" si="1"/>
        <v>0</v>
      </c>
      <c r="BA33" s="82">
        <f t="shared" si="2"/>
        <v>2500</v>
      </c>
      <c r="BB33" s="256">
        <v>6820</v>
      </c>
    </row>
    <row r="34" spans="2:54" hidden="1" x14ac:dyDescent="0.3">
      <c r="B34" s="6">
        <v>6840</v>
      </c>
      <c r="C34" s="11" t="s">
        <v>24</v>
      </c>
      <c r="D34" s="80"/>
      <c r="E34" s="81"/>
      <c r="F34" s="82"/>
      <c r="G34" s="83"/>
      <c r="H34" s="80"/>
      <c r="I34" s="81"/>
      <c r="J34" s="82"/>
      <c r="K34" s="83"/>
      <c r="L34" s="80"/>
      <c r="M34" s="81"/>
      <c r="N34" s="82"/>
      <c r="O34" s="83"/>
      <c r="P34" s="80"/>
      <c r="Q34" s="81"/>
      <c r="R34" s="82"/>
      <c r="S34" s="83"/>
      <c r="T34" s="80"/>
      <c r="U34" s="81"/>
      <c r="V34" s="82"/>
      <c r="W34" s="83"/>
      <c r="X34" s="80"/>
      <c r="Y34" s="81"/>
      <c r="Z34" s="82"/>
      <c r="AA34" s="83"/>
      <c r="AB34" s="80"/>
      <c r="AC34" s="81"/>
      <c r="AD34" s="82"/>
      <c r="AE34" s="83"/>
      <c r="AF34" s="80"/>
      <c r="AG34" s="81"/>
      <c r="AH34" s="82"/>
      <c r="AI34" s="83"/>
      <c r="AJ34" s="80"/>
      <c r="AK34" s="81"/>
      <c r="AL34" s="82"/>
      <c r="AM34" s="83"/>
      <c r="AN34" s="80"/>
      <c r="AO34" s="81"/>
      <c r="AP34" s="82"/>
      <c r="AQ34" s="83"/>
      <c r="AR34" s="80"/>
      <c r="AS34" s="81"/>
      <c r="AT34" s="82"/>
      <c r="AU34" s="83"/>
      <c r="AV34" s="80"/>
      <c r="AW34" s="81"/>
      <c r="AX34" s="82"/>
      <c r="AZ34" s="288">
        <f t="shared" si="1"/>
        <v>0</v>
      </c>
      <c r="BA34" s="82">
        <f t="shared" si="2"/>
        <v>0</v>
      </c>
      <c r="BB34" s="256">
        <v>6840</v>
      </c>
    </row>
    <row r="35" spans="2:54" x14ac:dyDescent="0.3">
      <c r="B35" s="6">
        <v>6860</v>
      </c>
      <c r="C35" s="11" t="s">
        <v>25</v>
      </c>
      <c r="D35" s="80"/>
      <c r="E35" s="81"/>
      <c r="F35" s="82"/>
      <c r="G35" s="83"/>
      <c r="H35" s="80"/>
      <c r="I35" s="81"/>
      <c r="J35" s="82"/>
      <c r="K35" s="83"/>
      <c r="L35" s="80"/>
      <c r="M35" s="81"/>
      <c r="N35" s="82"/>
      <c r="O35" s="83"/>
      <c r="P35" s="80"/>
      <c r="Q35" s="81"/>
      <c r="R35" s="82"/>
      <c r="S35" s="83"/>
      <c r="T35" s="80"/>
      <c r="U35" s="81"/>
      <c r="V35" s="82"/>
      <c r="W35" s="83"/>
      <c r="X35" s="80"/>
      <c r="Y35" s="81"/>
      <c r="Z35" s="82"/>
      <c r="AA35" s="83"/>
      <c r="AB35" s="80"/>
      <c r="AC35" s="81"/>
      <c r="AD35" s="82"/>
      <c r="AE35" s="83"/>
      <c r="AF35" s="80"/>
      <c r="AG35" s="81"/>
      <c r="AH35" s="82"/>
      <c r="AI35" s="83"/>
      <c r="AJ35" s="80"/>
      <c r="AK35" s="81"/>
      <c r="AL35" s="82"/>
      <c r="AM35" s="83"/>
      <c r="AN35" s="80">
        <v>10000</v>
      </c>
      <c r="AO35" s="81"/>
      <c r="AP35" s="82"/>
      <c r="AQ35" s="83"/>
      <c r="AR35" s="80"/>
      <c r="AS35" s="81"/>
      <c r="AT35" s="82"/>
      <c r="AU35" s="83"/>
      <c r="AV35" s="80"/>
      <c r="AW35" s="81"/>
      <c r="AX35" s="82"/>
      <c r="AZ35" s="288">
        <f t="shared" si="1"/>
        <v>0</v>
      </c>
      <c r="BA35" s="82">
        <f t="shared" si="2"/>
        <v>10000</v>
      </c>
      <c r="BB35" s="256">
        <v>6860</v>
      </c>
    </row>
    <row r="36" spans="2:54" hidden="1" x14ac:dyDescent="0.3">
      <c r="B36" s="6">
        <v>6910</v>
      </c>
      <c r="C36" s="11" t="s">
        <v>26</v>
      </c>
      <c r="D36" s="80"/>
      <c r="E36" s="81"/>
      <c r="F36" s="82"/>
      <c r="G36" s="83"/>
      <c r="H36" s="80"/>
      <c r="I36" s="81"/>
      <c r="J36" s="82"/>
      <c r="K36" s="83"/>
      <c r="L36" s="80"/>
      <c r="M36" s="81"/>
      <c r="N36" s="82"/>
      <c r="O36" s="83"/>
      <c r="P36" s="80"/>
      <c r="Q36" s="81"/>
      <c r="R36" s="82"/>
      <c r="S36" s="83"/>
      <c r="T36" s="80"/>
      <c r="U36" s="81"/>
      <c r="V36" s="82"/>
      <c r="W36" s="83"/>
      <c r="X36" s="80"/>
      <c r="Y36" s="81"/>
      <c r="Z36" s="82"/>
      <c r="AA36" s="83"/>
      <c r="AB36" s="80"/>
      <c r="AC36" s="81"/>
      <c r="AD36" s="82"/>
      <c r="AE36" s="83"/>
      <c r="AF36" s="80"/>
      <c r="AG36" s="81"/>
      <c r="AH36" s="82"/>
      <c r="AI36" s="83"/>
      <c r="AJ36" s="80"/>
      <c r="AK36" s="81"/>
      <c r="AL36" s="82"/>
      <c r="AM36" s="83"/>
      <c r="AN36" s="80"/>
      <c r="AO36" s="81"/>
      <c r="AP36" s="82"/>
      <c r="AQ36" s="83"/>
      <c r="AR36" s="80"/>
      <c r="AS36" s="81"/>
      <c r="AT36" s="82"/>
      <c r="AU36" s="83"/>
      <c r="AV36" s="80"/>
      <c r="AW36" s="81"/>
      <c r="AX36" s="82"/>
      <c r="AZ36" s="288">
        <f t="shared" si="1"/>
        <v>0</v>
      </c>
      <c r="BA36" s="82">
        <f t="shared" si="2"/>
        <v>0</v>
      </c>
      <c r="BB36" s="256">
        <v>6910</v>
      </c>
    </row>
    <row r="37" spans="2:54" hidden="1" x14ac:dyDescent="0.3">
      <c r="B37" s="6">
        <v>6940</v>
      </c>
      <c r="C37" s="11" t="s">
        <v>49</v>
      </c>
      <c r="D37" s="80"/>
      <c r="E37" s="81"/>
      <c r="F37" s="82"/>
      <c r="G37" s="83"/>
      <c r="H37" s="80"/>
      <c r="I37" s="81"/>
      <c r="J37" s="82"/>
      <c r="K37" s="83"/>
      <c r="L37" s="80"/>
      <c r="M37" s="81"/>
      <c r="N37" s="82"/>
      <c r="O37" s="83"/>
      <c r="P37" s="80"/>
      <c r="Q37" s="81"/>
      <c r="R37" s="82"/>
      <c r="S37" s="83"/>
      <c r="T37" s="80"/>
      <c r="U37" s="81"/>
      <c r="V37" s="82"/>
      <c r="W37" s="83"/>
      <c r="X37" s="80"/>
      <c r="Y37" s="81"/>
      <c r="Z37" s="82"/>
      <c r="AA37" s="83"/>
      <c r="AB37" s="80"/>
      <c r="AC37" s="81"/>
      <c r="AD37" s="82"/>
      <c r="AE37" s="83"/>
      <c r="AF37" s="80"/>
      <c r="AG37" s="81"/>
      <c r="AH37" s="82"/>
      <c r="AI37" s="83"/>
      <c r="AJ37" s="80"/>
      <c r="AK37" s="81"/>
      <c r="AL37" s="82"/>
      <c r="AM37" s="83"/>
      <c r="AN37" s="80"/>
      <c r="AO37" s="81"/>
      <c r="AP37" s="82"/>
      <c r="AQ37" s="83"/>
      <c r="AR37" s="80"/>
      <c r="AS37" s="81"/>
      <c r="AT37" s="82"/>
      <c r="AU37" s="83"/>
      <c r="AV37" s="80"/>
      <c r="AW37" s="81"/>
      <c r="AX37" s="82"/>
      <c r="AZ37" s="288">
        <f t="shared" si="1"/>
        <v>0</v>
      </c>
      <c r="BA37" s="82">
        <f t="shared" si="2"/>
        <v>0</v>
      </c>
      <c r="BB37" s="256">
        <v>6940</v>
      </c>
    </row>
    <row r="38" spans="2:54" x14ac:dyDescent="0.3">
      <c r="B38" s="6">
        <v>6940</v>
      </c>
      <c r="C38" s="11" t="s">
        <v>49</v>
      </c>
      <c r="D38" s="80"/>
      <c r="E38" s="81"/>
      <c r="F38" s="82"/>
      <c r="G38" s="83"/>
      <c r="H38" s="80"/>
      <c r="I38" s="81"/>
      <c r="J38" s="82"/>
      <c r="K38" s="83"/>
      <c r="L38" s="80"/>
      <c r="M38" s="81"/>
      <c r="N38" s="82"/>
      <c r="O38" s="83"/>
      <c r="P38" s="80"/>
      <c r="Q38" s="81"/>
      <c r="R38" s="82"/>
      <c r="S38" s="83"/>
      <c r="T38" s="80"/>
      <c r="U38" s="81"/>
      <c r="V38" s="82"/>
      <c r="W38" s="83"/>
      <c r="X38" s="80"/>
      <c r="Y38" s="81"/>
      <c r="Z38" s="82"/>
      <c r="AA38" s="83"/>
      <c r="AB38" s="80"/>
      <c r="AC38" s="81"/>
      <c r="AD38" s="82"/>
      <c r="AE38" s="83"/>
      <c r="AF38" s="80"/>
      <c r="AG38" s="81"/>
      <c r="AH38" s="82"/>
      <c r="AI38" s="83"/>
      <c r="AJ38" s="80"/>
      <c r="AK38" s="81"/>
      <c r="AL38" s="82"/>
      <c r="AM38" s="83"/>
      <c r="AN38" s="80"/>
      <c r="AO38" s="81"/>
      <c r="AP38" s="82"/>
      <c r="AQ38" s="83"/>
      <c r="AR38" s="80"/>
      <c r="AS38" s="81"/>
      <c r="AT38" s="82"/>
      <c r="AU38" s="83"/>
      <c r="AV38" s="80"/>
      <c r="AW38" s="81"/>
      <c r="AX38" s="82"/>
      <c r="AZ38" s="289">
        <f t="shared" si="1"/>
        <v>0</v>
      </c>
      <c r="BA38" s="82">
        <f t="shared" si="2"/>
        <v>0</v>
      </c>
      <c r="BB38" s="256">
        <v>6940</v>
      </c>
    </row>
    <row r="39" spans="2:54" x14ac:dyDescent="0.3">
      <c r="B39" s="6">
        <v>7000</v>
      </c>
      <c r="C39" s="11" t="s">
        <v>27</v>
      </c>
      <c r="D39" s="80"/>
      <c r="E39" s="81"/>
      <c r="F39" s="82"/>
      <c r="G39" s="83"/>
      <c r="H39" s="80"/>
      <c r="I39" s="81"/>
      <c r="J39" s="82"/>
      <c r="K39" s="83"/>
      <c r="L39" s="80"/>
      <c r="M39" s="81"/>
      <c r="N39" s="82"/>
      <c r="O39" s="83"/>
      <c r="P39" s="80"/>
      <c r="Q39" s="81"/>
      <c r="R39" s="82"/>
      <c r="S39" s="83"/>
      <c r="T39" s="80"/>
      <c r="U39" s="81"/>
      <c r="V39" s="82"/>
      <c r="W39" s="83"/>
      <c r="X39" s="80"/>
      <c r="Y39" s="81"/>
      <c r="Z39" s="82"/>
      <c r="AA39" s="83"/>
      <c r="AB39" s="80"/>
      <c r="AC39" s="81"/>
      <c r="AD39" s="82"/>
      <c r="AE39" s="83"/>
      <c r="AF39" s="80">
        <v>2000</v>
      </c>
      <c r="AG39" s="81"/>
      <c r="AH39" s="82"/>
      <c r="AI39" s="83"/>
      <c r="AJ39" s="80"/>
      <c r="AK39" s="81"/>
      <c r="AL39" s="82"/>
      <c r="AM39" s="83"/>
      <c r="AN39" s="80"/>
      <c r="AO39" s="81"/>
      <c r="AP39" s="82"/>
      <c r="AQ39" s="83"/>
      <c r="AR39" s="80"/>
      <c r="AS39" s="81"/>
      <c r="AT39" s="82"/>
      <c r="AU39" s="83"/>
      <c r="AV39" s="80"/>
      <c r="AW39" s="81"/>
      <c r="AX39" s="82"/>
      <c r="AZ39" s="288">
        <f t="shared" si="1"/>
        <v>0</v>
      </c>
      <c r="BA39" s="82">
        <f t="shared" si="2"/>
        <v>2000</v>
      </c>
      <c r="BB39" s="256">
        <v>7000</v>
      </c>
    </row>
    <row r="40" spans="2:54" x14ac:dyDescent="0.3">
      <c r="B40" s="6">
        <v>7100</v>
      </c>
      <c r="C40" s="11" t="s">
        <v>28</v>
      </c>
      <c r="D40" s="80"/>
      <c r="E40" s="81"/>
      <c r="F40" s="82"/>
      <c r="G40" s="83"/>
      <c r="H40" s="80"/>
      <c r="I40" s="81"/>
      <c r="J40" s="82"/>
      <c r="K40" s="83"/>
      <c r="L40" s="80"/>
      <c r="M40" s="81"/>
      <c r="N40" s="82"/>
      <c r="O40" s="83"/>
      <c r="P40" s="80"/>
      <c r="Q40" s="81"/>
      <c r="R40" s="82"/>
      <c r="S40" s="83"/>
      <c r="T40" s="80">
        <v>3000</v>
      </c>
      <c r="U40" s="81"/>
      <c r="V40" s="82"/>
      <c r="W40" s="83"/>
      <c r="X40" s="80">
        <v>3000</v>
      </c>
      <c r="Y40" s="81"/>
      <c r="Z40" s="82"/>
      <c r="AA40" s="83"/>
      <c r="AB40" s="80"/>
      <c r="AC40" s="81"/>
      <c r="AD40" s="82"/>
      <c r="AE40" s="83"/>
      <c r="AF40" s="80">
        <v>3000</v>
      </c>
      <c r="AG40" s="81"/>
      <c r="AH40" s="82"/>
      <c r="AI40" s="83"/>
      <c r="AJ40" s="80"/>
      <c r="AK40" s="81"/>
      <c r="AL40" s="82"/>
      <c r="AM40" s="83"/>
      <c r="AN40" s="80"/>
      <c r="AO40" s="81"/>
      <c r="AP40" s="82"/>
      <c r="AQ40" s="83"/>
      <c r="AR40" s="80"/>
      <c r="AS40" s="81"/>
      <c r="AT40" s="82"/>
      <c r="AU40" s="83"/>
      <c r="AV40" s="80"/>
      <c r="AW40" s="81"/>
      <c r="AX40" s="82"/>
      <c r="AZ40" s="288">
        <f t="shared" si="1"/>
        <v>0</v>
      </c>
      <c r="BA40" s="82">
        <f t="shared" si="2"/>
        <v>9000</v>
      </c>
      <c r="BB40" s="256">
        <v>7100</v>
      </c>
    </row>
    <row r="41" spans="2:54" hidden="1" x14ac:dyDescent="0.3">
      <c r="B41" s="6">
        <v>7101</v>
      </c>
      <c r="C41" s="11" t="s">
        <v>29</v>
      </c>
      <c r="D41" s="80"/>
      <c r="E41" s="81"/>
      <c r="F41" s="82"/>
      <c r="G41" s="83"/>
      <c r="H41" s="80"/>
      <c r="I41" s="81"/>
      <c r="J41" s="82"/>
      <c r="K41" s="83"/>
      <c r="L41" s="80"/>
      <c r="M41" s="81"/>
      <c r="N41" s="82"/>
      <c r="O41" s="83"/>
      <c r="P41" s="80"/>
      <c r="Q41" s="81"/>
      <c r="R41" s="82"/>
      <c r="S41" s="83"/>
      <c r="T41" s="80"/>
      <c r="U41" s="81"/>
      <c r="V41" s="82"/>
      <c r="W41" s="83"/>
      <c r="X41" s="80"/>
      <c r="Y41" s="81"/>
      <c r="Z41" s="82"/>
      <c r="AA41" s="83"/>
      <c r="AB41" s="80"/>
      <c r="AC41" s="81"/>
      <c r="AD41" s="82"/>
      <c r="AE41" s="83"/>
      <c r="AF41" s="80"/>
      <c r="AG41" s="81"/>
      <c r="AH41" s="82"/>
      <c r="AI41" s="83"/>
      <c r="AJ41" s="80"/>
      <c r="AK41" s="81"/>
      <c r="AL41" s="82"/>
      <c r="AM41" s="83"/>
      <c r="AN41" s="80"/>
      <c r="AO41" s="81"/>
      <c r="AP41" s="82"/>
      <c r="AQ41" s="83"/>
      <c r="AR41" s="80"/>
      <c r="AS41" s="81"/>
      <c r="AT41" s="82"/>
      <c r="AU41" s="83"/>
      <c r="AV41" s="80"/>
      <c r="AW41" s="81"/>
      <c r="AX41" s="82"/>
      <c r="AZ41" s="288">
        <f t="shared" si="1"/>
        <v>0</v>
      </c>
      <c r="BA41" s="82">
        <f t="shared" si="2"/>
        <v>0</v>
      </c>
      <c r="BB41" s="256">
        <v>7101</v>
      </c>
    </row>
    <row r="42" spans="2:54" x14ac:dyDescent="0.3">
      <c r="B42" s="6">
        <v>7102</v>
      </c>
      <c r="C42" s="186" t="s">
        <v>29</v>
      </c>
      <c r="D42" s="80"/>
      <c r="E42" s="81"/>
      <c r="F42" s="82"/>
      <c r="G42" s="83"/>
      <c r="H42" s="80"/>
      <c r="I42" s="81"/>
      <c r="J42" s="82"/>
      <c r="K42" s="83"/>
      <c r="L42" s="80"/>
      <c r="M42" s="81"/>
      <c r="N42" s="82"/>
      <c r="O42" s="83"/>
      <c r="P42" s="80"/>
      <c r="Q42" s="81"/>
      <c r="R42" s="82"/>
      <c r="S42" s="83"/>
      <c r="T42" s="80"/>
      <c r="U42" s="81"/>
      <c r="V42" s="82"/>
      <c r="W42" s="83"/>
      <c r="X42" s="80"/>
      <c r="Y42" s="81"/>
      <c r="Z42" s="82"/>
      <c r="AA42" s="83"/>
      <c r="AB42" s="80"/>
      <c r="AC42" s="81"/>
      <c r="AD42" s="82"/>
      <c r="AE42" s="83"/>
      <c r="AF42" s="80"/>
      <c r="AG42" s="81"/>
      <c r="AH42" s="82"/>
      <c r="AI42" s="83"/>
      <c r="AJ42" s="80"/>
      <c r="AK42" s="81"/>
      <c r="AL42" s="82"/>
      <c r="AM42" s="83"/>
      <c r="AN42" s="80"/>
      <c r="AO42" s="81"/>
      <c r="AP42" s="82"/>
      <c r="AQ42" s="83"/>
      <c r="AR42" s="80"/>
      <c r="AS42" s="81"/>
      <c r="AT42" s="82"/>
      <c r="AU42" s="83"/>
      <c r="AV42" s="80"/>
      <c r="AW42" s="81"/>
      <c r="AX42" s="82"/>
      <c r="AZ42" s="289">
        <f t="shared" si="1"/>
        <v>0</v>
      </c>
      <c r="BA42" s="82">
        <f t="shared" si="2"/>
        <v>0</v>
      </c>
      <c r="BB42" s="256">
        <v>7102</v>
      </c>
    </row>
    <row r="43" spans="2:54" x14ac:dyDescent="0.3">
      <c r="B43" s="6">
        <v>7110</v>
      </c>
      <c r="C43" s="11" t="s">
        <v>30</v>
      </c>
      <c r="D43" s="80"/>
      <c r="E43" s="81"/>
      <c r="F43" s="82"/>
      <c r="G43" s="83"/>
      <c r="H43" s="80"/>
      <c r="I43" s="81"/>
      <c r="J43" s="82"/>
      <c r="K43" s="83"/>
      <c r="L43" s="80">
        <v>5000</v>
      </c>
      <c r="M43" s="81"/>
      <c r="N43" s="82"/>
      <c r="O43" s="83"/>
      <c r="P43" s="80"/>
      <c r="Q43" s="81"/>
      <c r="R43" s="82"/>
      <c r="S43" s="83"/>
      <c r="T43" s="80">
        <v>5000</v>
      </c>
      <c r="U43" s="81"/>
      <c r="V43" s="82"/>
      <c r="W43" s="83"/>
      <c r="X43" s="80">
        <v>5000</v>
      </c>
      <c r="Y43" s="81"/>
      <c r="Z43" s="82"/>
      <c r="AA43" s="83"/>
      <c r="AB43" s="80">
        <v>5000</v>
      </c>
      <c r="AC43" s="81"/>
      <c r="AD43" s="82"/>
      <c r="AE43" s="83"/>
      <c r="AF43" s="80">
        <f>2000+3000</f>
        <v>5000</v>
      </c>
      <c r="AG43" s="81"/>
      <c r="AH43" s="82"/>
      <c r="AI43" s="83"/>
      <c r="AJ43" s="80"/>
      <c r="AK43" s="81"/>
      <c r="AL43" s="82"/>
      <c r="AM43" s="83"/>
      <c r="AN43" s="80"/>
      <c r="AO43" s="81"/>
      <c r="AP43" s="82"/>
      <c r="AQ43" s="83"/>
      <c r="AR43" s="80"/>
      <c r="AS43" s="81"/>
      <c r="AT43" s="82"/>
      <c r="AU43" s="83"/>
      <c r="AV43" s="80"/>
      <c r="AW43" s="81"/>
      <c r="AX43" s="82"/>
      <c r="AZ43" s="288">
        <f t="shared" si="1"/>
        <v>0</v>
      </c>
      <c r="BA43" s="82">
        <f t="shared" si="2"/>
        <v>25000</v>
      </c>
      <c r="BB43" s="256">
        <v>7110</v>
      </c>
    </row>
    <row r="44" spans="2:54" x14ac:dyDescent="0.3">
      <c r="B44" s="6">
        <v>7141</v>
      </c>
      <c r="C44" s="11" t="s">
        <v>31</v>
      </c>
      <c r="D44" s="80"/>
      <c r="E44" s="81"/>
      <c r="F44" s="82"/>
      <c r="G44" s="83"/>
      <c r="H44" s="80"/>
      <c r="I44" s="81"/>
      <c r="J44" s="82"/>
      <c r="K44" s="83"/>
      <c r="L44" s="80">
        <v>3000</v>
      </c>
      <c r="M44" s="81"/>
      <c r="N44" s="82"/>
      <c r="O44" s="83"/>
      <c r="P44" s="80"/>
      <c r="Q44" s="81"/>
      <c r="R44" s="82"/>
      <c r="S44" s="83"/>
      <c r="T44" s="80">
        <v>4000</v>
      </c>
      <c r="U44" s="81"/>
      <c r="V44" s="82"/>
      <c r="W44" s="83"/>
      <c r="X44" s="80">
        <v>4000</v>
      </c>
      <c r="Y44" s="81"/>
      <c r="Z44" s="82"/>
      <c r="AA44" s="83"/>
      <c r="AB44" s="80">
        <f>3000</f>
        <v>3000</v>
      </c>
      <c r="AC44" s="81"/>
      <c r="AD44" s="82"/>
      <c r="AE44" s="83"/>
      <c r="AF44" s="80">
        <v>2000</v>
      </c>
      <c r="AG44" s="81"/>
      <c r="AH44" s="82"/>
      <c r="AI44" s="83"/>
      <c r="AJ44" s="80"/>
      <c r="AK44" s="81"/>
      <c r="AL44" s="82"/>
      <c r="AM44" s="83"/>
      <c r="AN44" s="80"/>
      <c r="AO44" s="81"/>
      <c r="AP44" s="82"/>
      <c r="AQ44" s="83"/>
      <c r="AR44" s="80"/>
      <c r="AS44" s="81"/>
      <c r="AT44" s="82"/>
      <c r="AU44" s="83"/>
      <c r="AV44" s="80"/>
      <c r="AW44" s="81"/>
      <c r="AX44" s="82"/>
      <c r="AZ44" s="288">
        <f t="shared" si="1"/>
        <v>0</v>
      </c>
      <c r="BA44" s="82">
        <f t="shared" si="2"/>
        <v>16000</v>
      </c>
      <c r="BB44" s="256">
        <v>7141</v>
      </c>
    </row>
    <row r="45" spans="2:54" x14ac:dyDescent="0.3">
      <c r="B45" s="6">
        <v>7145</v>
      </c>
      <c r="C45" s="11" t="s">
        <v>32</v>
      </c>
      <c r="D45" s="80"/>
      <c r="E45" s="81"/>
      <c r="F45" s="82"/>
      <c r="G45" s="83"/>
      <c r="H45" s="80"/>
      <c r="I45" s="81"/>
      <c r="J45" s="82"/>
      <c r="K45" s="83"/>
      <c r="L45" s="80">
        <v>1000</v>
      </c>
      <c r="M45" s="81"/>
      <c r="N45" s="82"/>
      <c r="O45" s="83"/>
      <c r="P45" s="80"/>
      <c r="Q45" s="81"/>
      <c r="R45" s="82"/>
      <c r="S45" s="83"/>
      <c r="T45" s="80">
        <v>1000</v>
      </c>
      <c r="U45" s="81"/>
      <c r="V45" s="82"/>
      <c r="W45" s="83"/>
      <c r="X45" s="80">
        <v>1000</v>
      </c>
      <c r="Y45" s="81"/>
      <c r="Z45" s="82"/>
      <c r="AA45" s="83"/>
      <c r="AB45" s="80"/>
      <c r="AC45" s="81"/>
      <c r="AD45" s="82"/>
      <c r="AE45" s="83"/>
      <c r="AF45" s="80">
        <v>1000</v>
      </c>
      <c r="AG45" s="81"/>
      <c r="AH45" s="82"/>
      <c r="AI45" s="83"/>
      <c r="AJ45" s="80"/>
      <c r="AK45" s="81"/>
      <c r="AL45" s="82"/>
      <c r="AM45" s="83"/>
      <c r="AN45" s="80"/>
      <c r="AO45" s="81"/>
      <c r="AP45" s="82"/>
      <c r="AQ45" s="83"/>
      <c r="AR45" s="80"/>
      <c r="AS45" s="81"/>
      <c r="AT45" s="82"/>
      <c r="AU45" s="83"/>
      <c r="AV45" s="80"/>
      <c r="AW45" s="81"/>
      <c r="AX45" s="82"/>
      <c r="AZ45" s="288">
        <f t="shared" si="1"/>
        <v>0</v>
      </c>
      <c r="BA45" s="82">
        <f t="shared" si="2"/>
        <v>4000</v>
      </c>
      <c r="BB45" s="256">
        <v>7145</v>
      </c>
    </row>
    <row r="46" spans="2:54" x14ac:dyDescent="0.3">
      <c r="B46" s="6">
        <v>7162</v>
      </c>
      <c r="C46" s="11" t="s">
        <v>33</v>
      </c>
      <c r="D46" s="80"/>
      <c r="E46" s="81"/>
      <c r="F46" s="82"/>
      <c r="G46" s="83"/>
      <c r="H46" s="80"/>
      <c r="I46" s="81"/>
      <c r="J46" s="82"/>
      <c r="K46" s="83"/>
      <c r="L46" s="80">
        <v>3000</v>
      </c>
      <c r="M46" s="81"/>
      <c r="N46" s="82"/>
      <c r="O46" s="83"/>
      <c r="P46" s="80"/>
      <c r="Q46" s="81"/>
      <c r="R46" s="82"/>
      <c r="S46" s="83"/>
      <c r="T46" s="80">
        <v>2000</v>
      </c>
      <c r="U46" s="81"/>
      <c r="V46" s="82"/>
      <c r="W46" s="83"/>
      <c r="X46" s="80">
        <v>2000</v>
      </c>
      <c r="Y46" s="81"/>
      <c r="Z46" s="82"/>
      <c r="AA46" s="83"/>
      <c r="AB46" s="80">
        <f>2000</f>
        <v>2000</v>
      </c>
      <c r="AC46" s="81"/>
      <c r="AD46" s="82"/>
      <c r="AE46" s="83"/>
      <c r="AF46" s="80">
        <v>1500</v>
      </c>
      <c r="AG46" s="81"/>
      <c r="AH46" s="82"/>
      <c r="AI46" s="83"/>
      <c r="AJ46" s="80"/>
      <c r="AK46" s="81"/>
      <c r="AL46" s="82"/>
      <c r="AM46" s="83"/>
      <c r="AN46" s="80"/>
      <c r="AO46" s="81"/>
      <c r="AP46" s="82"/>
      <c r="AQ46" s="83"/>
      <c r="AR46" s="80"/>
      <c r="AS46" s="81"/>
      <c r="AT46" s="82"/>
      <c r="AU46" s="83"/>
      <c r="AV46" s="80"/>
      <c r="AW46" s="81"/>
      <c r="AX46" s="82"/>
      <c r="AZ46" s="288">
        <f t="shared" si="1"/>
        <v>0</v>
      </c>
      <c r="BA46" s="82">
        <f t="shared" si="2"/>
        <v>10500</v>
      </c>
      <c r="BB46" s="256">
        <v>7162</v>
      </c>
    </row>
    <row r="47" spans="2:54" hidden="1" x14ac:dyDescent="0.3">
      <c r="B47" s="6">
        <v>7320</v>
      </c>
      <c r="C47" s="11" t="s">
        <v>34</v>
      </c>
      <c r="D47" s="80"/>
      <c r="E47" s="81"/>
      <c r="F47" s="82"/>
      <c r="G47" s="83"/>
      <c r="H47" s="80"/>
      <c r="I47" s="81"/>
      <c r="J47" s="82"/>
      <c r="K47" s="83"/>
      <c r="L47" s="80"/>
      <c r="M47" s="81"/>
      <c r="N47" s="82"/>
      <c r="O47" s="83"/>
      <c r="P47" s="80"/>
      <c r="Q47" s="81"/>
      <c r="R47" s="82"/>
      <c r="S47" s="83"/>
      <c r="T47" s="80"/>
      <c r="U47" s="81"/>
      <c r="V47" s="82"/>
      <c r="W47" s="83"/>
      <c r="X47" s="80"/>
      <c r="Y47" s="81"/>
      <c r="Z47" s="82"/>
      <c r="AA47" s="83"/>
      <c r="AB47" s="80"/>
      <c r="AC47" s="81"/>
      <c r="AD47" s="82"/>
      <c r="AE47" s="83"/>
      <c r="AF47" s="80"/>
      <c r="AG47" s="81"/>
      <c r="AH47" s="82"/>
      <c r="AI47" s="83"/>
      <c r="AJ47" s="80"/>
      <c r="AK47" s="81"/>
      <c r="AL47" s="82"/>
      <c r="AM47" s="83"/>
      <c r="AN47" s="80"/>
      <c r="AO47" s="81"/>
      <c r="AP47" s="82"/>
      <c r="AQ47" s="83"/>
      <c r="AR47" s="80"/>
      <c r="AS47" s="81"/>
      <c r="AT47" s="82"/>
      <c r="AU47" s="83"/>
      <c r="AV47" s="80"/>
      <c r="AW47" s="81"/>
      <c r="AX47" s="82"/>
      <c r="AZ47" s="288">
        <f t="shared" si="1"/>
        <v>0</v>
      </c>
      <c r="BA47" s="82">
        <f t="shared" si="2"/>
        <v>0</v>
      </c>
      <c r="BB47" s="256">
        <v>7320</v>
      </c>
    </row>
    <row r="48" spans="2:54" hidden="1" x14ac:dyDescent="0.3">
      <c r="B48" s="6">
        <v>7350</v>
      </c>
      <c r="C48" s="11" t="s">
        <v>35</v>
      </c>
      <c r="D48" s="80"/>
      <c r="E48" s="81"/>
      <c r="F48" s="82"/>
      <c r="G48" s="83"/>
      <c r="H48" s="80"/>
      <c r="I48" s="81"/>
      <c r="J48" s="82"/>
      <c r="K48" s="83"/>
      <c r="L48" s="80"/>
      <c r="M48" s="81"/>
      <c r="N48" s="82"/>
      <c r="O48" s="83"/>
      <c r="P48" s="80"/>
      <c r="Q48" s="81"/>
      <c r="R48" s="82"/>
      <c r="S48" s="83"/>
      <c r="T48" s="80"/>
      <c r="U48" s="81"/>
      <c r="V48" s="82"/>
      <c r="W48" s="83"/>
      <c r="X48" s="80"/>
      <c r="Y48" s="81"/>
      <c r="Z48" s="82"/>
      <c r="AA48" s="83"/>
      <c r="AB48" s="80"/>
      <c r="AC48" s="81"/>
      <c r="AD48" s="82"/>
      <c r="AE48" s="83"/>
      <c r="AF48" s="80"/>
      <c r="AG48" s="81"/>
      <c r="AH48" s="82"/>
      <c r="AI48" s="83"/>
      <c r="AJ48" s="80"/>
      <c r="AK48" s="81"/>
      <c r="AL48" s="82"/>
      <c r="AM48" s="83"/>
      <c r="AN48" s="80"/>
      <c r="AO48" s="81"/>
      <c r="AP48" s="82"/>
      <c r="AQ48" s="83"/>
      <c r="AR48" s="80"/>
      <c r="AS48" s="81"/>
      <c r="AT48" s="82"/>
      <c r="AU48" s="83"/>
      <c r="AV48" s="80"/>
      <c r="AW48" s="81"/>
      <c r="AX48" s="82"/>
      <c r="AZ48" s="288">
        <f t="shared" si="1"/>
        <v>0</v>
      </c>
      <c r="BA48" s="82">
        <f t="shared" si="2"/>
        <v>0</v>
      </c>
      <c r="BB48" s="256">
        <v>7350</v>
      </c>
    </row>
    <row r="49" spans="2:55" hidden="1" x14ac:dyDescent="0.3">
      <c r="B49" s="6">
        <v>7400</v>
      </c>
      <c r="C49" s="11" t="s">
        <v>36</v>
      </c>
      <c r="D49" s="80"/>
      <c r="E49" s="81"/>
      <c r="F49" s="82"/>
      <c r="G49" s="83"/>
      <c r="H49" s="80"/>
      <c r="I49" s="81"/>
      <c r="J49" s="82"/>
      <c r="K49" s="83"/>
      <c r="L49" s="80"/>
      <c r="M49" s="81"/>
      <c r="N49" s="82"/>
      <c r="O49" s="83"/>
      <c r="P49" s="80"/>
      <c r="Q49" s="81"/>
      <c r="R49" s="82"/>
      <c r="S49" s="83"/>
      <c r="T49" s="80"/>
      <c r="U49" s="81"/>
      <c r="V49" s="82"/>
      <c r="W49" s="83"/>
      <c r="X49" s="80"/>
      <c r="Y49" s="81"/>
      <c r="Z49" s="82"/>
      <c r="AA49" s="83"/>
      <c r="AB49" s="80"/>
      <c r="AC49" s="81"/>
      <c r="AD49" s="82"/>
      <c r="AE49" s="83"/>
      <c r="AF49" s="80"/>
      <c r="AG49" s="81"/>
      <c r="AH49" s="82"/>
      <c r="AI49" s="83"/>
      <c r="AJ49" s="80"/>
      <c r="AK49" s="81"/>
      <c r="AL49" s="82"/>
      <c r="AM49" s="83"/>
      <c r="AN49" s="80"/>
      <c r="AO49" s="81"/>
      <c r="AP49" s="82"/>
      <c r="AQ49" s="83"/>
      <c r="AR49" s="80"/>
      <c r="AS49" s="81"/>
      <c r="AT49" s="82"/>
      <c r="AU49" s="83"/>
      <c r="AV49" s="80"/>
      <c r="AW49" s="81"/>
      <c r="AX49" s="82"/>
      <c r="AZ49" s="288">
        <f t="shared" si="1"/>
        <v>0</v>
      </c>
      <c r="BA49" s="82">
        <f t="shared" si="2"/>
        <v>0</v>
      </c>
      <c r="BB49" s="256">
        <v>7400</v>
      </c>
    </row>
    <row r="50" spans="2:55" x14ac:dyDescent="0.3">
      <c r="B50" s="6">
        <v>7411</v>
      </c>
      <c r="C50" s="11" t="s">
        <v>37</v>
      </c>
      <c r="D50" s="80"/>
      <c r="E50" s="81"/>
      <c r="F50" s="82"/>
      <c r="G50" s="83"/>
      <c r="H50" s="80"/>
      <c r="I50" s="81"/>
      <c r="J50" s="82"/>
      <c r="K50" s="83"/>
      <c r="L50" s="80"/>
      <c r="M50" s="81"/>
      <c r="N50" s="82"/>
      <c r="O50" s="83"/>
      <c r="P50" s="80"/>
      <c r="Q50" s="81"/>
      <c r="R50" s="82"/>
      <c r="S50" s="83"/>
      <c r="T50" s="80"/>
      <c r="U50" s="81"/>
      <c r="V50" s="82"/>
      <c r="W50" s="83"/>
      <c r="X50" s="80"/>
      <c r="Y50" s="81"/>
      <c r="Z50" s="82"/>
      <c r="AA50" s="83"/>
      <c r="AB50" s="80">
        <v>7500</v>
      </c>
      <c r="AC50" s="81"/>
      <c r="AD50" s="82"/>
      <c r="AE50" s="83"/>
      <c r="AF50" s="80">
        <v>500</v>
      </c>
      <c r="AG50" s="81"/>
      <c r="AH50" s="82"/>
      <c r="AI50" s="83"/>
      <c r="AJ50" s="80"/>
      <c r="AK50" s="81"/>
      <c r="AL50" s="82"/>
      <c r="AM50" s="83"/>
      <c r="AN50" s="80"/>
      <c r="AO50" s="81"/>
      <c r="AP50" s="82"/>
      <c r="AQ50" s="83"/>
      <c r="AR50" s="80"/>
      <c r="AS50" s="81"/>
      <c r="AT50" s="82"/>
      <c r="AU50" s="83"/>
      <c r="AV50" s="80"/>
      <c r="AW50" s="81"/>
      <c r="AX50" s="82"/>
      <c r="AZ50" s="288">
        <f t="shared" si="1"/>
        <v>0</v>
      </c>
      <c r="BA50" s="82">
        <f t="shared" si="2"/>
        <v>8000</v>
      </c>
      <c r="BB50" s="256">
        <v>7411</v>
      </c>
    </row>
    <row r="51" spans="2:55" ht="15" thickBot="1" x14ac:dyDescent="0.35">
      <c r="B51" s="6">
        <v>7420</v>
      </c>
      <c r="C51" s="11" t="s">
        <v>38</v>
      </c>
      <c r="D51" s="80"/>
      <c r="E51" s="81"/>
      <c r="F51" s="82"/>
      <c r="G51" s="83"/>
      <c r="H51" s="80"/>
      <c r="I51" s="81"/>
      <c r="J51" s="82"/>
      <c r="K51" s="83"/>
      <c r="L51" s="80"/>
      <c r="M51" s="81"/>
      <c r="N51" s="82"/>
      <c r="O51" s="83"/>
      <c r="P51" s="80"/>
      <c r="Q51" s="81"/>
      <c r="R51" s="82"/>
      <c r="S51" s="83"/>
      <c r="T51" s="80">
        <v>5000</v>
      </c>
      <c r="U51" s="81"/>
      <c r="V51" s="82"/>
      <c r="W51" s="83"/>
      <c r="X51" s="80">
        <v>5000</v>
      </c>
      <c r="Y51" s="81"/>
      <c r="Z51" s="82"/>
      <c r="AA51" s="83"/>
      <c r="AB51" s="80">
        <v>5000</v>
      </c>
      <c r="AC51" s="81"/>
      <c r="AD51" s="82"/>
      <c r="AE51" s="83"/>
      <c r="AF51" s="80"/>
      <c r="AG51" s="81"/>
      <c r="AH51" s="82"/>
      <c r="AI51" s="83"/>
      <c r="AJ51" s="80">
        <v>15000</v>
      </c>
      <c r="AK51" s="81"/>
      <c r="AL51" s="82"/>
      <c r="AM51" s="83"/>
      <c r="AN51" s="80"/>
      <c r="AO51" s="81"/>
      <c r="AP51" s="82"/>
      <c r="AQ51" s="83"/>
      <c r="AR51" s="80">
        <v>30000</v>
      </c>
      <c r="AS51" s="81"/>
      <c r="AT51" s="82"/>
      <c r="AU51" s="83"/>
      <c r="AV51" s="80"/>
      <c r="AW51" s="81"/>
      <c r="AX51" s="82"/>
      <c r="AZ51" s="288">
        <f t="shared" si="1"/>
        <v>0</v>
      </c>
      <c r="BA51" s="82">
        <f t="shared" si="2"/>
        <v>60000</v>
      </c>
      <c r="BB51" s="256">
        <v>7420</v>
      </c>
    </row>
    <row r="52" spans="2:55" ht="15" hidden="1" thickBot="1" x14ac:dyDescent="0.35">
      <c r="B52" s="6">
        <v>7425</v>
      </c>
      <c r="C52" s="11" t="s">
        <v>39</v>
      </c>
      <c r="D52" s="80"/>
      <c r="E52" s="81"/>
      <c r="F52" s="82"/>
      <c r="G52" s="83"/>
      <c r="H52" s="80"/>
      <c r="I52" s="81"/>
      <c r="J52" s="82"/>
      <c r="K52" s="83"/>
      <c r="L52" s="80"/>
      <c r="M52" s="81"/>
      <c r="N52" s="82"/>
      <c r="O52" s="83"/>
      <c r="P52" s="80"/>
      <c r="Q52" s="81"/>
      <c r="R52" s="82"/>
      <c r="S52" s="83"/>
      <c r="T52" s="80"/>
      <c r="U52" s="81"/>
      <c r="V52" s="82"/>
      <c r="W52" s="83"/>
      <c r="X52" s="80"/>
      <c r="Y52" s="81"/>
      <c r="Z52" s="82"/>
      <c r="AA52" s="83"/>
      <c r="AB52" s="80"/>
      <c r="AC52" s="81"/>
      <c r="AD52" s="82"/>
      <c r="AE52" s="83"/>
      <c r="AF52" s="80"/>
      <c r="AG52" s="81"/>
      <c r="AH52" s="82"/>
      <c r="AI52" s="83"/>
      <c r="AJ52" s="80"/>
      <c r="AK52" s="81"/>
      <c r="AL52" s="82"/>
      <c r="AM52" s="83"/>
      <c r="AN52" s="80"/>
      <c r="AO52" s="81"/>
      <c r="AP52" s="82"/>
      <c r="AQ52" s="83"/>
      <c r="AR52" s="80"/>
      <c r="AS52" s="81"/>
      <c r="AT52" s="82"/>
      <c r="AU52" s="83"/>
      <c r="AV52" s="80"/>
      <c r="AW52" s="81"/>
      <c r="AX52" s="82"/>
      <c r="AZ52" s="288">
        <f t="shared" si="1"/>
        <v>0</v>
      </c>
      <c r="BA52" s="82">
        <f t="shared" si="2"/>
        <v>0</v>
      </c>
      <c r="BB52" s="256">
        <v>7425</v>
      </c>
    </row>
    <row r="53" spans="2:55" ht="15" hidden="1" thickBot="1" x14ac:dyDescent="0.35">
      <c r="B53" s="6">
        <v>7430</v>
      </c>
      <c r="C53" s="11" t="s">
        <v>40</v>
      </c>
      <c r="D53" s="80"/>
      <c r="E53" s="81"/>
      <c r="F53" s="82"/>
      <c r="G53" s="83"/>
      <c r="H53" s="80"/>
      <c r="I53" s="81"/>
      <c r="J53" s="82"/>
      <c r="K53" s="83"/>
      <c r="L53" s="80"/>
      <c r="M53" s="81"/>
      <c r="N53" s="82"/>
      <c r="O53" s="83"/>
      <c r="P53" s="80"/>
      <c r="Q53" s="81"/>
      <c r="R53" s="82"/>
      <c r="S53" s="83"/>
      <c r="T53" s="80"/>
      <c r="U53" s="81"/>
      <c r="V53" s="82"/>
      <c r="W53" s="83"/>
      <c r="X53" s="80"/>
      <c r="Y53" s="81"/>
      <c r="Z53" s="82"/>
      <c r="AA53" s="83"/>
      <c r="AB53" s="80"/>
      <c r="AC53" s="81"/>
      <c r="AD53" s="82"/>
      <c r="AE53" s="83"/>
      <c r="AF53" s="80"/>
      <c r="AG53" s="81"/>
      <c r="AH53" s="82"/>
      <c r="AI53" s="83"/>
      <c r="AJ53" s="80"/>
      <c r="AK53" s="81"/>
      <c r="AL53" s="82"/>
      <c r="AM53" s="83"/>
      <c r="AN53" s="80"/>
      <c r="AO53" s="81"/>
      <c r="AP53" s="82"/>
      <c r="AQ53" s="83"/>
      <c r="AR53" s="80"/>
      <c r="AS53" s="81"/>
      <c r="AT53" s="82"/>
      <c r="AU53" s="83"/>
      <c r="AV53" s="80"/>
      <c r="AW53" s="81"/>
      <c r="AX53" s="82"/>
      <c r="AZ53" s="288">
        <f t="shared" si="1"/>
        <v>0</v>
      </c>
      <c r="BA53" s="82">
        <f t="shared" si="2"/>
        <v>0</v>
      </c>
      <c r="BB53" s="256">
        <v>7430</v>
      </c>
    </row>
    <row r="54" spans="2:55" ht="15" hidden="1" thickBot="1" x14ac:dyDescent="0.35">
      <c r="B54" s="6">
        <v>7500</v>
      </c>
      <c r="C54" s="11" t="s">
        <v>41</v>
      </c>
      <c r="D54" s="80"/>
      <c r="E54" s="81"/>
      <c r="F54" s="82"/>
      <c r="G54" s="83"/>
      <c r="H54" s="80"/>
      <c r="I54" s="81"/>
      <c r="J54" s="82"/>
      <c r="K54" s="83"/>
      <c r="L54" s="80"/>
      <c r="M54" s="81"/>
      <c r="N54" s="82"/>
      <c r="O54" s="83"/>
      <c r="P54" s="80"/>
      <c r="Q54" s="81"/>
      <c r="R54" s="82"/>
      <c r="S54" s="83"/>
      <c r="T54" s="80"/>
      <c r="U54" s="81"/>
      <c r="V54" s="82"/>
      <c r="W54" s="83"/>
      <c r="X54" s="80"/>
      <c r="Y54" s="81"/>
      <c r="Z54" s="82"/>
      <c r="AA54" s="83"/>
      <c r="AB54" s="80"/>
      <c r="AC54" s="81"/>
      <c r="AD54" s="82"/>
      <c r="AE54" s="83"/>
      <c r="AF54" s="80"/>
      <c r="AG54" s="81"/>
      <c r="AH54" s="82"/>
      <c r="AI54" s="83"/>
      <c r="AJ54" s="80"/>
      <c r="AK54" s="81"/>
      <c r="AL54" s="82"/>
      <c r="AM54" s="83"/>
      <c r="AN54" s="80"/>
      <c r="AO54" s="81"/>
      <c r="AP54" s="82"/>
      <c r="AQ54" s="83"/>
      <c r="AR54" s="80"/>
      <c r="AS54" s="81"/>
      <c r="AT54" s="82"/>
      <c r="AU54" s="83"/>
      <c r="AV54" s="80"/>
      <c r="AW54" s="81"/>
      <c r="AX54" s="82"/>
      <c r="AZ54" s="288">
        <f t="shared" si="1"/>
        <v>0</v>
      </c>
      <c r="BA54" s="82">
        <f t="shared" si="2"/>
        <v>0</v>
      </c>
      <c r="BB54" s="256">
        <v>7500</v>
      </c>
    </row>
    <row r="55" spans="2:55" ht="15" hidden="1" thickBot="1" x14ac:dyDescent="0.35">
      <c r="B55" s="6">
        <v>7746</v>
      </c>
      <c r="C55" s="11" t="s">
        <v>42</v>
      </c>
      <c r="D55" s="80"/>
      <c r="E55" s="81"/>
      <c r="F55" s="82"/>
      <c r="G55" s="83"/>
      <c r="H55" s="80"/>
      <c r="I55" s="81"/>
      <c r="J55" s="82"/>
      <c r="K55" s="83"/>
      <c r="L55" s="80"/>
      <c r="M55" s="81"/>
      <c r="N55" s="82"/>
      <c r="O55" s="83"/>
      <c r="P55" s="80"/>
      <c r="Q55" s="81"/>
      <c r="R55" s="82"/>
      <c r="S55" s="83"/>
      <c r="T55" s="80"/>
      <c r="U55" s="81"/>
      <c r="V55" s="82"/>
      <c r="W55" s="83"/>
      <c r="X55" s="80"/>
      <c r="Y55" s="81"/>
      <c r="Z55" s="82"/>
      <c r="AA55" s="83"/>
      <c r="AB55" s="80"/>
      <c r="AC55" s="81"/>
      <c r="AD55" s="82"/>
      <c r="AE55" s="83"/>
      <c r="AF55" s="80"/>
      <c r="AG55" s="81"/>
      <c r="AH55" s="82"/>
      <c r="AI55" s="83"/>
      <c r="AJ55" s="80"/>
      <c r="AK55" s="81"/>
      <c r="AL55" s="82"/>
      <c r="AM55" s="83"/>
      <c r="AN55" s="80"/>
      <c r="AO55" s="81"/>
      <c r="AP55" s="82"/>
      <c r="AQ55" s="83"/>
      <c r="AR55" s="80"/>
      <c r="AS55" s="81"/>
      <c r="AT55" s="82"/>
      <c r="AU55" s="83"/>
      <c r="AV55" s="80"/>
      <c r="AW55" s="81"/>
      <c r="AX55" s="82"/>
      <c r="AZ55" s="288">
        <f t="shared" si="1"/>
        <v>0</v>
      </c>
      <c r="BA55" s="82">
        <f t="shared" si="2"/>
        <v>0</v>
      </c>
      <c r="BB55" s="256">
        <v>7746</v>
      </c>
    </row>
    <row r="56" spans="2:55" ht="15" hidden="1" thickBot="1" x14ac:dyDescent="0.35">
      <c r="B56" s="6">
        <v>7770</v>
      </c>
      <c r="C56" s="11" t="s">
        <v>43</v>
      </c>
      <c r="D56" s="80"/>
      <c r="E56" s="81"/>
      <c r="F56" s="82"/>
      <c r="G56" s="83"/>
      <c r="H56" s="80"/>
      <c r="I56" s="81"/>
      <c r="J56" s="82"/>
      <c r="K56" s="83"/>
      <c r="L56" s="80"/>
      <c r="M56" s="81"/>
      <c r="N56" s="82"/>
      <c r="O56" s="83"/>
      <c r="P56" s="80"/>
      <c r="Q56" s="81"/>
      <c r="R56" s="82"/>
      <c r="S56" s="83"/>
      <c r="T56" s="80"/>
      <c r="U56" s="81"/>
      <c r="V56" s="82"/>
      <c r="W56" s="83"/>
      <c r="X56" s="80"/>
      <c r="Y56" s="81"/>
      <c r="Z56" s="82"/>
      <c r="AA56" s="83"/>
      <c r="AB56" s="80"/>
      <c r="AC56" s="81"/>
      <c r="AD56" s="82"/>
      <c r="AE56" s="83"/>
      <c r="AF56" s="80"/>
      <c r="AG56" s="81"/>
      <c r="AH56" s="82"/>
      <c r="AI56" s="83"/>
      <c r="AJ56" s="80"/>
      <c r="AK56" s="81"/>
      <c r="AL56" s="82"/>
      <c r="AM56" s="83"/>
      <c r="AN56" s="80"/>
      <c r="AO56" s="81"/>
      <c r="AP56" s="82"/>
      <c r="AQ56" s="83"/>
      <c r="AR56" s="80"/>
      <c r="AS56" s="81"/>
      <c r="AT56" s="82"/>
      <c r="AU56" s="83"/>
      <c r="AV56" s="80"/>
      <c r="AW56" s="81"/>
      <c r="AX56" s="82"/>
      <c r="AZ56" s="288">
        <f t="shared" si="1"/>
        <v>0</v>
      </c>
      <c r="BA56" s="82">
        <f t="shared" si="2"/>
        <v>0</v>
      </c>
      <c r="BB56" s="256">
        <v>7770</v>
      </c>
    </row>
    <row r="57" spans="2:55" ht="15" thickBot="1" x14ac:dyDescent="0.35">
      <c r="B57" s="8">
        <v>7775</v>
      </c>
      <c r="C57" s="12" t="s">
        <v>44</v>
      </c>
      <c r="D57" s="84"/>
      <c r="E57" s="85"/>
      <c r="F57" s="86"/>
      <c r="G57" s="83"/>
      <c r="H57" s="84"/>
      <c r="I57" s="85"/>
      <c r="J57" s="86"/>
      <c r="K57" s="83"/>
      <c r="L57" s="84"/>
      <c r="M57" s="85"/>
      <c r="N57" s="86"/>
      <c r="O57" s="83"/>
      <c r="P57" s="84"/>
      <c r="Q57" s="85"/>
      <c r="R57" s="86"/>
      <c r="S57" s="83"/>
      <c r="T57" s="84"/>
      <c r="U57" s="85"/>
      <c r="V57" s="86"/>
      <c r="W57" s="83"/>
      <c r="X57" s="84"/>
      <c r="Y57" s="85"/>
      <c r="Z57" s="86"/>
      <c r="AA57" s="83"/>
      <c r="AB57" s="84"/>
      <c r="AC57" s="85"/>
      <c r="AD57" s="86"/>
      <c r="AE57" s="83"/>
      <c r="AF57" s="84"/>
      <c r="AG57" s="85"/>
      <c r="AH57" s="86"/>
      <c r="AI57" s="83"/>
      <c r="AJ57" s="84"/>
      <c r="AK57" s="85"/>
      <c r="AL57" s="86"/>
      <c r="AM57" s="83"/>
      <c r="AN57" s="84"/>
      <c r="AO57" s="85"/>
      <c r="AP57" s="86"/>
      <c r="AQ57" s="83"/>
      <c r="AR57" s="84"/>
      <c r="AS57" s="85"/>
      <c r="AT57" s="86"/>
      <c r="AU57" s="83"/>
      <c r="AV57" s="84"/>
      <c r="AW57" s="85"/>
      <c r="AX57" s="86"/>
      <c r="AZ57" s="288">
        <f t="shared" si="1"/>
        <v>0</v>
      </c>
      <c r="BA57" s="82">
        <f t="shared" si="2"/>
        <v>0</v>
      </c>
      <c r="BB57" s="199">
        <v>7775</v>
      </c>
      <c r="BC57" s="229" t="s">
        <v>310</v>
      </c>
    </row>
    <row r="58" spans="2:55" ht="15" thickBot="1" x14ac:dyDescent="0.35">
      <c r="B58" s="26"/>
      <c r="C58" s="27" t="s">
        <v>74</v>
      </c>
      <c r="D58" s="87">
        <f>SUM(D12:D57)</f>
        <v>204350.86877449998</v>
      </c>
      <c r="E58" s="87"/>
      <c r="F58" s="92">
        <f>SUM(F12:F57)</f>
        <v>0</v>
      </c>
      <c r="G58" s="83"/>
      <c r="H58" s="87">
        <f t="shared" ref="H58:J58" si="10">SUM(H12:H57)</f>
        <v>0</v>
      </c>
      <c r="I58" s="87"/>
      <c r="J58" s="92">
        <f t="shared" si="10"/>
        <v>0</v>
      </c>
      <c r="K58" s="83"/>
      <c r="L58" s="87">
        <f>SUM(L12:L57)</f>
        <v>22500</v>
      </c>
      <c r="M58" s="87"/>
      <c r="N58" s="92">
        <f>SUM(N12:N57)</f>
        <v>0</v>
      </c>
      <c r="O58" s="83"/>
      <c r="P58" s="87">
        <f>SUM(P12:P57)</f>
        <v>0</v>
      </c>
      <c r="Q58" s="87"/>
      <c r="R58" s="92">
        <f>SUM(R12:R57)</f>
        <v>0</v>
      </c>
      <c r="S58" s="83"/>
      <c r="T58" s="87">
        <f>SUM(T12:T57)</f>
        <v>31000</v>
      </c>
      <c r="U58" s="87"/>
      <c r="V58" s="92">
        <f>SUM(V12:V57)</f>
        <v>0</v>
      </c>
      <c r="W58" s="83"/>
      <c r="X58" s="87">
        <f>SUM(X12:X57)</f>
        <v>31000</v>
      </c>
      <c r="Y58" s="87"/>
      <c r="Z58" s="92"/>
      <c r="AA58" s="83"/>
      <c r="AB58" s="87">
        <f t="shared" ref="AB58" si="11">SUM(AB12:AB57)</f>
        <v>33715.199999999997</v>
      </c>
      <c r="AC58" s="87"/>
      <c r="AD58" s="92">
        <f>SUM(AD12:AD57)</f>
        <v>0</v>
      </c>
      <c r="AE58" s="83"/>
      <c r="AF58" s="87">
        <f t="shared" ref="AF58:AH58" si="12">SUM(AF12:AF57)</f>
        <v>16141</v>
      </c>
      <c r="AG58" s="87"/>
      <c r="AH58" s="92">
        <f t="shared" si="12"/>
        <v>0</v>
      </c>
      <c r="AI58" s="83"/>
      <c r="AJ58" s="87">
        <f t="shared" ref="AJ58:AL58" si="13">SUM(AJ12:AJ57)</f>
        <v>15000</v>
      </c>
      <c r="AK58" s="87"/>
      <c r="AL58" s="92">
        <f t="shared" si="13"/>
        <v>0</v>
      </c>
      <c r="AM58" s="83"/>
      <c r="AN58" s="87">
        <f t="shared" ref="AN58" si="14">SUM(AN12:AN57)</f>
        <v>10000</v>
      </c>
      <c r="AO58" s="87"/>
      <c r="AP58" s="92">
        <f>SUM(AP12:AP57)</f>
        <v>0</v>
      </c>
      <c r="AQ58" s="83"/>
      <c r="AR58" s="87">
        <f t="shared" ref="AR58" si="15">SUM(AR12:AR57)</f>
        <v>30000</v>
      </c>
      <c r="AS58" s="87"/>
      <c r="AT58" s="92">
        <f>SUM(AT12:AT57)</f>
        <v>0</v>
      </c>
      <c r="AU58" s="83"/>
      <c r="AV58" s="87">
        <f>SUM(AV12:AV57)</f>
        <v>0</v>
      </c>
      <c r="AW58" s="87"/>
      <c r="AX58" s="92"/>
      <c r="AZ58" s="95">
        <f t="shared" si="1"/>
        <v>0</v>
      </c>
      <c r="BA58" s="89">
        <f t="shared" si="2"/>
        <v>393707.06877449999</v>
      </c>
      <c r="BB58" s="26"/>
      <c r="BC58" s="224">
        <f>SUM(D58+H58+L58+P58+T58+X58+AB58+AF58+AJ58+AN58+AR58+AV58)</f>
        <v>393707.06877449999</v>
      </c>
    </row>
    <row r="59" spans="2:55" ht="15" thickBot="1" x14ac:dyDescent="0.35">
      <c r="C59" s="13" t="s">
        <v>373</v>
      </c>
      <c r="D59" s="310">
        <f>D11-D58</f>
        <v>-204350.86877449998</v>
      </c>
      <c r="E59" s="310"/>
      <c r="F59" s="310">
        <f t="shared" ref="F59" si="16">F11-F58</f>
        <v>0</v>
      </c>
      <c r="G59" s="313"/>
      <c r="H59" s="310">
        <f>H11-H58</f>
        <v>0</v>
      </c>
      <c r="I59" s="310"/>
      <c r="J59" s="310">
        <f t="shared" ref="J59" si="17">J11-J58</f>
        <v>0</v>
      </c>
      <c r="K59" s="313"/>
      <c r="L59" s="310">
        <f>L11-L58</f>
        <v>-22500</v>
      </c>
      <c r="M59" s="310"/>
      <c r="N59" s="310">
        <f>N11-N58</f>
        <v>0</v>
      </c>
      <c r="O59" s="313"/>
      <c r="P59" s="310">
        <f>P11-P58</f>
        <v>0</v>
      </c>
      <c r="Q59" s="310"/>
      <c r="R59" s="310">
        <f>R11-R58</f>
        <v>0</v>
      </c>
      <c r="S59" s="313"/>
      <c r="T59" s="310">
        <f>T11-T58</f>
        <v>-31000</v>
      </c>
      <c r="U59" s="310"/>
      <c r="V59" s="310">
        <f>V11-V58</f>
        <v>0</v>
      </c>
      <c r="W59" s="313"/>
      <c r="X59" s="310">
        <f>X11-X58</f>
        <v>-31000</v>
      </c>
      <c r="Y59" s="310"/>
      <c r="Z59" s="310"/>
      <c r="AA59" s="313"/>
      <c r="AB59" s="310">
        <f>AB11-AB58</f>
        <v>-33715.199999999997</v>
      </c>
      <c r="AC59" s="310"/>
      <c r="AD59" s="310">
        <f t="shared" ref="AD59" si="18">AD11-AD58</f>
        <v>0</v>
      </c>
      <c r="AE59" s="313"/>
      <c r="AF59" s="310">
        <f>AF11-AF58</f>
        <v>-16141</v>
      </c>
      <c r="AG59" s="310"/>
      <c r="AH59" s="310">
        <f t="shared" ref="AH59" si="19">AH11-AH58</f>
        <v>0</v>
      </c>
      <c r="AI59" s="313"/>
      <c r="AJ59" s="310">
        <f t="shared" ref="AJ59" si="20">AJ11-AJ58</f>
        <v>-15000</v>
      </c>
      <c r="AK59" s="310"/>
      <c r="AL59" s="310">
        <f t="shared" ref="AL59:AX59" si="21">AL11-AL58</f>
        <v>0</v>
      </c>
      <c r="AM59" s="313"/>
      <c r="AN59" s="310">
        <f t="shared" ref="AN59" si="22">AN11-AN58</f>
        <v>-10000</v>
      </c>
      <c r="AO59" s="310"/>
      <c r="AP59" s="310">
        <f t="shared" si="21"/>
        <v>0</v>
      </c>
      <c r="AQ59" s="313"/>
      <c r="AR59" s="310">
        <f t="shared" ref="AR59" si="23">AR11-AR58</f>
        <v>-30000</v>
      </c>
      <c r="AS59" s="310"/>
      <c r="AT59" s="310">
        <f t="shared" si="21"/>
        <v>0</v>
      </c>
      <c r="AU59" s="313"/>
      <c r="AV59" s="310">
        <f t="shared" ref="AV59" si="24">AV11-AV58</f>
        <v>0</v>
      </c>
      <c r="AW59" s="310"/>
      <c r="AX59" s="310">
        <f t="shared" si="21"/>
        <v>0</v>
      </c>
      <c r="AY59" s="313"/>
      <c r="AZ59" s="319">
        <f t="shared" si="1"/>
        <v>0</v>
      </c>
      <c r="BA59" s="320">
        <f t="shared" si="2"/>
        <v>-393707.06877449999</v>
      </c>
      <c r="BB59" s="42"/>
    </row>
    <row r="61" spans="2:55" ht="14.4" customHeight="1" x14ac:dyDescent="0.3">
      <c r="H61" t="s">
        <v>349</v>
      </c>
      <c r="L61" t="s">
        <v>350</v>
      </c>
      <c r="P61" s="337" t="s">
        <v>351</v>
      </c>
      <c r="Q61" s="337"/>
      <c r="R61" s="337"/>
      <c r="T61" s="349"/>
      <c r="U61" s="349"/>
      <c r="V61" s="349"/>
      <c r="X61" s="349" t="s">
        <v>352</v>
      </c>
      <c r="Y61" s="349"/>
      <c r="Z61" s="349"/>
      <c r="AB61" s="337" t="s">
        <v>354</v>
      </c>
      <c r="AC61" s="337"/>
      <c r="AD61" s="337"/>
      <c r="AF61" s="337" t="s">
        <v>353</v>
      </c>
      <c r="AG61" s="337"/>
      <c r="AH61" s="337"/>
      <c r="AJ61" s="337" t="s">
        <v>355</v>
      </c>
      <c r="AK61" s="337"/>
      <c r="AL61" s="337"/>
      <c r="AN61" s="349" t="s">
        <v>313</v>
      </c>
      <c r="AO61" s="349"/>
      <c r="AP61" s="349"/>
      <c r="AR61" s="337" t="s">
        <v>314</v>
      </c>
      <c r="AS61" s="337"/>
      <c r="AT61" s="337"/>
    </row>
    <row r="62" spans="2:55" x14ac:dyDescent="0.3">
      <c r="P62" s="337"/>
      <c r="Q62" s="337"/>
      <c r="R62" s="337"/>
      <c r="T62" s="349"/>
      <c r="U62" s="349"/>
      <c r="V62" s="349"/>
      <c r="X62" s="349"/>
      <c r="Y62" s="349"/>
      <c r="Z62" s="349"/>
      <c r="AB62" s="337"/>
      <c r="AC62" s="337"/>
      <c r="AD62" s="337"/>
      <c r="AF62" s="337"/>
      <c r="AG62" s="337"/>
      <c r="AH62" s="337"/>
      <c r="AJ62" s="337"/>
      <c r="AK62" s="337"/>
      <c r="AL62" s="337"/>
      <c r="AN62" s="349"/>
      <c r="AO62" s="349"/>
      <c r="AP62" s="349"/>
      <c r="AR62" s="337"/>
      <c r="AS62" s="337"/>
      <c r="AT62" s="337"/>
    </row>
    <row r="63" spans="2:55" x14ac:dyDescent="0.3">
      <c r="P63" s="337"/>
      <c r="Q63" s="337"/>
      <c r="R63" s="337"/>
      <c r="T63" s="349"/>
      <c r="U63" s="349"/>
      <c r="V63" s="349"/>
      <c r="X63" s="349"/>
      <c r="Y63" s="349"/>
      <c r="Z63" s="349"/>
      <c r="AB63" s="337"/>
      <c r="AC63" s="337"/>
      <c r="AD63" s="337"/>
      <c r="AF63" s="337"/>
      <c r="AG63" s="337"/>
      <c r="AH63" s="337"/>
      <c r="AJ63" s="337"/>
      <c r="AK63" s="337"/>
      <c r="AL63" s="337"/>
      <c r="AN63" s="349"/>
      <c r="AO63" s="349"/>
      <c r="AP63" s="349"/>
      <c r="AR63" s="337"/>
      <c r="AS63" s="337"/>
      <c r="AT63" s="337"/>
    </row>
    <row r="64" spans="2:55" x14ac:dyDescent="0.3">
      <c r="P64" s="337"/>
      <c r="Q64" s="337"/>
      <c r="R64" s="337"/>
      <c r="T64" s="349"/>
      <c r="U64" s="349"/>
      <c r="V64" s="349"/>
      <c r="X64" s="349"/>
      <c r="Y64" s="349"/>
      <c r="Z64" s="349"/>
      <c r="AB64" s="337"/>
      <c r="AC64" s="337"/>
      <c r="AD64" s="337"/>
      <c r="AF64" s="337"/>
      <c r="AG64" s="337"/>
      <c r="AH64" s="337"/>
      <c r="AJ64" s="337"/>
      <c r="AK64" s="337"/>
      <c r="AL64" s="337"/>
      <c r="AN64" s="349"/>
      <c r="AO64" s="349"/>
      <c r="AP64" s="349"/>
      <c r="AR64" s="337"/>
      <c r="AS64" s="337"/>
      <c r="AT64" s="337"/>
    </row>
    <row r="65" spans="16:46" x14ac:dyDescent="0.3">
      <c r="P65" s="337"/>
      <c r="Q65" s="337"/>
      <c r="R65" s="337"/>
      <c r="T65" s="349"/>
      <c r="U65" s="349"/>
      <c r="V65" s="349"/>
      <c r="X65" s="349"/>
      <c r="Y65" s="349"/>
      <c r="Z65" s="349"/>
      <c r="AF65" s="337"/>
      <c r="AG65" s="337"/>
      <c r="AH65" s="337"/>
      <c r="AJ65" s="337"/>
      <c r="AK65" s="337"/>
      <c r="AL65" s="337"/>
      <c r="AN65" s="349"/>
      <c r="AO65" s="349"/>
      <c r="AP65" s="349"/>
      <c r="AR65" s="337"/>
      <c r="AS65" s="337"/>
      <c r="AT65" s="337"/>
    </row>
    <row r="66" spans="16:46" x14ac:dyDescent="0.3">
      <c r="P66" s="337"/>
      <c r="Q66" s="337"/>
      <c r="R66" s="337"/>
      <c r="T66" s="349"/>
      <c r="U66" s="349"/>
      <c r="V66" s="349"/>
      <c r="X66" s="349"/>
      <c r="Y66" s="349"/>
      <c r="Z66" s="349"/>
      <c r="AF66" s="337"/>
      <c r="AG66" s="337"/>
      <c r="AH66" s="337"/>
      <c r="AJ66" s="337"/>
      <c r="AK66" s="337"/>
      <c r="AL66" s="337"/>
      <c r="AN66" s="349"/>
      <c r="AO66" s="349"/>
      <c r="AP66" s="349"/>
      <c r="AR66" s="337"/>
      <c r="AS66" s="337"/>
      <c r="AT66" s="337"/>
    </row>
    <row r="67" spans="16:46" x14ac:dyDescent="0.3">
      <c r="P67" s="337"/>
      <c r="Q67" s="337"/>
      <c r="R67" s="337"/>
      <c r="T67" s="349"/>
      <c r="U67" s="349"/>
      <c r="V67" s="349"/>
      <c r="X67" s="349"/>
      <c r="Y67" s="349"/>
      <c r="Z67" s="349"/>
    </row>
    <row r="68" spans="16:46" x14ac:dyDescent="0.3">
      <c r="P68" s="337"/>
      <c r="Q68" s="337"/>
      <c r="R68" s="337"/>
    </row>
  </sheetData>
  <sheetProtection algorithmName="SHA-512" hashValue="YUi9nriE82H7MwSmKMOLQIcJN4lFPLYbjEwc+/uZQmow0BX3zg+TvPUu3KLX2kh6FKQdP8bNkkwl2Wph1kocjQ==" saltValue="33brmxvZbpsAX7slwZ1L1w==" spinCount="100000" sheet="1" selectLockedCells="1"/>
  <protectedRanges>
    <protectedRange sqref="D18 H18:I18 L18:M18 AB18:AC18 AF18:AG18 AJ18:AK18 AN18:AO18 AR18:AS18 AV18:AW18 P18:Q18 T18:U18 X18:Y18" name="Område2_2_1"/>
    <protectedRange password="8B3B" sqref="H20:I21 L20:M21 AB20:AC21 AF20:AG21 AJ20:AK21 AN20:AO21 AR20:AS21 AV20:AW21 P20:Q21 T20:U21 X20:Y21" name="Område1_2_1"/>
  </protectedRanges>
  <mergeCells count="22">
    <mergeCell ref="AW1:AX1"/>
    <mergeCell ref="P61:R68"/>
    <mergeCell ref="Y1:Z1"/>
    <mergeCell ref="T61:V67"/>
    <mergeCell ref="X61:Z67"/>
    <mergeCell ref="AB61:AD64"/>
    <mergeCell ref="AF61:AH66"/>
    <mergeCell ref="AN61:AP66"/>
    <mergeCell ref="AR61:AT66"/>
    <mergeCell ref="AJ61:AL66"/>
    <mergeCell ref="B2:C2"/>
    <mergeCell ref="AK1:AL1"/>
    <mergeCell ref="AO1:AP1"/>
    <mergeCell ref="AS1:AT1"/>
    <mergeCell ref="B1:C1"/>
    <mergeCell ref="M1:N1"/>
    <mergeCell ref="E1:F1"/>
    <mergeCell ref="I1:J1"/>
    <mergeCell ref="AC1:AD1"/>
    <mergeCell ref="AG1:AH1"/>
    <mergeCell ref="Q1:R1"/>
    <mergeCell ref="U1:V1"/>
  </mergeCells>
  <pageMargins left="0.7" right="0.7" top="0.75" bottom="0.75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64"/>
  <sheetViews>
    <sheetView zoomScale="70" zoomScaleNormal="70" zoomScalePageLayoutView="90" workbookViewId="0">
      <pane xSplit="3" topLeftCell="AB1" activePane="topRight" state="frozen"/>
      <selection pane="topRight" activeCell="AN2" sqref="AN2"/>
    </sheetView>
  </sheetViews>
  <sheetFormatPr baseColWidth="10" defaultColWidth="11.44140625" defaultRowHeight="14.4" x14ac:dyDescent="0.3"/>
  <cols>
    <col min="1" max="1" width="9.44140625" bestFit="1" customWidth="1"/>
    <col min="2" max="2" width="6.44140625" bestFit="1" customWidth="1"/>
    <col min="3" max="3" width="37.5546875" bestFit="1" customWidth="1"/>
    <col min="4" max="4" width="12.44140625" bestFit="1" customWidth="1"/>
    <col min="5" max="5" width="11.5546875" bestFit="1" customWidth="1"/>
    <col min="6" max="6" width="19.109375" bestFit="1" customWidth="1"/>
    <col min="7" max="7" width="3" customWidth="1"/>
    <col min="8" max="8" width="12.6640625" bestFit="1" customWidth="1"/>
    <col min="9" max="9" width="11.5546875" bestFit="1" customWidth="1"/>
    <col min="10" max="10" width="19.109375" bestFit="1" customWidth="1"/>
    <col min="11" max="11" width="3.44140625" customWidth="1"/>
    <col min="12" max="12" width="17.44140625" customWidth="1"/>
    <col min="13" max="13" width="18.5546875" bestFit="1" customWidth="1"/>
    <col min="14" max="14" width="19.109375" bestFit="1" customWidth="1"/>
    <col min="15" max="15" width="4.5546875" customWidth="1"/>
    <col min="16" max="16" width="17.6640625" bestFit="1" customWidth="1"/>
    <col min="17" max="17" width="12.33203125" bestFit="1" customWidth="1"/>
    <col min="18" max="18" width="27.5546875" customWidth="1"/>
    <col min="19" max="19" width="3.5546875" customWidth="1"/>
    <col min="20" max="20" width="17.109375" bestFit="1" customWidth="1"/>
    <col min="21" max="21" width="24.5546875" bestFit="1" customWidth="1"/>
    <col min="22" max="22" width="19.109375" bestFit="1" customWidth="1"/>
    <col min="23" max="23" width="4" customWidth="1"/>
    <col min="24" max="24" width="17.109375" bestFit="1" customWidth="1"/>
    <col min="25" max="25" width="13.109375" bestFit="1" customWidth="1"/>
    <col min="26" max="26" width="19.109375" bestFit="1" customWidth="1"/>
    <col min="27" max="27" width="4.5546875" customWidth="1"/>
    <col min="28" max="28" width="17.109375" bestFit="1" customWidth="1"/>
    <col min="29" max="29" width="11.5546875" bestFit="1" customWidth="1"/>
    <col min="30" max="30" width="22.6640625" customWidth="1"/>
    <col min="31" max="31" width="4" customWidth="1"/>
    <col min="32" max="32" width="17.109375" bestFit="1" customWidth="1"/>
    <col min="33" max="33" width="19.44140625" bestFit="1" customWidth="1"/>
    <col min="34" max="34" width="19.109375" bestFit="1" customWidth="1"/>
    <col min="35" max="35" width="3.5546875" customWidth="1"/>
    <col min="36" max="36" width="17.109375" bestFit="1" customWidth="1"/>
    <col min="37" max="37" width="26.33203125" bestFit="1" customWidth="1"/>
    <col min="38" max="38" width="19.109375" bestFit="1" customWidth="1"/>
    <col min="39" max="39" width="4.5546875" customWidth="1"/>
    <col min="40" max="40" width="16.5546875" bestFit="1" customWidth="1"/>
    <col min="41" max="41" width="16.5546875" customWidth="1"/>
    <col min="42" max="42" width="8.5546875" bestFit="1" customWidth="1"/>
    <col min="43" max="43" width="15.88671875" bestFit="1" customWidth="1"/>
    <col min="44" max="54" width="4.5546875" customWidth="1"/>
  </cols>
  <sheetData>
    <row r="1" spans="1:54" ht="15" thickBot="1" x14ac:dyDescent="0.35">
      <c r="A1" s="33"/>
      <c r="B1" s="341" t="s">
        <v>76</v>
      </c>
      <c r="C1" s="341"/>
      <c r="D1" s="19">
        <v>50000</v>
      </c>
      <c r="E1" s="344" t="s">
        <v>53</v>
      </c>
      <c r="F1" s="345"/>
      <c r="G1" s="1"/>
      <c r="H1" s="19">
        <v>51000</v>
      </c>
      <c r="I1" s="344" t="s">
        <v>77</v>
      </c>
      <c r="J1" s="345" t="s">
        <v>54</v>
      </c>
      <c r="K1" s="1"/>
      <c r="L1" s="19">
        <v>52000</v>
      </c>
      <c r="M1" s="344" t="s">
        <v>62</v>
      </c>
      <c r="N1" s="345"/>
      <c r="O1" s="1"/>
      <c r="P1" s="19">
        <v>52100</v>
      </c>
      <c r="Q1" s="344" t="s">
        <v>154</v>
      </c>
      <c r="R1" s="345"/>
      <c r="T1" s="19">
        <v>52200</v>
      </c>
      <c r="U1" s="344" t="s">
        <v>155</v>
      </c>
      <c r="V1" s="345"/>
      <c r="W1" s="1"/>
      <c r="X1" s="19">
        <v>52300</v>
      </c>
      <c r="Y1" s="344" t="s">
        <v>319</v>
      </c>
      <c r="Z1" s="345"/>
      <c r="AB1" s="19">
        <v>52400</v>
      </c>
      <c r="AC1" s="344" t="s">
        <v>294</v>
      </c>
      <c r="AD1" s="345"/>
      <c r="AE1" s="1"/>
      <c r="AF1" s="19">
        <v>53000</v>
      </c>
      <c r="AG1" s="344" t="s">
        <v>63</v>
      </c>
      <c r="AH1" s="345"/>
      <c r="AJ1" s="19">
        <v>54000</v>
      </c>
      <c r="AK1" s="175" t="s">
        <v>64</v>
      </c>
      <c r="AL1" s="17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thickBot="1" x14ac:dyDescent="0.35">
      <c r="A2" s="32"/>
      <c r="B2" s="341" t="s">
        <v>244</v>
      </c>
      <c r="C2" s="341"/>
      <c r="D2" s="14"/>
      <c r="E2" s="15"/>
      <c r="F2" s="16"/>
      <c r="G2" s="2"/>
      <c r="H2" s="14"/>
      <c r="I2" s="15"/>
      <c r="J2" s="16"/>
      <c r="K2" s="2"/>
      <c r="L2" s="14"/>
      <c r="M2" s="15"/>
      <c r="N2" s="16"/>
      <c r="O2" s="2"/>
      <c r="P2" s="14"/>
      <c r="Q2" s="15"/>
      <c r="R2" s="16"/>
      <c r="T2" s="14"/>
      <c r="U2" s="15"/>
      <c r="V2" s="16"/>
      <c r="W2" s="2"/>
      <c r="X2" s="14"/>
      <c r="Y2" s="15"/>
      <c r="Z2" s="16"/>
      <c r="AB2" s="14"/>
      <c r="AC2" s="15"/>
      <c r="AD2" s="16"/>
      <c r="AE2" s="2"/>
      <c r="AF2" s="14"/>
      <c r="AG2" s="15"/>
      <c r="AH2" s="16"/>
      <c r="AJ2" s="14"/>
      <c r="AK2" s="15"/>
      <c r="AL2" s="16"/>
      <c r="AN2" s="254" t="s">
        <v>52</v>
      </c>
      <c r="AO2" s="274" t="s">
        <v>52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" thickBot="1" x14ac:dyDescent="0.35">
      <c r="B3" s="3" t="s">
        <v>0</v>
      </c>
      <c r="C3" s="18" t="s">
        <v>47</v>
      </c>
      <c r="D3" s="29" t="s">
        <v>342</v>
      </c>
      <c r="E3" s="30" t="s">
        <v>70</v>
      </c>
      <c r="F3" s="31" t="s">
        <v>343</v>
      </c>
      <c r="G3" s="4"/>
      <c r="H3" s="29" t="s">
        <v>342</v>
      </c>
      <c r="I3" s="30" t="s">
        <v>70</v>
      </c>
      <c r="J3" s="31" t="s">
        <v>343</v>
      </c>
      <c r="K3" s="4"/>
      <c r="L3" s="29" t="s">
        <v>342</v>
      </c>
      <c r="M3" s="30" t="s">
        <v>70</v>
      </c>
      <c r="N3" s="31" t="s">
        <v>343</v>
      </c>
      <c r="O3" s="4"/>
      <c r="P3" s="29" t="s">
        <v>342</v>
      </c>
      <c r="Q3" s="30" t="s">
        <v>70</v>
      </c>
      <c r="R3" s="31" t="s">
        <v>343</v>
      </c>
      <c r="T3" s="29" t="s">
        <v>342</v>
      </c>
      <c r="U3" s="30" t="s">
        <v>70</v>
      </c>
      <c r="V3" s="31" t="s">
        <v>343</v>
      </c>
      <c r="W3" s="4"/>
      <c r="X3" s="29" t="s">
        <v>342</v>
      </c>
      <c r="Y3" s="30" t="s">
        <v>70</v>
      </c>
      <c r="Z3" s="31" t="s">
        <v>343</v>
      </c>
      <c r="AB3" s="29" t="s">
        <v>342</v>
      </c>
      <c r="AC3" s="30" t="s">
        <v>70</v>
      </c>
      <c r="AD3" s="31" t="s">
        <v>343</v>
      </c>
      <c r="AE3" s="4"/>
      <c r="AF3" s="29" t="s">
        <v>342</v>
      </c>
      <c r="AG3" s="30" t="s">
        <v>70</v>
      </c>
      <c r="AH3" s="31" t="s">
        <v>343</v>
      </c>
      <c r="AJ3" s="29" t="s">
        <v>342</v>
      </c>
      <c r="AK3" s="30" t="s">
        <v>70</v>
      </c>
      <c r="AL3" s="31" t="s">
        <v>343</v>
      </c>
      <c r="AN3" s="109" t="s">
        <v>367</v>
      </c>
      <c r="AO3" s="284" t="s">
        <v>368</v>
      </c>
      <c r="AP3" s="263" t="s">
        <v>0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5" thickBot="1" x14ac:dyDescent="0.35">
      <c r="A4" s="5" t="s">
        <v>45</v>
      </c>
      <c r="B4" s="6">
        <v>3100</v>
      </c>
      <c r="C4" s="17" t="s">
        <v>3</v>
      </c>
      <c r="D4" s="80"/>
      <c r="E4" s="81"/>
      <c r="F4" s="82"/>
      <c r="G4" s="83"/>
      <c r="H4" s="80"/>
      <c r="I4" s="81"/>
      <c r="J4" s="82"/>
      <c r="K4" s="83"/>
      <c r="L4" s="80"/>
      <c r="M4" s="81"/>
      <c r="N4" s="82"/>
      <c r="O4" s="83"/>
      <c r="P4" s="80"/>
      <c r="Q4" s="81"/>
      <c r="R4" s="82"/>
      <c r="S4" s="83"/>
      <c r="T4" s="80"/>
      <c r="U4" s="81"/>
      <c r="V4" s="82"/>
      <c r="W4" s="83"/>
      <c r="X4" s="80"/>
      <c r="Y4" s="81"/>
      <c r="Z4" s="82"/>
      <c r="AA4" s="83"/>
      <c r="AB4" s="80"/>
      <c r="AC4" s="81"/>
      <c r="AD4" s="82"/>
      <c r="AE4" s="83"/>
      <c r="AF4" s="80"/>
      <c r="AG4" s="81"/>
      <c r="AH4" s="82"/>
      <c r="AI4" s="83"/>
      <c r="AJ4" s="80"/>
      <c r="AK4" s="81"/>
      <c r="AL4" s="82"/>
      <c r="AM4" s="83"/>
      <c r="AN4" s="288">
        <f>SUM(AL4+AH4+AD4+Z4+V4+R4+N4+J4+F4)</f>
        <v>0</v>
      </c>
      <c r="AO4" s="82">
        <f>SUM(D4+H4+L4+P4+T4+X4+AB4+AF4+AJ4)</f>
        <v>0</v>
      </c>
      <c r="AP4" s="256">
        <v>3100</v>
      </c>
    </row>
    <row r="5" spans="1:54" ht="15" hidden="1" thickBot="1" x14ac:dyDescent="0.35">
      <c r="B5" s="6">
        <v>3120</v>
      </c>
      <c r="C5" s="7" t="s">
        <v>4</v>
      </c>
      <c r="D5" s="80"/>
      <c r="E5" s="81"/>
      <c r="F5" s="82"/>
      <c r="G5" s="83"/>
      <c r="H5" s="80"/>
      <c r="I5" s="81"/>
      <c r="J5" s="82"/>
      <c r="K5" s="83"/>
      <c r="L5" s="80"/>
      <c r="M5" s="81"/>
      <c r="N5" s="82"/>
      <c r="O5" s="83"/>
      <c r="P5" s="80"/>
      <c r="Q5" s="81"/>
      <c r="R5" s="82"/>
      <c r="S5" s="83"/>
      <c r="T5" s="80"/>
      <c r="U5" s="81"/>
      <c r="V5" s="82"/>
      <c r="W5" s="83"/>
      <c r="X5" s="80"/>
      <c r="Y5" s="81"/>
      <c r="Z5" s="82"/>
      <c r="AA5" s="83"/>
      <c r="AB5" s="80"/>
      <c r="AC5" s="81"/>
      <c r="AD5" s="82"/>
      <c r="AE5" s="83"/>
      <c r="AF5" s="80"/>
      <c r="AG5" s="81"/>
      <c r="AH5" s="82"/>
      <c r="AI5" s="83"/>
      <c r="AJ5" s="80"/>
      <c r="AK5" s="81"/>
      <c r="AL5" s="82"/>
      <c r="AM5" s="83"/>
      <c r="AN5" s="288">
        <f t="shared" ref="AN5:AN55" si="0">SUM(AL5+AH5+AD5+Z5+V5+R5+N5+J5+F5)</f>
        <v>0</v>
      </c>
      <c r="AO5" s="82">
        <f t="shared" ref="AO5:AO55" si="1">SUM(D5+H5+L5+P5+T5+X5+AB5+AF5+AJ5)</f>
        <v>0</v>
      </c>
      <c r="AP5" s="256">
        <v>3120</v>
      </c>
    </row>
    <row r="6" spans="1:54" ht="15" hidden="1" thickBot="1" x14ac:dyDescent="0.35">
      <c r="B6" s="6">
        <v>3400</v>
      </c>
      <c r="C6" s="7" t="s">
        <v>5</v>
      </c>
      <c r="D6" s="80"/>
      <c r="E6" s="81"/>
      <c r="F6" s="82"/>
      <c r="G6" s="83"/>
      <c r="H6" s="80"/>
      <c r="I6" s="81"/>
      <c r="J6" s="82"/>
      <c r="K6" s="83"/>
      <c r="L6" s="80"/>
      <c r="M6" s="81"/>
      <c r="N6" s="82"/>
      <c r="O6" s="83"/>
      <c r="P6" s="80"/>
      <c r="Q6" s="81"/>
      <c r="R6" s="82"/>
      <c r="S6" s="83"/>
      <c r="T6" s="80"/>
      <c r="U6" s="81"/>
      <c r="V6" s="82"/>
      <c r="W6" s="83"/>
      <c r="X6" s="80"/>
      <c r="Y6" s="81"/>
      <c r="Z6" s="82"/>
      <c r="AA6" s="83"/>
      <c r="AB6" s="80"/>
      <c r="AC6" s="81"/>
      <c r="AD6" s="82"/>
      <c r="AE6" s="83"/>
      <c r="AF6" s="80"/>
      <c r="AG6" s="81"/>
      <c r="AH6" s="82"/>
      <c r="AI6" s="83"/>
      <c r="AJ6" s="80"/>
      <c r="AK6" s="81"/>
      <c r="AL6" s="82"/>
      <c r="AM6" s="83"/>
      <c r="AN6" s="288">
        <f t="shared" si="0"/>
        <v>0</v>
      </c>
      <c r="AO6" s="82">
        <f t="shared" si="1"/>
        <v>0</v>
      </c>
      <c r="AP6" s="256">
        <v>3400</v>
      </c>
    </row>
    <row r="7" spans="1:54" ht="15" hidden="1" thickBot="1" x14ac:dyDescent="0.35">
      <c r="B7" s="6">
        <v>3410</v>
      </c>
      <c r="C7" s="7" t="s">
        <v>6</v>
      </c>
      <c r="D7" s="80"/>
      <c r="E7" s="81"/>
      <c r="F7" s="82"/>
      <c r="G7" s="83"/>
      <c r="H7" s="80"/>
      <c r="I7" s="81"/>
      <c r="J7" s="82"/>
      <c r="K7" s="83"/>
      <c r="L7" s="80"/>
      <c r="M7" s="81"/>
      <c r="N7" s="82"/>
      <c r="O7" s="83"/>
      <c r="P7" s="80"/>
      <c r="Q7" s="81"/>
      <c r="R7" s="82"/>
      <c r="S7" s="83"/>
      <c r="T7" s="80"/>
      <c r="U7" s="81"/>
      <c r="V7" s="82"/>
      <c r="W7" s="83"/>
      <c r="X7" s="80"/>
      <c r="Y7" s="81"/>
      <c r="Z7" s="82"/>
      <c r="AA7" s="83"/>
      <c r="AB7" s="80"/>
      <c r="AC7" s="81"/>
      <c r="AD7" s="82"/>
      <c r="AE7" s="83"/>
      <c r="AF7" s="80"/>
      <c r="AG7" s="81"/>
      <c r="AH7" s="82"/>
      <c r="AI7" s="83"/>
      <c r="AJ7" s="80"/>
      <c r="AK7" s="81"/>
      <c r="AL7" s="82"/>
      <c r="AM7" s="83"/>
      <c r="AN7" s="288">
        <f t="shared" si="0"/>
        <v>0</v>
      </c>
      <c r="AO7" s="82">
        <f t="shared" si="1"/>
        <v>0</v>
      </c>
      <c r="AP7" s="256">
        <v>3410</v>
      </c>
    </row>
    <row r="8" spans="1:54" ht="15" hidden="1" thickBot="1" x14ac:dyDescent="0.35">
      <c r="B8" s="6">
        <v>3900</v>
      </c>
      <c r="C8" s="7" t="s">
        <v>7</v>
      </c>
      <c r="D8" s="80"/>
      <c r="E8" s="81"/>
      <c r="F8" s="82"/>
      <c r="G8" s="83"/>
      <c r="H8" s="80"/>
      <c r="I8" s="81"/>
      <c r="J8" s="82"/>
      <c r="K8" s="83"/>
      <c r="L8" s="80"/>
      <c r="M8" s="81"/>
      <c r="N8" s="82"/>
      <c r="O8" s="83"/>
      <c r="P8" s="80"/>
      <c r="Q8" s="81"/>
      <c r="R8" s="82"/>
      <c r="S8" s="83"/>
      <c r="T8" s="80"/>
      <c r="U8" s="81"/>
      <c r="V8" s="82"/>
      <c r="W8" s="83"/>
      <c r="X8" s="80"/>
      <c r="Y8" s="81"/>
      <c r="Z8" s="82"/>
      <c r="AA8" s="83"/>
      <c r="AB8" s="80"/>
      <c r="AC8" s="81"/>
      <c r="AD8" s="82"/>
      <c r="AE8" s="83"/>
      <c r="AF8" s="80"/>
      <c r="AG8" s="81"/>
      <c r="AH8" s="82"/>
      <c r="AI8" s="83"/>
      <c r="AJ8" s="80"/>
      <c r="AK8" s="81"/>
      <c r="AL8" s="82"/>
      <c r="AM8" s="83"/>
      <c r="AN8" s="288">
        <f t="shared" si="0"/>
        <v>0</v>
      </c>
      <c r="AO8" s="82">
        <f t="shared" si="1"/>
        <v>0</v>
      </c>
      <c r="AP8" s="256">
        <v>3900</v>
      </c>
    </row>
    <row r="9" spans="1:54" ht="15" hidden="1" thickBot="1" x14ac:dyDescent="0.35">
      <c r="B9" s="6">
        <v>3910</v>
      </c>
      <c r="C9" s="7" t="s">
        <v>8</v>
      </c>
      <c r="D9" s="80"/>
      <c r="E9" s="81"/>
      <c r="F9" s="82"/>
      <c r="G9" s="83"/>
      <c r="H9" s="80"/>
      <c r="I9" s="81"/>
      <c r="J9" s="82"/>
      <c r="K9" s="83"/>
      <c r="L9" s="80"/>
      <c r="M9" s="81"/>
      <c r="N9" s="82"/>
      <c r="O9" s="83"/>
      <c r="P9" s="80"/>
      <c r="Q9" s="81"/>
      <c r="R9" s="82"/>
      <c r="S9" s="83"/>
      <c r="T9" s="80"/>
      <c r="U9" s="81"/>
      <c r="V9" s="82"/>
      <c r="W9" s="83"/>
      <c r="X9" s="80"/>
      <c r="Y9" s="81"/>
      <c r="Z9" s="82"/>
      <c r="AA9" s="83"/>
      <c r="AB9" s="80"/>
      <c r="AC9" s="81"/>
      <c r="AD9" s="82"/>
      <c r="AE9" s="83"/>
      <c r="AF9" s="80"/>
      <c r="AG9" s="81"/>
      <c r="AH9" s="82"/>
      <c r="AI9" s="83"/>
      <c r="AJ9" s="80"/>
      <c r="AK9" s="81"/>
      <c r="AL9" s="82"/>
      <c r="AM9" s="83"/>
      <c r="AN9" s="288">
        <f t="shared" si="0"/>
        <v>0</v>
      </c>
      <c r="AO9" s="82">
        <f t="shared" si="1"/>
        <v>0</v>
      </c>
      <c r="AP9" s="256">
        <v>3910</v>
      </c>
    </row>
    <row r="10" spans="1:54" ht="15" hidden="1" thickBot="1" x14ac:dyDescent="0.35">
      <c r="B10" s="8">
        <v>3950</v>
      </c>
      <c r="C10" s="9" t="s">
        <v>9</v>
      </c>
      <c r="D10" s="84"/>
      <c r="E10" s="85"/>
      <c r="F10" s="86"/>
      <c r="G10" s="83"/>
      <c r="H10" s="84"/>
      <c r="I10" s="85"/>
      <c r="J10" s="86"/>
      <c r="K10" s="83"/>
      <c r="L10" s="84"/>
      <c r="M10" s="85"/>
      <c r="N10" s="86"/>
      <c r="O10" s="83"/>
      <c r="P10" s="84"/>
      <c r="Q10" s="85"/>
      <c r="R10" s="86"/>
      <c r="S10" s="83"/>
      <c r="T10" s="84"/>
      <c r="U10" s="85"/>
      <c r="V10" s="86"/>
      <c r="W10" s="83"/>
      <c r="X10" s="84"/>
      <c r="Y10" s="85"/>
      <c r="Z10" s="86"/>
      <c r="AA10" s="83"/>
      <c r="AB10" s="84"/>
      <c r="AC10" s="85"/>
      <c r="AD10" s="86"/>
      <c r="AE10" s="83"/>
      <c r="AF10" s="84"/>
      <c r="AG10" s="85"/>
      <c r="AH10" s="86"/>
      <c r="AI10" s="83"/>
      <c r="AJ10" s="84"/>
      <c r="AK10" s="85"/>
      <c r="AL10" s="86"/>
      <c r="AM10" s="83"/>
      <c r="AN10" s="288">
        <f t="shared" si="0"/>
        <v>0</v>
      </c>
      <c r="AO10" s="82">
        <f t="shared" si="1"/>
        <v>0</v>
      </c>
      <c r="AP10" s="258">
        <v>3950</v>
      </c>
    </row>
    <row r="11" spans="1:54" ht="15" thickBot="1" x14ac:dyDescent="0.35">
      <c r="B11" s="24"/>
      <c r="C11" s="25" t="s">
        <v>73</v>
      </c>
      <c r="D11" s="87">
        <f>SUM(D4:D10)</f>
        <v>0</v>
      </c>
      <c r="E11" s="87"/>
      <c r="F11" s="87">
        <f>SUM(F4)</f>
        <v>0</v>
      </c>
      <c r="G11" s="83"/>
      <c r="H11" s="87">
        <f t="shared" ref="H11:J11" si="2">SUM(H4:H10)</f>
        <v>0</v>
      </c>
      <c r="I11" s="87"/>
      <c r="J11" s="87">
        <f t="shared" si="2"/>
        <v>0</v>
      </c>
      <c r="K11" s="83"/>
      <c r="L11" s="87">
        <f t="shared" ref="L11:N11" si="3">SUM(L4:L10)</f>
        <v>0</v>
      </c>
      <c r="M11" s="87"/>
      <c r="N11" s="87">
        <f t="shared" si="3"/>
        <v>0</v>
      </c>
      <c r="O11" s="83"/>
      <c r="P11" s="87">
        <f t="shared" ref="P11:R11" si="4">SUM(P4:P10)</f>
        <v>0</v>
      </c>
      <c r="Q11" s="87"/>
      <c r="R11" s="87">
        <f t="shared" si="4"/>
        <v>0</v>
      </c>
      <c r="S11" s="83"/>
      <c r="T11" s="87">
        <f t="shared" ref="T11:V11" si="5">SUM(T4:T10)</f>
        <v>0</v>
      </c>
      <c r="U11" s="87"/>
      <c r="V11" s="87">
        <f t="shared" si="5"/>
        <v>0</v>
      </c>
      <c r="W11" s="83"/>
      <c r="X11" s="87">
        <f t="shared" ref="X11" si="6">SUM(X4:X10)</f>
        <v>0</v>
      </c>
      <c r="Y11" s="88"/>
      <c r="Z11" s="89"/>
      <c r="AA11" s="83"/>
      <c r="AB11" s="87">
        <f t="shared" ref="AB11" si="7">SUM(AB4:AB10)</f>
        <v>0</v>
      </c>
      <c r="AC11" s="88"/>
      <c r="AD11" s="89">
        <f>SUM(AD4)</f>
        <v>0</v>
      </c>
      <c r="AE11" s="83"/>
      <c r="AF11" s="87">
        <f t="shared" ref="AF11" si="8">SUM(AF4:AF10)</f>
        <v>0</v>
      </c>
      <c r="AG11" s="88"/>
      <c r="AH11" s="89">
        <f>SUM(AH4)</f>
        <v>0</v>
      </c>
      <c r="AI11" s="83"/>
      <c r="AJ11" s="87">
        <f t="shared" ref="AJ11" si="9">SUM(AJ4:AJ10)</f>
        <v>0</v>
      </c>
      <c r="AK11" s="88"/>
      <c r="AL11" s="89">
        <f>SUM(AL4)</f>
        <v>0</v>
      </c>
      <c r="AM11" s="83"/>
      <c r="AN11" s="95">
        <f t="shared" si="0"/>
        <v>0</v>
      </c>
      <c r="AO11" s="89">
        <f t="shared" si="1"/>
        <v>0</v>
      </c>
      <c r="AP11" s="257"/>
    </row>
    <row r="12" spans="1:54" ht="15" thickBot="1" x14ac:dyDescent="0.35">
      <c r="A12" s="21" t="s">
        <v>46</v>
      </c>
      <c r="B12" s="20">
        <v>5000</v>
      </c>
      <c r="C12" s="23" t="s">
        <v>10</v>
      </c>
      <c r="D12" s="90"/>
      <c r="E12" s="81"/>
      <c r="F12" s="82"/>
      <c r="G12" s="83"/>
      <c r="H12" s="90"/>
      <c r="I12" s="81"/>
      <c r="J12" s="82"/>
      <c r="K12" s="83"/>
      <c r="L12" s="90"/>
      <c r="M12" s="81"/>
      <c r="N12" s="82"/>
      <c r="O12" s="83"/>
      <c r="P12" s="90"/>
      <c r="Q12" s="81"/>
      <c r="R12" s="82"/>
      <c r="S12" s="83"/>
      <c r="T12" s="90"/>
      <c r="U12" s="81"/>
      <c r="V12" s="82"/>
      <c r="W12" s="83"/>
      <c r="X12" s="90"/>
      <c r="Y12" s="81"/>
      <c r="Z12" s="82"/>
      <c r="AA12" s="83"/>
      <c r="AB12" s="90"/>
      <c r="AC12" s="81"/>
      <c r="AD12" s="82"/>
      <c r="AE12" s="83"/>
      <c r="AF12" s="90"/>
      <c r="AG12" s="81"/>
      <c r="AH12" s="82"/>
      <c r="AI12" s="83"/>
      <c r="AJ12" s="90"/>
      <c r="AK12" s="81"/>
      <c r="AL12" s="82"/>
      <c r="AM12" s="83"/>
      <c r="AN12" s="288">
        <f>SUM(AL12+AH12+AD12+Z12+V12+R12+N12+J12+F12)</f>
        <v>0</v>
      </c>
      <c r="AO12" s="82">
        <f t="shared" si="1"/>
        <v>0</v>
      </c>
      <c r="AP12" s="50">
        <v>5000</v>
      </c>
    </row>
    <row r="13" spans="1:54" hidden="1" x14ac:dyDescent="0.3">
      <c r="B13" s="6">
        <v>5001</v>
      </c>
      <c r="C13" s="11" t="s">
        <v>11</v>
      </c>
      <c r="D13" s="90"/>
      <c r="E13" s="81"/>
      <c r="F13" s="82"/>
      <c r="G13" s="83"/>
      <c r="H13" s="90"/>
      <c r="I13" s="81"/>
      <c r="J13" s="82"/>
      <c r="K13" s="83"/>
      <c r="L13" s="90"/>
      <c r="M13" s="81"/>
      <c r="N13" s="82"/>
      <c r="O13" s="83"/>
      <c r="P13" s="90"/>
      <c r="Q13" s="81"/>
      <c r="R13" s="82"/>
      <c r="S13" s="83"/>
      <c r="T13" s="90"/>
      <c r="U13" s="81"/>
      <c r="V13" s="82"/>
      <c r="W13" s="83"/>
      <c r="X13" s="90"/>
      <c r="Y13" s="81"/>
      <c r="Z13" s="82"/>
      <c r="AA13" s="83"/>
      <c r="AB13" s="90"/>
      <c r="AC13" s="81"/>
      <c r="AD13" s="82"/>
      <c r="AE13" s="83"/>
      <c r="AF13" s="90"/>
      <c r="AG13" s="81"/>
      <c r="AH13" s="82"/>
      <c r="AI13" s="83"/>
      <c r="AJ13" s="90"/>
      <c r="AK13" s="81"/>
      <c r="AL13" s="82"/>
      <c r="AM13" s="83"/>
      <c r="AN13" s="288">
        <f t="shared" si="0"/>
        <v>0</v>
      </c>
      <c r="AO13" s="82">
        <f t="shared" si="1"/>
        <v>0</v>
      </c>
      <c r="AP13" s="256">
        <v>5001</v>
      </c>
    </row>
    <row r="14" spans="1:54" hidden="1" x14ac:dyDescent="0.3">
      <c r="B14" s="6">
        <v>5004</v>
      </c>
      <c r="C14" s="11" t="s">
        <v>12</v>
      </c>
      <c r="D14" s="90"/>
      <c r="E14" s="81"/>
      <c r="F14" s="82"/>
      <c r="G14" s="83"/>
      <c r="H14" s="90"/>
      <c r="I14" s="81"/>
      <c r="J14" s="82"/>
      <c r="K14" s="83"/>
      <c r="L14" s="90"/>
      <c r="M14" s="81"/>
      <c r="N14" s="82"/>
      <c r="O14" s="83"/>
      <c r="P14" s="90"/>
      <c r="Q14" s="81"/>
      <c r="R14" s="82"/>
      <c r="S14" s="83"/>
      <c r="T14" s="90"/>
      <c r="U14" s="81"/>
      <c r="V14" s="82"/>
      <c r="W14" s="83"/>
      <c r="X14" s="90"/>
      <c r="Y14" s="81"/>
      <c r="Z14" s="82"/>
      <c r="AA14" s="83"/>
      <c r="AB14" s="90"/>
      <c r="AC14" s="81"/>
      <c r="AD14" s="82"/>
      <c r="AE14" s="83"/>
      <c r="AF14" s="90"/>
      <c r="AG14" s="81"/>
      <c r="AH14" s="82"/>
      <c r="AI14" s="83"/>
      <c r="AJ14" s="90"/>
      <c r="AK14" s="81"/>
      <c r="AL14" s="82"/>
      <c r="AM14" s="83"/>
      <c r="AN14" s="288">
        <f t="shared" si="0"/>
        <v>0</v>
      </c>
      <c r="AO14" s="82">
        <f t="shared" si="1"/>
        <v>0</v>
      </c>
      <c r="AP14" s="256">
        <v>5004</v>
      </c>
    </row>
    <row r="15" spans="1:54" hidden="1" x14ac:dyDescent="0.3">
      <c r="A15" s="10"/>
      <c r="B15" s="6">
        <v>5180</v>
      </c>
      <c r="C15" s="11" t="s">
        <v>13</v>
      </c>
      <c r="D15" s="91">
        <f>SUM(D12*0.12)</f>
        <v>0</v>
      </c>
      <c r="E15" s="81"/>
      <c r="F15" s="82"/>
      <c r="G15" s="83"/>
      <c r="H15" s="91">
        <f>SUM(H12*0.12)</f>
        <v>0</v>
      </c>
      <c r="I15" s="81"/>
      <c r="J15" s="82"/>
      <c r="K15" s="83"/>
      <c r="L15" s="91">
        <f>SUM(L12*0.12)</f>
        <v>0</v>
      </c>
      <c r="M15" s="81"/>
      <c r="N15" s="82"/>
      <c r="O15" s="83"/>
      <c r="P15" s="91">
        <f>SUM(P12*0.12)</f>
        <v>0</v>
      </c>
      <c r="Q15" s="81"/>
      <c r="R15" s="82"/>
      <c r="S15" s="83"/>
      <c r="T15" s="91">
        <f>SUM(T12*0.12)</f>
        <v>0</v>
      </c>
      <c r="U15" s="81"/>
      <c r="V15" s="82"/>
      <c r="W15" s="83"/>
      <c r="X15" s="91">
        <f>SUM(X12*0.12)</f>
        <v>0</v>
      </c>
      <c r="Y15" s="81"/>
      <c r="Z15" s="82"/>
      <c r="AA15" s="83"/>
      <c r="AB15" s="91">
        <f>SUM(AB12*0.12)</f>
        <v>0</v>
      </c>
      <c r="AC15" s="81"/>
      <c r="AD15" s="82"/>
      <c r="AE15" s="83"/>
      <c r="AF15" s="91">
        <f>SUM(AF12*0.12)</f>
        <v>0</v>
      </c>
      <c r="AG15" s="81"/>
      <c r="AH15" s="82"/>
      <c r="AI15" s="83"/>
      <c r="AJ15" s="91">
        <f>SUM(AJ12*0.12)</f>
        <v>0</v>
      </c>
      <c r="AK15" s="81"/>
      <c r="AL15" s="82"/>
      <c r="AM15" s="83"/>
      <c r="AN15" s="288">
        <f t="shared" si="0"/>
        <v>0</v>
      </c>
      <c r="AO15" s="82">
        <f t="shared" si="1"/>
        <v>0</v>
      </c>
      <c r="AP15" s="256">
        <v>5180</v>
      </c>
    </row>
    <row r="16" spans="1:54" hidden="1" x14ac:dyDescent="0.3">
      <c r="A16" s="10"/>
      <c r="B16" s="6">
        <v>5182</v>
      </c>
      <c r="C16" s="11" t="s">
        <v>14</v>
      </c>
      <c r="D16" s="91">
        <f>SUM(D15*0.141)</f>
        <v>0</v>
      </c>
      <c r="E16" s="81"/>
      <c r="F16" s="82"/>
      <c r="G16" s="83"/>
      <c r="H16" s="91">
        <f>SUM(H15*0.141)</f>
        <v>0</v>
      </c>
      <c r="I16" s="81"/>
      <c r="J16" s="82"/>
      <c r="K16" s="83"/>
      <c r="L16" s="91">
        <f>SUM(L15*0.141)</f>
        <v>0</v>
      </c>
      <c r="M16" s="81"/>
      <c r="N16" s="82"/>
      <c r="O16" s="83"/>
      <c r="P16" s="91">
        <f>SUM(P15*0.141)</f>
        <v>0</v>
      </c>
      <c r="Q16" s="81"/>
      <c r="R16" s="82"/>
      <c r="S16" s="83"/>
      <c r="T16" s="91">
        <f>SUM(T15*0.141)</f>
        <v>0</v>
      </c>
      <c r="U16" s="81"/>
      <c r="V16" s="82"/>
      <c r="W16" s="83"/>
      <c r="X16" s="91">
        <f>SUM(X15*0.141)</f>
        <v>0</v>
      </c>
      <c r="Y16" s="81"/>
      <c r="Z16" s="82"/>
      <c r="AA16" s="83"/>
      <c r="AB16" s="91">
        <f>SUM(AB15*0.141)</f>
        <v>0</v>
      </c>
      <c r="AC16" s="81"/>
      <c r="AD16" s="82"/>
      <c r="AE16" s="83"/>
      <c r="AF16" s="91">
        <f>SUM(AF15*0.141)</f>
        <v>0</v>
      </c>
      <c r="AG16" s="81"/>
      <c r="AH16" s="82"/>
      <c r="AI16" s="83"/>
      <c r="AJ16" s="91">
        <f>SUM(AJ15*0.141)</f>
        <v>0</v>
      </c>
      <c r="AK16" s="81"/>
      <c r="AL16" s="82"/>
      <c r="AM16" s="83"/>
      <c r="AN16" s="288">
        <f t="shared" si="0"/>
        <v>0</v>
      </c>
      <c r="AO16" s="82">
        <f t="shared" si="1"/>
        <v>0</v>
      </c>
      <c r="AP16" s="256">
        <v>5182</v>
      </c>
    </row>
    <row r="17" spans="1:42" hidden="1" x14ac:dyDescent="0.3">
      <c r="A17" s="10"/>
      <c r="B17" s="6">
        <v>5211</v>
      </c>
      <c r="C17" s="11" t="s">
        <v>15</v>
      </c>
      <c r="D17" s="80"/>
      <c r="E17" s="81"/>
      <c r="F17" s="82"/>
      <c r="G17" s="83"/>
      <c r="H17" s="80"/>
      <c r="I17" s="81"/>
      <c r="J17" s="82"/>
      <c r="K17" s="83"/>
      <c r="L17" s="80"/>
      <c r="M17" s="81"/>
      <c r="N17" s="82"/>
      <c r="O17" s="83"/>
      <c r="P17" s="80"/>
      <c r="Q17" s="81"/>
      <c r="R17" s="82"/>
      <c r="S17" s="83"/>
      <c r="T17" s="80"/>
      <c r="U17" s="81"/>
      <c r="V17" s="82"/>
      <c r="W17" s="83"/>
      <c r="X17" s="80"/>
      <c r="Y17" s="81"/>
      <c r="Z17" s="82"/>
      <c r="AA17" s="83"/>
      <c r="AB17" s="80"/>
      <c r="AC17" s="81"/>
      <c r="AD17" s="82"/>
      <c r="AE17" s="83"/>
      <c r="AF17" s="80"/>
      <c r="AG17" s="81"/>
      <c r="AH17" s="82"/>
      <c r="AI17" s="83"/>
      <c r="AJ17" s="80"/>
      <c r="AK17" s="81"/>
      <c r="AL17" s="82"/>
      <c r="AM17" s="83"/>
      <c r="AN17" s="288">
        <f t="shared" si="0"/>
        <v>0</v>
      </c>
      <c r="AO17" s="82">
        <f t="shared" si="1"/>
        <v>0</v>
      </c>
      <c r="AP17" s="256">
        <v>5211</v>
      </c>
    </row>
    <row r="18" spans="1:42" hidden="1" x14ac:dyDescent="0.3">
      <c r="A18" s="10"/>
      <c r="B18" s="6">
        <v>5230</v>
      </c>
      <c r="C18" s="11" t="s">
        <v>16</v>
      </c>
      <c r="D18" s="80"/>
      <c r="E18" s="81"/>
      <c r="F18" s="82"/>
      <c r="G18" s="83"/>
      <c r="H18" s="80"/>
      <c r="I18" s="81"/>
      <c r="J18" s="82"/>
      <c r="K18" s="83"/>
      <c r="L18" s="80"/>
      <c r="M18" s="81"/>
      <c r="N18" s="82"/>
      <c r="O18" s="83"/>
      <c r="P18" s="80"/>
      <c r="Q18" s="81"/>
      <c r="R18" s="82"/>
      <c r="S18" s="83"/>
      <c r="T18" s="80"/>
      <c r="U18" s="81"/>
      <c r="V18" s="82"/>
      <c r="W18" s="83"/>
      <c r="X18" s="80"/>
      <c r="Y18" s="81"/>
      <c r="Z18" s="82"/>
      <c r="AA18" s="83"/>
      <c r="AB18" s="80"/>
      <c r="AC18" s="81"/>
      <c r="AD18" s="82"/>
      <c r="AE18" s="83"/>
      <c r="AF18" s="80"/>
      <c r="AG18" s="81"/>
      <c r="AH18" s="82"/>
      <c r="AI18" s="83"/>
      <c r="AJ18" s="80"/>
      <c r="AK18" s="81"/>
      <c r="AL18" s="82"/>
      <c r="AM18" s="83"/>
      <c r="AN18" s="288">
        <f t="shared" si="0"/>
        <v>0</v>
      </c>
      <c r="AO18" s="82">
        <f t="shared" si="1"/>
        <v>0</v>
      </c>
      <c r="AP18" s="256">
        <v>5230</v>
      </c>
    </row>
    <row r="19" spans="1:42" hidden="1" x14ac:dyDescent="0.3">
      <c r="A19" s="10"/>
      <c r="B19" s="6">
        <v>5400</v>
      </c>
      <c r="C19" s="11" t="s">
        <v>48</v>
      </c>
      <c r="D19" s="91">
        <f>SUM((D12+D13+D14+D17+D18)*0.141)</f>
        <v>0</v>
      </c>
      <c r="E19" s="81"/>
      <c r="F19" s="82"/>
      <c r="G19" s="83"/>
      <c r="H19" s="91">
        <f>SUM((H12+H13+H14+H17+H18)*0.141)</f>
        <v>0</v>
      </c>
      <c r="I19" s="81"/>
      <c r="J19" s="82"/>
      <c r="K19" s="83"/>
      <c r="L19" s="91">
        <f>SUM((L12+L13+L14+L17+L18)*0.141)</f>
        <v>0</v>
      </c>
      <c r="M19" s="81"/>
      <c r="N19" s="82"/>
      <c r="O19" s="83"/>
      <c r="P19" s="91">
        <f>SUM((P12+P13+P14+P17+P18)*0.141)</f>
        <v>0</v>
      </c>
      <c r="Q19" s="81"/>
      <c r="R19" s="82"/>
      <c r="S19" s="83"/>
      <c r="T19" s="91">
        <f>SUM((T12+T13+T14+T17+T18)*0.141)</f>
        <v>0</v>
      </c>
      <c r="U19" s="81"/>
      <c r="V19" s="82"/>
      <c r="W19" s="83"/>
      <c r="X19" s="91">
        <f>SUM((X12+X13+X14+X17+X18)*0.141)</f>
        <v>0</v>
      </c>
      <c r="Y19" s="81"/>
      <c r="Z19" s="82"/>
      <c r="AA19" s="83"/>
      <c r="AB19" s="91">
        <f>SUM((AB12+AB13+AB14+AB17+AB18)*0.141)</f>
        <v>0</v>
      </c>
      <c r="AC19" s="81"/>
      <c r="AD19" s="82"/>
      <c r="AE19" s="83"/>
      <c r="AF19" s="91">
        <f>SUM((AF12+AF13+AF14+AF17+AF18)*0.141)</f>
        <v>0</v>
      </c>
      <c r="AG19" s="81"/>
      <c r="AH19" s="82"/>
      <c r="AI19" s="83"/>
      <c r="AJ19" s="91">
        <f>SUM((AJ12+AJ13+AJ14+AJ17+AJ18)*0.141)</f>
        <v>0</v>
      </c>
      <c r="AK19" s="81"/>
      <c r="AL19" s="82"/>
      <c r="AM19" s="83"/>
      <c r="AN19" s="288">
        <f t="shared" si="0"/>
        <v>0</v>
      </c>
      <c r="AO19" s="82">
        <f t="shared" si="1"/>
        <v>0</v>
      </c>
      <c r="AP19" s="256">
        <v>5400</v>
      </c>
    </row>
    <row r="20" spans="1:42" hidden="1" x14ac:dyDescent="0.3">
      <c r="B20" s="6">
        <v>5990</v>
      </c>
      <c r="C20" s="11" t="s">
        <v>17</v>
      </c>
      <c r="D20" s="80"/>
      <c r="E20" s="81"/>
      <c r="F20" s="82"/>
      <c r="G20" s="83"/>
      <c r="H20" s="80"/>
      <c r="I20" s="81"/>
      <c r="J20" s="82"/>
      <c r="K20" s="83"/>
      <c r="L20" s="80"/>
      <c r="M20" s="81"/>
      <c r="N20" s="82"/>
      <c r="O20" s="83"/>
      <c r="P20" s="80"/>
      <c r="Q20" s="81"/>
      <c r="R20" s="82"/>
      <c r="S20" s="83"/>
      <c r="T20" s="80"/>
      <c r="U20" s="81"/>
      <c r="V20" s="82"/>
      <c r="W20" s="83"/>
      <c r="X20" s="80"/>
      <c r="Y20" s="81"/>
      <c r="Z20" s="82"/>
      <c r="AA20" s="83"/>
      <c r="AB20" s="80"/>
      <c r="AC20" s="81"/>
      <c r="AD20" s="82"/>
      <c r="AE20" s="83"/>
      <c r="AF20" s="80"/>
      <c r="AG20" s="81"/>
      <c r="AH20" s="82"/>
      <c r="AI20" s="83"/>
      <c r="AJ20" s="80"/>
      <c r="AK20" s="81"/>
      <c r="AL20" s="82"/>
      <c r="AM20" s="83"/>
      <c r="AN20" s="288">
        <f t="shared" si="0"/>
        <v>0</v>
      </c>
      <c r="AO20" s="82">
        <f t="shared" si="1"/>
        <v>0</v>
      </c>
      <c r="AP20" s="256">
        <v>5990</v>
      </c>
    </row>
    <row r="21" spans="1:42" hidden="1" x14ac:dyDescent="0.3">
      <c r="B21" s="6">
        <v>6110</v>
      </c>
      <c r="C21" s="11" t="s">
        <v>50</v>
      </c>
      <c r="D21" s="80"/>
      <c r="E21" s="81"/>
      <c r="F21" s="82"/>
      <c r="G21" s="83"/>
      <c r="H21" s="80"/>
      <c r="I21" s="81"/>
      <c r="J21" s="82"/>
      <c r="K21" s="83"/>
      <c r="L21" s="80"/>
      <c r="M21" s="81"/>
      <c r="N21" s="82"/>
      <c r="O21" s="83"/>
      <c r="P21" s="80"/>
      <c r="Q21" s="81"/>
      <c r="R21" s="82"/>
      <c r="S21" s="83"/>
      <c r="T21" s="80"/>
      <c r="U21" s="81"/>
      <c r="V21" s="82"/>
      <c r="W21" s="83"/>
      <c r="X21" s="80"/>
      <c r="Y21" s="81"/>
      <c r="Z21" s="82"/>
      <c r="AA21" s="83"/>
      <c r="AB21" s="80"/>
      <c r="AC21" s="81"/>
      <c r="AD21" s="82"/>
      <c r="AE21" s="83"/>
      <c r="AF21" s="80"/>
      <c r="AG21" s="81"/>
      <c r="AH21" s="82"/>
      <c r="AI21" s="83"/>
      <c r="AJ21" s="80"/>
      <c r="AK21" s="81"/>
      <c r="AL21" s="82"/>
      <c r="AM21" s="83"/>
      <c r="AN21" s="288">
        <f t="shared" si="0"/>
        <v>0</v>
      </c>
      <c r="AO21" s="82">
        <f t="shared" si="1"/>
        <v>0</v>
      </c>
      <c r="AP21" s="256">
        <v>6110</v>
      </c>
    </row>
    <row r="22" spans="1:42" hidden="1" x14ac:dyDescent="0.3">
      <c r="B22" s="6">
        <v>6300</v>
      </c>
      <c r="C22" s="11" t="s">
        <v>18</v>
      </c>
      <c r="D22" s="80"/>
      <c r="E22" s="81"/>
      <c r="F22" s="82"/>
      <c r="G22" s="83"/>
      <c r="H22" s="80"/>
      <c r="I22" s="81"/>
      <c r="J22" s="82"/>
      <c r="K22" s="83"/>
      <c r="L22" s="80"/>
      <c r="M22" s="81"/>
      <c r="N22" s="82"/>
      <c r="O22" s="83"/>
      <c r="P22" s="80"/>
      <c r="Q22" s="81"/>
      <c r="R22" s="82"/>
      <c r="S22" s="83"/>
      <c r="T22" s="80"/>
      <c r="U22" s="81"/>
      <c r="V22" s="82"/>
      <c r="W22" s="83"/>
      <c r="X22" s="80"/>
      <c r="Y22" s="81"/>
      <c r="Z22" s="82"/>
      <c r="AA22" s="83"/>
      <c r="AB22" s="80"/>
      <c r="AC22" s="81"/>
      <c r="AD22" s="82"/>
      <c r="AE22" s="83"/>
      <c r="AF22" s="80"/>
      <c r="AG22" s="81"/>
      <c r="AH22" s="82"/>
      <c r="AI22" s="83"/>
      <c r="AJ22" s="80"/>
      <c r="AK22" s="81"/>
      <c r="AL22" s="82"/>
      <c r="AM22" s="83"/>
      <c r="AN22" s="288">
        <f t="shared" si="0"/>
        <v>0</v>
      </c>
      <c r="AO22" s="82">
        <f t="shared" si="1"/>
        <v>0</v>
      </c>
      <c r="AP22" s="256">
        <v>6300</v>
      </c>
    </row>
    <row r="23" spans="1:42" hidden="1" x14ac:dyDescent="0.3">
      <c r="B23" s="6">
        <v>6440</v>
      </c>
      <c r="C23" s="11" t="s">
        <v>19</v>
      </c>
      <c r="D23" s="80"/>
      <c r="E23" s="81"/>
      <c r="F23" s="82"/>
      <c r="G23" s="83"/>
      <c r="H23" s="80"/>
      <c r="I23" s="81"/>
      <c r="J23" s="82"/>
      <c r="K23" s="83"/>
      <c r="L23" s="80"/>
      <c r="M23" s="81"/>
      <c r="N23" s="82"/>
      <c r="O23" s="83"/>
      <c r="P23" s="80"/>
      <c r="Q23" s="81"/>
      <c r="R23" s="82"/>
      <c r="S23" s="83"/>
      <c r="T23" s="80"/>
      <c r="U23" s="81"/>
      <c r="V23" s="82"/>
      <c r="W23" s="83"/>
      <c r="X23" s="80"/>
      <c r="Y23" s="81"/>
      <c r="Z23" s="82"/>
      <c r="AA23" s="83"/>
      <c r="AB23" s="80"/>
      <c r="AC23" s="81"/>
      <c r="AD23" s="82"/>
      <c r="AE23" s="83"/>
      <c r="AF23" s="80"/>
      <c r="AG23" s="81"/>
      <c r="AH23" s="82"/>
      <c r="AI23" s="83"/>
      <c r="AJ23" s="80"/>
      <c r="AK23" s="81"/>
      <c r="AL23" s="82"/>
      <c r="AM23" s="83"/>
      <c r="AN23" s="288">
        <f t="shared" si="0"/>
        <v>0</v>
      </c>
      <c r="AO23" s="82">
        <f t="shared" si="1"/>
        <v>0</v>
      </c>
      <c r="AP23" s="256">
        <v>6440</v>
      </c>
    </row>
    <row r="24" spans="1:42" hidden="1" x14ac:dyDescent="0.3">
      <c r="B24" s="6">
        <v>6550</v>
      </c>
      <c r="C24" s="11" t="s">
        <v>20</v>
      </c>
      <c r="D24" s="80"/>
      <c r="E24" s="81"/>
      <c r="F24" s="82"/>
      <c r="G24" s="83"/>
      <c r="H24" s="80"/>
      <c r="I24" s="81"/>
      <c r="J24" s="82"/>
      <c r="K24" s="83"/>
      <c r="L24" s="80"/>
      <c r="M24" s="81"/>
      <c r="N24" s="82"/>
      <c r="O24" s="83"/>
      <c r="P24" s="80"/>
      <c r="Q24" s="81"/>
      <c r="R24" s="82"/>
      <c r="S24" s="83"/>
      <c r="T24" s="80"/>
      <c r="U24" s="81"/>
      <c r="V24" s="82"/>
      <c r="W24" s="83"/>
      <c r="X24" s="80"/>
      <c r="Y24" s="81"/>
      <c r="Z24" s="82"/>
      <c r="AA24" s="83"/>
      <c r="AB24" s="80"/>
      <c r="AC24" s="81"/>
      <c r="AD24" s="82"/>
      <c r="AE24" s="83"/>
      <c r="AF24" s="80"/>
      <c r="AG24" s="81"/>
      <c r="AH24" s="82"/>
      <c r="AI24" s="83"/>
      <c r="AJ24" s="80"/>
      <c r="AK24" s="81"/>
      <c r="AL24" s="82"/>
      <c r="AM24" s="83"/>
      <c r="AN24" s="288">
        <f t="shared" si="0"/>
        <v>0</v>
      </c>
      <c r="AO24" s="82">
        <f t="shared" si="1"/>
        <v>0</v>
      </c>
      <c r="AP24" s="256">
        <v>6550</v>
      </c>
    </row>
    <row r="25" spans="1:42" hidden="1" x14ac:dyDescent="0.3">
      <c r="B25" s="6">
        <v>6560</v>
      </c>
      <c r="C25" s="11" t="s">
        <v>21</v>
      </c>
      <c r="D25" s="80"/>
      <c r="E25" s="81"/>
      <c r="F25" s="82"/>
      <c r="G25" s="83"/>
      <c r="H25" s="80"/>
      <c r="I25" s="81"/>
      <c r="J25" s="82"/>
      <c r="K25" s="83"/>
      <c r="L25" s="80"/>
      <c r="M25" s="81"/>
      <c r="N25" s="82"/>
      <c r="O25" s="83"/>
      <c r="P25" s="80"/>
      <c r="Q25" s="81"/>
      <c r="R25" s="82"/>
      <c r="S25" s="83"/>
      <c r="T25" s="80"/>
      <c r="U25" s="81"/>
      <c r="V25" s="82"/>
      <c r="W25" s="83"/>
      <c r="X25" s="80"/>
      <c r="Y25" s="81"/>
      <c r="Z25" s="82"/>
      <c r="AA25" s="83"/>
      <c r="AB25" s="80"/>
      <c r="AC25" s="81"/>
      <c r="AD25" s="82"/>
      <c r="AE25" s="83"/>
      <c r="AF25" s="80"/>
      <c r="AG25" s="81"/>
      <c r="AH25" s="82"/>
      <c r="AI25" s="83"/>
      <c r="AJ25" s="80"/>
      <c r="AK25" s="81"/>
      <c r="AL25" s="82"/>
      <c r="AM25" s="83"/>
      <c r="AN25" s="288">
        <f t="shared" si="0"/>
        <v>0</v>
      </c>
      <c r="AO25" s="82">
        <f t="shared" si="1"/>
        <v>0</v>
      </c>
      <c r="AP25" s="256">
        <v>6560</v>
      </c>
    </row>
    <row r="26" spans="1:42" hidden="1" x14ac:dyDescent="0.3">
      <c r="B26" s="6">
        <v>6580</v>
      </c>
      <c r="C26" s="11" t="s">
        <v>2</v>
      </c>
      <c r="D26" s="80"/>
      <c r="E26" s="81"/>
      <c r="F26" s="82"/>
      <c r="G26" s="83"/>
      <c r="H26" s="80"/>
      <c r="I26" s="81"/>
      <c r="J26" s="82"/>
      <c r="K26" s="83"/>
      <c r="L26" s="80"/>
      <c r="M26" s="81"/>
      <c r="N26" s="82"/>
      <c r="O26" s="83"/>
      <c r="P26" s="80"/>
      <c r="Q26" s="81"/>
      <c r="R26" s="82"/>
      <c r="S26" s="83"/>
      <c r="T26" s="80"/>
      <c r="U26" s="81"/>
      <c r="V26" s="82"/>
      <c r="W26" s="83"/>
      <c r="X26" s="80"/>
      <c r="Y26" s="81"/>
      <c r="Z26" s="82"/>
      <c r="AA26" s="83"/>
      <c r="AB26" s="80"/>
      <c r="AC26" s="81"/>
      <c r="AD26" s="82"/>
      <c r="AE26" s="83"/>
      <c r="AF26" s="80"/>
      <c r="AG26" s="81"/>
      <c r="AH26" s="82"/>
      <c r="AI26" s="83"/>
      <c r="AJ26" s="80"/>
      <c r="AK26" s="81"/>
      <c r="AL26" s="82"/>
      <c r="AM26" s="83"/>
      <c r="AN26" s="288">
        <f t="shared" si="0"/>
        <v>0</v>
      </c>
      <c r="AO26" s="82">
        <f t="shared" si="1"/>
        <v>0</v>
      </c>
      <c r="AP26" s="256">
        <v>6580</v>
      </c>
    </row>
    <row r="27" spans="1:42" hidden="1" x14ac:dyDescent="0.3">
      <c r="B27" s="6">
        <v>6800</v>
      </c>
      <c r="C27" s="11" t="s">
        <v>22</v>
      </c>
      <c r="D27" s="80"/>
      <c r="E27" s="81"/>
      <c r="F27" s="82"/>
      <c r="G27" s="83"/>
      <c r="H27" s="80"/>
      <c r="I27" s="81"/>
      <c r="J27" s="82"/>
      <c r="K27" s="83"/>
      <c r="L27" s="80"/>
      <c r="M27" s="81"/>
      <c r="N27" s="82"/>
      <c r="O27" s="83"/>
      <c r="P27" s="80"/>
      <c r="Q27" s="81"/>
      <c r="R27" s="82"/>
      <c r="S27" s="83"/>
      <c r="T27" s="80"/>
      <c r="U27" s="81"/>
      <c r="V27" s="82"/>
      <c r="W27" s="83"/>
      <c r="X27" s="80"/>
      <c r="Y27" s="81"/>
      <c r="Z27" s="82"/>
      <c r="AA27" s="83"/>
      <c r="AB27" s="80"/>
      <c r="AC27" s="81"/>
      <c r="AD27" s="82"/>
      <c r="AE27" s="83"/>
      <c r="AF27" s="80"/>
      <c r="AG27" s="81"/>
      <c r="AH27" s="82"/>
      <c r="AI27" s="83"/>
      <c r="AJ27" s="80"/>
      <c r="AK27" s="81"/>
      <c r="AL27" s="82"/>
      <c r="AM27" s="83"/>
      <c r="AN27" s="288">
        <f t="shared" si="0"/>
        <v>0</v>
      </c>
      <c r="AO27" s="82">
        <f t="shared" si="1"/>
        <v>0</v>
      </c>
      <c r="AP27" s="256">
        <v>6800</v>
      </c>
    </row>
    <row r="28" spans="1:42" hidden="1" x14ac:dyDescent="0.3">
      <c r="B28" s="6">
        <v>6820</v>
      </c>
      <c r="C28" s="11" t="s">
        <v>23</v>
      </c>
      <c r="D28" s="80"/>
      <c r="E28" s="81"/>
      <c r="F28" s="82"/>
      <c r="G28" s="83"/>
      <c r="H28" s="80"/>
      <c r="I28" s="81"/>
      <c r="J28" s="82"/>
      <c r="K28" s="83"/>
      <c r="L28" s="80"/>
      <c r="M28" s="81"/>
      <c r="N28" s="82"/>
      <c r="O28" s="83"/>
      <c r="P28" s="80"/>
      <c r="Q28" s="81"/>
      <c r="R28" s="82"/>
      <c r="S28" s="83"/>
      <c r="T28" s="80"/>
      <c r="U28" s="81"/>
      <c r="V28" s="82"/>
      <c r="W28" s="83"/>
      <c r="X28" s="80"/>
      <c r="Y28" s="81"/>
      <c r="Z28" s="82"/>
      <c r="AA28" s="83"/>
      <c r="AB28" s="80"/>
      <c r="AC28" s="81"/>
      <c r="AD28" s="82"/>
      <c r="AE28" s="83"/>
      <c r="AF28" s="80"/>
      <c r="AG28" s="81"/>
      <c r="AH28" s="82"/>
      <c r="AI28" s="83"/>
      <c r="AJ28" s="80"/>
      <c r="AK28" s="81"/>
      <c r="AL28" s="82"/>
      <c r="AM28" s="83"/>
      <c r="AN28" s="288">
        <f t="shared" si="0"/>
        <v>0</v>
      </c>
      <c r="AO28" s="82">
        <f t="shared" si="1"/>
        <v>0</v>
      </c>
      <c r="AP28" s="256">
        <v>6820</v>
      </c>
    </row>
    <row r="29" spans="1:42" hidden="1" x14ac:dyDescent="0.3">
      <c r="B29" s="6">
        <v>6840</v>
      </c>
      <c r="C29" s="11" t="s">
        <v>24</v>
      </c>
      <c r="D29" s="80"/>
      <c r="E29" s="81"/>
      <c r="F29" s="82"/>
      <c r="G29" s="83"/>
      <c r="H29" s="80"/>
      <c r="I29" s="81"/>
      <c r="J29" s="82"/>
      <c r="K29" s="83"/>
      <c r="L29" s="80"/>
      <c r="M29" s="81"/>
      <c r="N29" s="82"/>
      <c r="O29" s="83"/>
      <c r="P29" s="80"/>
      <c r="Q29" s="81"/>
      <c r="R29" s="82"/>
      <c r="S29" s="83"/>
      <c r="T29" s="80"/>
      <c r="U29" s="81"/>
      <c r="V29" s="82"/>
      <c r="W29" s="83"/>
      <c r="X29" s="80"/>
      <c r="Y29" s="81"/>
      <c r="Z29" s="82"/>
      <c r="AA29" s="83"/>
      <c r="AB29" s="80"/>
      <c r="AC29" s="81"/>
      <c r="AD29" s="82"/>
      <c r="AE29" s="83"/>
      <c r="AF29" s="80"/>
      <c r="AG29" s="81"/>
      <c r="AH29" s="82"/>
      <c r="AI29" s="83"/>
      <c r="AJ29" s="80"/>
      <c r="AK29" s="81"/>
      <c r="AL29" s="82"/>
      <c r="AM29" s="83"/>
      <c r="AN29" s="288">
        <f t="shared" si="0"/>
        <v>0</v>
      </c>
      <c r="AO29" s="82">
        <f t="shared" si="1"/>
        <v>0</v>
      </c>
      <c r="AP29" s="256">
        <v>6840</v>
      </c>
    </row>
    <row r="30" spans="1:42" hidden="1" x14ac:dyDescent="0.3">
      <c r="B30" s="6">
        <v>6860</v>
      </c>
      <c r="C30" s="11" t="s">
        <v>25</v>
      </c>
      <c r="D30" s="80"/>
      <c r="E30" s="81"/>
      <c r="F30" s="82"/>
      <c r="G30" s="83"/>
      <c r="H30" s="80"/>
      <c r="I30" s="81"/>
      <c r="J30" s="82"/>
      <c r="K30" s="83"/>
      <c r="L30" s="80"/>
      <c r="M30" s="81"/>
      <c r="N30" s="82"/>
      <c r="O30" s="83"/>
      <c r="P30" s="80"/>
      <c r="Q30" s="81"/>
      <c r="R30" s="82"/>
      <c r="S30" s="83"/>
      <c r="T30" s="80"/>
      <c r="U30" s="81"/>
      <c r="V30" s="82"/>
      <c r="W30" s="83"/>
      <c r="X30" s="80"/>
      <c r="Y30" s="81"/>
      <c r="Z30" s="82"/>
      <c r="AA30" s="83"/>
      <c r="AB30" s="80"/>
      <c r="AC30" s="81"/>
      <c r="AD30" s="82"/>
      <c r="AE30" s="83"/>
      <c r="AF30" s="80"/>
      <c r="AG30" s="81"/>
      <c r="AH30" s="82"/>
      <c r="AI30" s="83"/>
      <c r="AJ30" s="80"/>
      <c r="AK30" s="81"/>
      <c r="AL30" s="82"/>
      <c r="AM30" s="83"/>
      <c r="AN30" s="288">
        <f t="shared" si="0"/>
        <v>0</v>
      </c>
      <c r="AO30" s="82">
        <f t="shared" si="1"/>
        <v>0</v>
      </c>
      <c r="AP30" s="256">
        <v>6860</v>
      </c>
    </row>
    <row r="31" spans="1:42" hidden="1" x14ac:dyDescent="0.3">
      <c r="B31" s="6">
        <v>6910</v>
      </c>
      <c r="C31" s="11" t="s">
        <v>26</v>
      </c>
      <c r="D31" s="80"/>
      <c r="E31" s="81"/>
      <c r="F31" s="82"/>
      <c r="G31" s="83"/>
      <c r="H31" s="80"/>
      <c r="I31" s="81"/>
      <c r="J31" s="82"/>
      <c r="K31" s="83"/>
      <c r="L31" s="80"/>
      <c r="M31" s="81"/>
      <c r="N31" s="82"/>
      <c r="O31" s="83"/>
      <c r="P31" s="80"/>
      <c r="Q31" s="81"/>
      <c r="R31" s="82"/>
      <c r="S31" s="83"/>
      <c r="T31" s="80"/>
      <c r="U31" s="81"/>
      <c r="V31" s="82"/>
      <c r="W31" s="83"/>
      <c r="X31" s="80"/>
      <c r="Y31" s="81"/>
      <c r="Z31" s="82"/>
      <c r="AA31" s="83"/>
      <c r="AB31" s="80"/>
      <c r="AC31" s="81"/>
      <c r="AD31" s="82"/>
      <c r="AE31" s="83"/>
      <c r="AF31" s="80"/>
      <c r="AG31" s="81"/>
      <c r="AH31" s="82"/>
      <c r="AI31" s="83"/>
      <c r="AJ31" s="80"/>
      <c r="AK31" s="81"/>
      <c r="AL31" s="82"/>
      <c r="AM31" s="83"/>
      <c r="AN31" s="288">
        <f t="shared" si="0"/>
        <v>0</v>
      </c>
      <c r="AO31" s="82">
        <f t="shared" si="1"/>
        <v>0</v>
      </c>
      <c r="AP31" s="256">
        <v>6910</v>
      </c>
    </row>
    <row r="32" spans="1:42" hidden="1" x14ac:dyDescent="0.3">
      <c r="B32" s="6">
        <v>6940</v>
      </c>
      <c r="C32" s="11" t="s">
        <v>49</v>
      </c>
      <c r="D32" s="80"/>
      <c r="E32" s="81"/>
      <c r="F32" s="82"/>
      <c r="G32" s="83"/>
      <c r="H32" s="80"/>
      <c r="I32" s="81"/>
      <c r="J32" s="82"/>
      <c r="K32" s="83"/>
      <c r="L32" s="80"/>
      <c r="M32" s="81"/>
      <c r="N32" s="82"/>
      <c r="O32" s="83"/>
      <c r="P32" s="80"/>
      <c r="Q32" s="81"/>
      <c r="R32" s="82"/>
      <c r="S32" s="83"/>
      <c r="T32" s="80"/>
      <c r="U32" s="81"/>
      <c r="V32" s="82"/>
      <c r="W32" s="83"/>
      <c r="X32" s="80"/>
      <c r="Y32" s="81"/>
      <c r="Z32" s="82"/>
      <c r="AA32" s="83"/>
      <c r="AB32" s="80"/>
      <c r="AC32" s="81"/>
      <c r="AD32" s="82"/>
      <c r="AE32" s="83"/>
      <c r="AF32" s="80"/>
      <c r="AG32" s="81"/>
      <c r="AH32" s="82"/>
      <c r="AI32" s="83"/>
      <c r="AJ32" s="80"/>
      <c r="AK32" s="81"/>
      <c r="AL32" s="82"/>
      <c r="AM32" s="83"/>
      <c r="AN32" s="288">
        <f t="shared" si="0"/>
        <v>0</v>
      </c>
      <c r="AO32" s="82">
        <f t="shared" si="1"/>
        <v>0</v>
      </c>
      <c r="AP32" s="256">
        <v>6940</v>
      </c>
    </row>
    <row r="33" spans="2:43" hidden="1" x14ac:dyDescent="0.3">
      <c r="B33" s="6">
        <v>7000</v>
      </c>
      <c r="C33" s="11" t="s">
        <v>27</v>
      </c>
      <c r="D33" s="80"/>
      <c r="E33" s="81"/>
      <c r="F33" s="82"/>
      <c r="G33" s="83"/>
      <c r="H33" s="80"/>
      <c r="I33" s="81"/>
      <c r="J33" s="82"/>
      <c r="K33" s="83"/>
      <c r="L33" s="80"/>
      <c r="M33" s="81"/>
      <c r="N33" s="82"/>
      <c r="O33" s="83"/>
      <c r="P33" s="80"/>
      <c r="Q33" s="81"/>
      <c r="R33" s="82"/>
      <c r="S33" s="83"/>
      <c r="T33" s="80"/>
      <c r="U33" s="81"/>
      <c r="V33" s="82"/>
      <c r="W33" s="83"/>
      <c r="X33" s="80"/>
      <c r="Y33" s="81"/>
      <c r="Z33" s="82"/>
      <c r="AA33" s="83"/>
      <c r="AB33" s="80"/>
      <c r="AC33" s="81"/>
      <c r="AD33" s="82"/>
      <c r="AE33" s="83"/>
      <c r="AF33" s="80"/>
      <c r="AG33" s="81"/>
      <c r="AH33" s="82"/>
      <c r="AI33" s="83"/>
      <c r="AJ33" s="80"/>
      <c r="AK33" s="81"/>
      <c r="AL33" s="82"/>
      <c r="AM33" s="83"/>
      <c r="AN33" s="288">
        <f t="shared" si="0"/>
        <v>0</v>
      </c>
      <c r="AO33" s="82">
        <f t="shared" si="1"/>
        <v>0</v>
      </c>
      <c r="AP33" s="256">
        <v>7000</v>
      </c>
    </row>
    <row r="34" spans="2:43" hidden="1" x14ac:dyDescent="0.3">
      <c r="B34" s="6">
        <v>7100</v>
      </c>
      <c r="C34" s="11" t="s">
        <v>28</v>
      </c>
      <c r="D34" s="80"/>
      <c r="E34" s="81"/>
      <c r="F34" s="82"/>
      <c r="G34" s="83"/>
      <c r="H34" s="80"/>
      <c r="I34" s="81"/>
      <c r="J34" s="82"/>
      <c r="K34" s="83"/>
      <c r="L34" s="80"/>
      <c r="M34" s="81"/>
      <c r="N34" s="82"/>
      <c r="O34" s="83"/>
      <c r="P34" s="80"/>
      <c r="Q34" s="81"/>
      <c r="R34" s="82"/>
      <c r="S34" s="83"/>
      <c r="T34" s="80"/>
      <c r="U34" s="81"/>
      <c r="V34" s="82"/>
      <c r="W34" s="83"/>
      <c r="X34" s="80"/>
      <c r="Y34" s="81"/>
      <c r="Z34" s="82"/>
      <c r="AA34" s="83"/>
      <c r="AB34" s="80"/>
      <c r="AC34" s="81"/>
      <c r="AD34" s="82"/>
      <c r="AE34" s="83"/>
      <c r="AF34" s="80"/>
      <c r="AG34" s="81"/>
      <c r="AH34" s="82"/>
      <c r="AI34" s="83"/>
      <c r="AJ34" s="80"/>
      <c r="AK34" s="81"/>
      <c r="AL34" s="82"/>
      <c r="AM34" s="83"/>
      <c r="AN34" s="288">
        <f t="shared" si="0"/>
        <v>0</v>
      </c>
      <c r="AO34" s="82">
        <f t="shared" si="1"/>
        <v>0</v>
      </c>
      <c r="AP34" s="256">
        <v>7100</v>
      </c>
    </row>
    <row r="35" spans="2:43" hidden="1" x14ac:dyDescent="0.3">
      <c r="B35" s="6">
        <v>7101</v>
      </c>
      <c r="C35" s="11" t="s">
        <v>29</v>
      </c>
      <c r="D35" s="80"/>
      <c r="E35" s="81"/>
      <c r="F35" s="82"/>
      <c r="G35" s="83"/>
      <c r="H35" s="80"/>
      <c r="I35" s="81"/>
      <c r="J35" s="82"/>
      <c r="K35" s="83"/>
      <c r="L35" s="80"/>
      <c r="M35" s="81"/>
      <c r="N35" s="82"/>
      <c r="O35" s="83"/>
      <c r="P35" s="80"/>
      <c r="Q35" s="81"/>
      <c r="R35" s="82"/>
      <c r="S35" s="83"/>
      <c r="T35" s="80"/>
      <c r="U35" s="81"/>
      <c r="V35" s="82"/>
      <c r="W35" s="83"/>
      <c r="X35" s="80"/>
      <c r="Y35" s="81"/>
      <c r="Z35" s="82"/>
      <c r="AA35" s="83"/>
      <c r="AB35" s="80"/>
      <c r="AC35" s="81"/>
      <c r="AD35" s="82"/>
      <c r="AE35" s="83"/>
      <c r="AF35" s="80"/>
      <c r="AG35" s="81"/>
      <c r="AH35" s="82"/>
      <c r="AI35" s="83"/>
      <c r="AJ35" s="80"/>
      <c r="AK35" s="81"/>
      <c r="AL35" s="82"/>
      <c r="AM35" s="83"/>
      <c r="AN35" s="288">
        <f t="shared" si="0"/>
        <v>0</v>
      </c>
      <c r="AO35" s="82">
        <f t="shared" si="1"/>
        <v>0</v>
      </c>
      <c r="AP35" s="256">
        <v>7101</v>
      </c>
    </row>
    <row r="36" spans="2:43" hidden="1" x14ac:dyDescent="0.3">
      <c r="B36" s="6">
        <v>7110</v>
      </c>
      <c r="C36" s="11" t="s">
        <v>30</v>
      </c>
      <c r="D36" s="80"/>
      <c r="E36" s="81"/>
      <c r="F36" s="82"/>
      <c r="G36" s="83"/>
      <c r="H36" s="80"/>
      <c r="I36" s="81"/>
      <c r="J36" s="82"/>
      <c r="K36" s="83"/>
      <c r="L36" s="80"/>
      <c r="M36" s="81"/>
      <c r="N36" s="82"/>
      <c r="O36" s="83"/>
      <c r="P36" s="80"/>
      <c r="Q36" s="81"/>
      <c r="R36" s="82"/>
      <c r="S36" s="83"/>
      <c r="T36" s="80"/>
      <c r="U36" s="81"/>
      <c r="V36" s="82"/>
      <c r="W36" s="83"/>
      <c r="X36" s="80"/>
      <c r="Y36" s="81"/>
      <c r="Z36" s="82"/>
      <c r="AA36" s="83"/>
      <c r="AB36" s="80"/>
      <c r="AC36" s="81"/>
      <c r="AD36" s="82"/>
      <c r="AE36" s="83"/>
      <c r="AF36" s="80"/>
      <c r="AG36" s="81"/>
      <c r="AH36" s="82"/>
      <c r="AI36" s="83"/>
      <c r="AJ36" s="80"/>
      <c r="AK36" s="81"/>
      <c r="AL36" s="82"/>
      <c r="AM36" s="83"/>
      <c r="AN36" s="288">
        <f t="shared" si="0"/>
        <v>0</v>
      </c>
      <c r="AO36" s="82">
        <f t="shared" si="1"/>
        <v>0</v>
      </c>
      <c r="AP36" s="256">
        <v>7110</v>
      </c>
    </row>
    <row r="37" spans="2:43" hidden="1" x14ac:dyDescent="0.3">
      <c r="B37" s="6">
        <v>7141</v>
      </c>
      <c r="C37" s="11" t="s">
        <v>31</v>
      </c>
      <c r="D37" s="80"/>
      <c r="E37" s="81"/>
      <c r="F37" s="82"/>
      <c r="G37" s="83"/>
      <c r="H37" s="80"/>
      <c r="I37" s="81"/>
      <c r="J37" s="82"/>
      <c r="K37" s="83"/>
      <c r="L37" s="80"/>
      <c r="M37" s="81"/>
      <c r="N37" s="82"/>
      <c r="O37" s="83"/>
      <c r="P37" s="80"/>
      <c r="Q37" s="81"/>
      <c r="R37" s="82"/>
      <c r="S37" s="83"/>
      <c r="T37" s="80"/>
      <c r="U37" s="81"/>
      <c r="V37" s="82"/>
      <c r="W37" s="83"/>
      <c r="X37" s="80"/>
      <c r="Y37" s="81"/>
      <c r="Z37" s="82"/>
      <c r="AA37" s="83"/>
      <c r="AB37" s="80"/>
      <c r="AC37" s="81"/>
      <c r="AD37" s="82"/>
      <c r="AE37" s="83"/>
      <c r="AF37" s="80"/>
      <c r="AG37" s="81"/>
      <c r="AH37" s="82"/>
      <c r="AI37" s="83"/>
      <c r="AJ37" s="80"/>
      <c r="AK37" s="81"/>
      <c r="AL37" s="82"/>
      <c r="AM37" s="83"/>
      <c r="AN37" s="288">
        <f t="shared" si="0"/>
        <v>0</v>
      </c>
      <c r="AO37" s="82">
        <f t="shared" si="1"/>
        <v>0</v>
      </c>
      <c r="AP37" s="256">
        <v>7141</v>
      </c>
    </row>
    <row r="38" spans="2:43" hidden="1" x14ac:dyDescent="0.3">
      <c r="B38" s="6">
        <v>7145</v>
      </c>
      <c r="C38" s="11" t="s">
        <v>32</v>
      </c>
      <c r="D38" s="80"/>
      <c r="E38" s="81"/>
      <c r="F38" s="82"/>
      <c r="G38" s="83"/>
      <c r="H38" s="80"/>
      <c r="I38" s="81"/>
      <c r="J38" s="82"/>
      <c r="K38" s="83"/>
      <c r="L38" s="80"/>
      <c r="M38" s="81"/>
      <c r="N38" s="82"/>
      <c r="O38" s="83"/>
      <c r="P38" s="80"/>
      <c r="Q38" s="81"/>
      <c r="R38" s="82"/>
      <c r="S38" s="83"/>
      <c r="T38" s="80"/>
      <c r="U38" s="81"/>
      <c r="V38" s="82"/>
      <c r="W38" s="83"/>
      <c r="X38" s="80"/>
      <c r="Y38" s="81"/>
      <c r="Z38" s="82"/>
      <c r="AA38" s="83"/>
      <c r="AB38" s="80"/>
      <c r="AC38" s="81"/>
      <c r="AD38" s="82"/>
      <c r="AE38" s="83"/>
      <c r="AF38" s="80"/>
      <c r="AG38" s="81"/>
      <c r="AH38" s="82"/>
      <c r="AI38" s="83"/>
      <c r="AJ38" s="80"/>
      <c r="AK38" s="81"/>
      <c r="AL38" s="82"/>
      <c r="AM38" s="83"/>
      <c r="AN38" s="288">
        <f t="shared" si="0"/>
        <v>0</v>
      </c>
      <c r="AO38" s="82">
        <f t="shared" si="1"/>
        <v>0</v>
      </c>
      <c r="AP38" s="256">
        <v>7145</v>
      </c>
    </row>
    <row r="39" spans="2:43" hidden="1" x14ac:dyDescent="0.3">
      <c r="B39" s="6">
        <v>7162</v>
      </c>
      <c r="C39" s="11" t="s">
        <v>33</v>
      </c>
      <c r="D39" s="80"/>
      <c r="E39" s="81"/>
      <c r="F39" s="82"/>
      <c r="G39" s="83"/>
      <c r="H39" s="80"/>
      <c r="I39" s="81"/>
      <c r="J39" s="82"/>
      <c r="K39" s="83"/>
      <c r="L39" s="80"/>
      <c r="M39" s="81"/>
      <c r="N39" s="82"/>
      <c r="O39" s="83"/>
      <c r="P39" s="80"/>
      <c r="Q39" s="81"/>
      <c r="R39" s="82"/>
      <c r="S39" s="83"/>
      <c r="T39" s="80"/>
      <c r="U39" s="81"/>
      <c r="V39" s="82"/>
      <c r="W39" s="83"/>
      <c r="X39" s="80"/>
      <c r="Y39" s="81"/>
      <c r="Z39" s="82"/>
      <c r="AA39" s="83"/>
      <c r="AB39" s="80"/>
      <c r="AC39" s="81"/>
      <c r="AD39" s="82"/>
      <c r="AE39" s="83"/>
      <c r="AF39" s="80"/>
      <c r="AG39" s="81"/>
      <c r="AH39" s="82"/>
      <c r="AI39" s="83"/>
      <c r="AJ39" s="80"/>
      <c r="AK39" s="81"/>
      <c r="AL39" s="82"/>
      <c r="AM39" s="83"/>
      <c r="AN39" s="288">
        <f t="shared" si="0"/>
        <v>0</v>
      </c>
      <c r="AO39" s="82">
        <f t="shared" si="1"/>
        <v>0</v>
      </c>
      <c r="AP39" s="256">
        <v>7162</v>
      </c>
    </row>
    <row r="40" spans="2:43" hidden="1" x14ac:dyDescent="0.3">
      <c r="B40" s="6">
        <v>7320</v>
      </c>
      <c r="C40" s="11" t="s">
        <v>34</v>
      </c>
      <c r="D40" s="80"/>
      <c r="E40" s="81"/>
      <c r="F40" s="82"/>
      <c r="G40" s="83"/>
      <c r="H40" s="80"/>
      <c r="I40" s="81"/>
      <c r="J40" s="82"/>
      <c r="K40" s="83"/>
      <c r="L40" s="80"/>
      <c r="M40" s="81"/>
      <c r="N40" s="82"/>
      <c r="O40" s="83"/>
      <c r="P40" s="80"/>
      <c r="Q40" s="81"/>
      <c r="R40" s="82"/>
      <c r="S40" s="83"/>
      <c r="T40" s="80"/>
      <c r="U40" s="81"/>
      <c r="V40" s="82"/>
      <c r="W40" s="83"/>
      <c r="X40" s="80"/>
      <c r="Y40" s="81"/>
      <c r="Z40" s="82"/>
      <c r="AA40" s="83"/>
      <c r="AB40" s="80"/>
      <c r="AC40" s="81"/>
      <c r="AD40" s="82"/>
      <c r="AE40" s="83"/>
      <c r="AF40" s="80"/>
      <c r="AG40" s="81"/>
      <c r="AH40" s="82"/>
      <c r="AI40" s="83"/>
      <c r="AJ40" s="80"/>
      <c r="AK40" s="81"/>
      <c r="AL40" s="82"/>
      <c r="AM40" s="83"/>
      <c r="AN40" s="288">
        <f t="shared" si="0"/>
        <v>0</v>
      </c>
      <c r="AO40" s="82">
        <f t="shared" si="1"/>
        <v>0</v>
      </c>
      <c r="AP40" s="256">
        <v>7320</v>
      </c>
    </row>
    <row r="41" spans="2:43" hidden="1" x14ac:dyDescent="0.3">
      <c r="B41" s="6">
        <v>7350</v>
      </c>
      <c r="C41" s="11" t="s">
        <v>35</v>
      </c>
      <c r="D41" s="80"/>
      <c r="E41" s="81"/>
      <c r="F41" s="82"/>
      <c r="G41" s="83"/>
      <c r="H41" s="80"/>
      <c r="I41" s="81"/>
      <c r="J41" s="82"/>
      <c r="K41" s="83"/>
      <c r="L41" s="80"/>
      <c r="M41" s="81"/>
      <c r="N41" s="82"/>
      <c r="O41" s="83"/>
      <c r="P41" s="80"/>
      <c r="Q41" s="81"/>
      <c r="R41" s="82"/>
      <c r="S41" s="83"/>
      <c r="T41" s="80"/>
      <c r="U41" s="81"/>
      <c r="V41" s="82"/>
      <c r="W41" s="83"/>
      <c r="X41" s="80"/>
      <c r="Y41" s="81"/>
      <c r="Z41" s="82"/>
      <c r="AA41" s="83"/>
      <c r="AB41" s="80"/>
      <c r="AC41" s="81"/>
      <c r="AD41" s="82"/>
      <c r="AE41" s="83"/>
      <c r="AF41" s="80"/>
      <c r="AG41" s="81"/>
      <c r="AH41" s="82"/>
      <c r="AI41" s="83"/>
      <c r="AJ41" s="80"/>
      <c r="AK41" s="81"/>
      <c r="AL41" s="82"/>
      <c r="AM41" s="83"/>
      <c r="AN41" s="288">
        <f t="shared" si="0"/>
        <v>0</v>
      </c>
      <c r="AO41" s="82">
        <f t="shared" si="1"/>
        <v>0</v>
      </c>
      <c r="AP41" s="256">
        <v>7350</v>
      </c>
    </row>
    <row r="42" spans="2:43" hidden="1" x14ac:dyDescent="0.3">
      <c r="B42" s="6">
        <v>7400</v>
      </c>
      <c r="C42" s="11" t="s">
        <v>36</v>
      </c>
      <c r="D42" s="80"/>
      <c r="E42" s="81"/>
      <c r="F42" s="82"/>
      <c r="G42" s="83"/>
      <c r="H42" s="80"/>
      <c r="I42" s="81"/>
      <c r="J42" s="82"/>
      <c r="K42" s="83"/>
      <c r="L42" s="80"/>
      <c r="M42" s="81"/>
      <c r="N42" s="82"/>
      <c r="O42" s="83"/>
      <c r="P42" s="80"/>
      <c r="Q42" s="81"/>
      <c r="R42" s="82"/>
      <c r="S42" s="83"/>
      <c r="T42" s="80"/>
      <c r="U42" s="81"/>
      <c r="V42" s="82"/>
      <c r="W42" s="83"/>
      <c r="X42" s="80"/>
      <c r="Y42" s="81"/>
      <c r="Z42" s="82"/>
      <c r="AA42" s="83"/>
      <c r="AB42" s="80"/>
      <c r="AC42" s="81"/>
      <c r="AD42" s="82"/>
      <c r="AE42" s="83"/>
      <c r="AF42" s="80"/>
      <c r="AG42" s="81"/>
      <c r="AH42" s="82"/>
      <c r="AI42" s="83"/>
      <c r="AJ42" s="80"/>
      <c r="AK42" s="81"/>
      <c r="AL42" s="82"/>
      <c r="AM42" s="83"/>
      <c r="AN42" s="288">
        <f t="shared" si="0"/>
        <v>0</v>
      </c>
      <c r="AO42" s="82">
        <f t="shared" si="1"/>
        <v>0</v>
      </c>
      <c r="AP42" s="256">
        <v>7400</v>
      </c>
    </row>
    <row r="43" spans="2:43" hidden="1" x14ac:dyDescent="0.3">
      <c r="B43" s="6">
        <v>7411</v>
      </c>
      <c r="C43" s="11" t="s">
        <v>37</v>
      </c>
      <c r="D43" s="80"/>
      <c r="E43" s="81"/>
      <c r="F43" s="82"/>
      <c r="G43" s="83"/>
      <c r="H43" s="80"/>
      <c r="I43" s="81"/>
      <c r="J43" s="82"/>
      <c r="K43" s="83"/>
      <c r="L43" s="80"/>
      <c r="M43" s="81"/>
      <c r="N43" s="82"/>
      <c r="O43" s="83"/>
      <c r="P43" s="80"/>
      <c r="Q43" s="81"/>
      <c r="R43" s="82"/>
      <c r="S43" s="83"/>
      <c r="T43" s="80"/>
      <c r="U43" s="81"/>
      <c r="V43" s="82"/>
      <c r="W43" s="83"/>
      <c r="X43" s="80"/>
      <c r="Y43" s="81"/>
      <c r="Z43" s="82"/>
      <c r="AA43" s="83"/>
      <c r="AB43" s="80"/>
      <c r="AC43" s="81"/>
      <c r="AD43" s="82"/>
      <c r="AE43" s="83"/>
      <c r="AF43" s="80"/>
      <c r="AG43" s="81"/>
      <c r="AH43" s="82"/>
      <c r="AI43" s="83"/>
      <c r="AJ43" s="80"/>
      <c r="AK43" s="81"/>
      <c r="AL43" s="82"/>
      <c r="AM43" s="83"/>
      <c r="AN43" s="288">
        <f t="shared" si="0"/>
        <v>0</v>
      </c>
      <c r="AO43" s="82">
        <f t="shared" si="1"/>
        <v>0</v>
      </c>
      <c r="AP43" s="256">
        <v>7411</v>
      </c>
    </row>
    <row r="44" spans="2:43" x14ac:dyDescent="0.3">
      <c r="B44" s="6">
        <v>6940</v>
      </c>
      <c r="C44" s="186" t="s">
        <v>49</v>
      </c>
      <c r="D44" s="80"/>
      <c r="E44" s="81"/>
      <c r="F44" s="82"/>
      <c r="G44" s="83"/>
      <c r="H44" s="80"/>
      <c r="I44" s="81"/>
      <c r="J44" s="82"/>
      <c r="K44" s="83"/>
      <c r="L44" s="80"/>
      <c r="M44" s="81"/>
      <c r="N44" s="82"/>
      <c r="O44" s="83"/>
      <c r="P44" s="80"/>
      <c r="Q44" s="81"/>
      <c r="R44" s="82"/>
      <c r="S44" s="83"/>
      <c r="T44" s="80"/>
      <c r="U44" s="81"/>
      <c r="V44" s="82"/>
      <c r="W44" s="83"/>
      <c r="X44" s="80"/>
      <c r="Y44" s="81"/>
      <c r="Z44" s="82"/>
      <c r="AA44" s="83"/>
      <c r="AB44" s="80"/>
      <c r="AC44" s="81"/>
      <c r="AD44" s="82"/>
      <c r="AE44" s="83"/>
      <c r="AF44" s="80"/>
      <c r="AG44" s="81"/>
      <c r="AH44" s="82"/>
      <c r="AI44" s="83"/>
      <c r="AJ44" s="80"/>
      <c r="AK44" s="81"/>
      <c r="AL44" s="82"/>
      <c r="AM44" s="83"/>
      <c r="AN44" s="289">
        <f t="shared" si="0"/>
        <v>0</v>
      </c>
      <c r="AO44" s="82">
        <f t="shared" si="1"/>
        <v>0</v>
      </c>
      <c r="AP44" s="256">
        <v>6940</v>
      </c>
    </row>
    <row r="45" spans="2:43" x14ac:dyDescent="0.3">
      <c r="B45" s="6">
        <v>7145</v>
      </c>
      <c r="C45" s="186" t="s">
        <v>32</v>
      </c>
      <c r="D45" s="80"/>
      <c r="E45" s="81"/>
      <c r="F45" s="82"/>
      <c r="G45" s="83"/>
      <c r="H45" s="80"/>
      <c r="I45" s="81"/>
      <c r="J45" s="82"/>
      <c r="K45" s="83"/>
      <c r="L45" s="80"/>
      <c r="M45" s="81"/>
      <c r="N45" s="82"/>
      <c r="O45" s="83"/>
      <c r="P45" s="80"/>
      <c r="Q45" s="81"/>
      <c r="R45" s="82"/>
      <c r="S45" s="83"/>
      <c r="T45" s="80"/>
      <c r="U45" s="81"/>
      <c r="V45" s="82"/>
      <c r="W45" s="83"/>
      <c r="X45" s="80"/>
      <c r="Y45" s="81"/>
      <c r="Z45" s="82"/>
      <c r="AA45" s="83"/>
      <c r="AB45" s="80"/>
      <c r="AC45" s="81"/>
      <c r="AD45" s="82"/>
      <c r="AE45" s="83"/>
      <c r="AF45" s="80"/>
      <c r="AG45" s="81"/>
      <c r="AH45" s="82"/>
      <c r="AI45" s="83"/>
      <c r="AJ45" s="80"/>
      <c r="AK45" s="81"/>
      <c r="AL45" s="82"/>
      <c r="AM45" s="83"/>
      <c r="AN45" s="289">
        <f t="shared" si="0"/>
        <v>0</v>
      </c>
      <c r="AO45" s="82">
        <f t="shared" si="1"/>
        <v>0</v>
      </c>
      <c r="AP45" s="256">
        <v>7145</v>
      </c>
    </row>
    <row r="46" spans="2:43" ht="15" thickBot="1" x14ac:dyDescent="0.35">
      <c r="B46" s="6">
        <v>7162</v>
      </c>
      <c r="C46" s="186" t="s">
        <v>33</v>
      </c>
      <c r="D46" s="80"/>
      <c r="E46" s="81"/>
      <c r="F46" s="82"/>
      <c r="G46" s="83"/>
      <c r="H46" s="80"/>
      <c r="I46" s="81"/>
      <c r="J46" s="82"/>
      <c r="K46" s="83"/>
      <c r="L46" s="80"/>
      <c r="M46" s="81"/>
      <c r="N46" s="82"/>
      <c r="O46" s="83"/>
      <c r="P46" s="80"/>
      <c r="Q46" s="81"/>
      <c r="R46" s="82"/>
      <c r="S46" s="83"/>
      <c r="T46" s="80"/>
      <c r="U46" s="81"/>
      <c r="V46" s="82"/>
      <c r="W46" s="83"/>
      <c r="X46" s="80"/>
      <c r="Y46" s="81"/>
      <c r="Z46" s="82"/>
      <c r="AA46" s="83"/>
      <c r="AB46" s="80"/>
      <c r="AC46" s="81"/>
      <c r="AD46" s="82"/>
      <c r="AE46" s="83"/>
      <c r="AF46" s="80"/>
      <c r="AG46" s="81"/>
      <c r="AH46" s="82"/>
      <c r="AI46" s="83"/>
      <c r="AJ46" s="80"/>
      <c r="AK46" s="81"/>
      <c r="AL46" s="82"/>
      <c r="AM46" s="83"/>
      <c r="AN46" s="289">
        <f>SUM(AL46+AH46+AD46+Z46+V46+R46+N46+J46+F46)</f>
        <v>0</v>
      </c>
      <c r="AO46" s="82">
        <f t="shared" si="1"/>
        <v>0</v>
      </c>
      <c r="AP46" s="256">
        <v>7162</v>
      </c>
    </row>
    <row r="47" spans="2:43" ht="15" thickBot="1" x14ac:dyDescent="0.35">
      <c r="B47" s="6">
        <v>7420</v>
      </c>
      <c r="C47" s="11" t="s">
        <v>38</v>
      </c>
      <c r="D47" s="80"/>
      <c r="E47" s="81"/>
      <c r="F47" s="82"/>
      <c r="G47" s="83"/>
      <c r="H47" s="80"/>
      <c r="I47" s="81"/>
      <c r="J47" s="82"/>
      <c r="K47" s="83"/>
      <c r="L47" s="80">
        <v>50000</v>
      </c>
      <c r="M47" s="81"/>
      <c r="N47" s="82"/>
      <c r="O47" s="83"/>
      <c r="P47" s="80">
        <f>200*30</f>
        <v>6000</v>
      </c>
      <c r="Q47" s="81" t="s">
        <v>215</v>
      </c>
      <c r="R47" s="82"/>
      <c r="S47" s="83"/>
      <c r="T47" s="80">
        <f>20*200</f>
        <v>4000</v>
      </c>
      <c r="U47" s="81" t="s">
        <v>216</v>
      </c>
      <c r="V47" s="82"/>
      <c r="W47" s="83"/>
      <c r="X47" s="80">
        <f>2000*12</f>
        <v>24000</v>
      </c>
      <c r="Y47" s="81" t="s">
        <v>217</v>
      </c>
      <c r="Z47" s="82"/>
      <c r="AA47" s="83"/>
      <c r="AB47" s="80"/>
      <c r="AC47" s="81"/>
      <c r="AD47" s="82"/>
      <c r="AE47" s="83"/>
      <c r="AF47" s="80">
        <v>5000</v>
      </c>
      <c r="AG47" s="81"/>
      <c r="AH47" s="82"/>
      <c r="AI47" s="83"/>
      <c r="AJ47" s="80">
        <v>35000</v>
      </c>
      <c r="AK47" s="81"/>
      <c r="AL47" s="82"/>
      <c r="AM47" s="83"/>
      <c r="AN47" s="100">
        <f t="shared" si="0"/>
        <v>0</v>
      </c>
      <c r="AO47" s="82">
        <f t="shared" si="1"/>
        <v>124000</v>
      </c>
      <c r="AP47" s="272">
        <v>7420</v>
      </c>
      <c r="AQ47" s="229" t="s">
        <v>310</v>
      </c>
    </row>
    <row r="48" spans="2:43" ht="15" hidden="1" thickBot="1" x14ac:dyDescent="0.35">
      <c r="B48" s="6">
        <v>7425</v>
      </c>
      <c r="C48" s="11" t="s">
        <v>39</v>
      </c>
      <c r="D48" s="80"/>
      <c r="E48" s="81"/>
      <c r="F48" s="82"/>
      <c r="G48" s="83"/>
      <c r="H48" s="80"/>
      <c r="I48" s="81"/>
      <c r="J48" s="82"/>
      <c r="K48" s="83"/>
      <c r="L48" s="80"/>
      <c r="M48" s="81"/>
      <c r="N48" s="82"/>
      <c r="O48" s="83"/>
      <c r="P48" s="80"/>
      <c r="Q48" s="81"/>
      <c r="R48" s="82"/>
      <c r="S48" s="83"/>
      <c r="T48" s="80"/>
      <c r="U48" s="81"/>
      <c r="V48" s="82"/>
      <c r="W48" s="83"/>
      <c r="X48" s="80"/>
      <c r="Y48" s="81"/>
      <c r="Z48" s="82"/>
      <c r="AA48" s="83"/>
      <c r="AB48" s="80"/>
      <c r="AC48" s="81"/>
      <c r="AD48" s="82"/>
      <c r="AE48" s="83"/>
      <c r="AF48" s="80"/>
      <c r="AG48" s="81"/>
      <c r="AH48" s="82"/>
      <c r="AI48" s="83"/>
      <c r="AJ48" s="80"/>
      <c r="AK48" s="81"/>
      <c r="AL48" s="82"/>
      <c r="AM48" s="83"/>
      <c r="AN48" s="100">
        <f t="shared" si="0"/>
        <v>0</v>
      </c>
      <c r="AO48" s="82">
        <f t="shared" si="1"/>
        <v>0</v>
      </c>
      <c r="AP48" s="178">
        <v>7425</v>
      </c>
      <c r="AQ48" s="97"/>
    </row>
    <row r="49" spans="2:43" ht="15" hidden="1" thickBot="1" x14ac:dyDescent="0.35">
      <c r="B49" s="6">
        <v>7430</v>
      </c>
      <c r="C49" s="11" t="s">
        <v>40</v>
      </c>
      <c r="D49" s="80"/>
      <c r="E49" s="81"/>
      <c r="F49" s="82"/>
      <c r="G49" s="83"/>
      <c r="H49" s="80"/>
      <c r="I49" s="81"/>
      <c r="J49" s="82"/>
      <c r="K49" s="83"/>
      <c r="L49" s="80"/>
      <c r="M49" s="81"/>
      <c r="N49" s="82"/>
      <c r="O49" s="83"/>
      <c r="P49" s="80"/>
      <c r="Q49" s="81"/>
      <c r="R49" s="82"/>
      <c r="S49" s="83"/>
      <c r="T49" s="80"/>
      <c r="U49" s="81"/>
      <c r="V49" s="82"/>
      <c r="W49" s="83"/>
      <c r="X49" s="80"/>
      <c r="Y49" s="81"/>
      <c r="Z49" s="82"/>
      <c r="AA49" s="83"/>
      <c r="AB49" s="80"/>
      <c r="AC49" s="81"/>
      <c r="AD49" s="82"/>
      <c r="AE49" s="83"/>
      <c r="AF49" s="80"/>
      <c r="AG49" s="81"/>
      <c r="AH49" s="82"/>
      <c r="AI49" s="83"/>
      <c r="AJ49" s="80"/>
      <c r="AK49" s="81"/>
      <c r="AL49" s="82"/>
      <c r="AM49" s="83"/>
      <c r="AN49" s="95">
        <f t="shared" si="0"/>
        <v>0</v>
      </c>
      <c r="AO49" s="82">
        <f t="shared" si="1"/>
        <v>0</v>
      </c>
      <c r="AP49" s="178">
        <v>7430</v>
      </c>
      <c r="AQ49" s="97"/>
    </row>
    <row r="50" spans="2:43" ht="15" hidden="1" thickBot="1" x14ac:dyDescent="0.35">
      <c r="B50" s="6">
        <v>7500</v>
      </c>
      <c r="C50" s="11" t="s">
        <v>41</v>
      </c>
      <c r="D50" s="80"/>
      <c r="E50" s="81"/>
      <c r="F50" s="82"/>
      <c r="G50" s="83"/>
      <c r="H50" s="80"/>
      <c r="I50" s="81"/>
      <c r="J50" s="82"/>
      <c r="K50" s="83"/>
      <c r="L50" s="80"/>
      <c r="M50" s="81"/>
      <c r="N50" s="82"/>
      <c r="O50" s="83"/>
      <c r="P50" s="80"/>
      <c r="Q50" s="81"/>
      <c r="R50" s="82"/>
      <c r="S50" s="83"/>
      <c r="T50" s="80"/>
      <c r="U50" s="81"/>
      <c r="V50" s="82"/>
      <c r="W50" s="83"/>
      <c r="X50" s="80"/>
      <c r="Y50" s="81"/>
      <c r="Z50" s="82"/>
      <c r="AA50" s="83"/>
      <c r="AB50" s="80"/>
      <c r="AC50" s="81"/>
      <c r="AD50" s="82"/>
      <c r="AE50" s="83"/>
      <c r="AF50" s="80"/>
      <c r="AG50" s="81"/>
      <c r="AH50" s="82"/>
      <c r="AI50" s="83"/>
      <c r="AJ50" s="80"/>
      <c r="AK50" s="81"/>
      <c r="AL50" s="82"/>
      <c r="AM50" s="83"/>
      <c r="AN50" s="95">
        <f t="shared" si="0"/>
        <v>0</v>
      </c>
      <c r="AO50" s="82">
        <f t="shared" si="1"/>
        <v>0</v>
      </c>
      <c r="AP50" s="178">
        <v>7500</v>
      </c>
      <c r="AQ50" s="97"/>
    </row>
    <row r="51" spans="2:43" ht="15" hidden="1" thickBot="1" x14ac:dyDescent="0.35">
      <c r="B51" s="6">
        <v>7746</v>
      </c>
      <c r="C51" s="11" t="s">
        <v>42</v>
      </c>
      <c r="D51" s="80"/>
      <c r="E51" s="81"/>
      <c r="F51" s="82"/>
      <c r="G51" s="83"/>
      <c r="H51" s="80"/>
      <c r="I51" s="81"/>
      <c r="J51" s="82"/>
      <c r="K51" s="83"/>
      <c r="L51" s="80"/>
      <c r="M51" s="81"/>
      <c r="N51" s="82"/>
      <c r="O51" s="83"/>
      <c r="P51" s="80"/>
      <c r="Q51" s="81"/>
      <c r="R51" s="82"/>
      <c r="S51" s="83"/>
      <c r="T51" s="80"/>
      <c r="U51" s="81"/>
      <c r="V51" s="82"/>
      <c r="W51" s="83"/>
      <c r="X51" s="80"/>
      <c r="Y51" s="81"/>
      <c r="Z51" s="82"/>
      <c r="AA51" s="83"/>
      <c r="AB51" s="80"/>
      <c r="AC51" s="81"/>
      <c r="AD51" s="82"/>
      <c r="AE51" s="83"/>
      <c r="AF51" s="80"/>
      <c r="AG51" s="81"/>
      <c r="AH51" s="82"/>
      <c r="AI51" s="83"/>
      <c r="AJ51" s="80"/>
      <c r="AK51" s="81"/>
      <c r="AL51" s="82"/>
      <c r="AM51" s="83"/>
      <c r="AN51" s="95">
        <f t="shared" si="0"/>
        <v>0</v>
      </c>
      <c r="AO51" s="82">
        <f t="shared" si="1"/>
        <v>0</v>
      </c>
      <c r="AP51" s="178">
        <v>7746</v>
      </c>
      <c r="AQ51" s="97"/>
    </row>
    <row r="52" spans="2:43" ht="15" hidden="1" thickBot="1" x14ac:dyDescent="0.35">
      <c r="B52" s="6">
        <v>7770</v>
      </c>
      <c r="C52" s="11" t="s">
        <v>43</v>
      </c>
      <c r="D52" s="80"/>
      <c r="E52" s="81"/>
      <c r="F52" s="82"/>
      <c r="G52" s="83"/>
      <c r="H52" s="80"/>
      <c r="I52" s="81"/>
      <c r="J52" s="82"/>
      <c r="K52" s="83"/>
      <c r="L52" s="80"/>
      <c r="M52" s="81"/>
      <c r="N52" s="82"/>
      <c r="O52" s="83"/>
      <c r="P52" s="80"/>
      <c r="Q52" s="81"/>
      <c r="R52" s="82"/>
      <c r="S52" s="83"/>
      <c r="T52" s="80"/>
      <c r="U52" s="81"/>
      <c r="V52" s="82"/>
      <c r="W52" s="83"/>
      <c r="X52" s="80"/>
      <c r="Y52" s="81"/>
      <c r="Z52" s="82"/>
      <c r="AA52" s="83"/>
      <c r="AB52" s="80"/>
      <c r="AC52" s="81"/>
      <c r="AD52" s="82"/>
      <c r="AE52" s="83"/>
      <c r="AF52" s="80"/>
      <c r="AG52" s="81"/>
      <c r="AH52" s="82"/>
      <c r="AI52" s="83"/>
      <c r="AJ52" s="80"/>
      <c r="AK52" s="81"/>
      <c r="AL52" s="82"/>
      <c r="AM52" s="83"/>
      <c r="AN52" s="95">
        <f t="shared" si="0"/>
        <v>0</v>
      </c>
      <c r="AO52" s="82">
        <f t="shared" si="1"/>
        <v>0</v>
      </c>
      <c r="AP52" s="178">
        <v>7770</v>
      </c>
      <c r="AQ52" s="97"/>
    </row>
    <row r="53" spans="2:43" ht="15" hidden="1" thickBot="1" x14ac:dyDescent="0.35">
      <c r="B53" s="8">
        <v>7775</v>
      </c>
      <c r="C53" s="12" t="s">
        <v>44</v>
      </c>
      <c r="D53" s="84"/>
      <c r="E53" s="85"/>
      <c r="F53" s="86"/>
      <c r="G53" s="83"/>
      <c r="H53" s="84"/>
      <c r="I53" s="85"/>
      <c r="J53" s="86"/>
      <c r="K53" s="83"/>
      <c r="L53" s="84"/>
      <c r="M53" s="85"/>
      <c r="N53" s="86"/>
      <c r="O53" s="83"/>
      <c r="P53" s="84"/>
      <c r="Q53" s="85"/>
      <c r="R53" s="86"/>
      <c r="S53" s="83"/>
      <c r="T53" s="84"/>
      <c r="U53" s="85"/>
      <c r="V53" s="86"/>
      <c r="W53" s="83"/>
      <c r="X53" s="84"/>
      <c r="Y53" s="85"/>
      <c r="Z53" s="86"/>
      <c r="AA53" s="83"/>
      <c r="AB53" s="84"/>
      <c r="AC53" s="85"/>
      <c r="AD53" s="86"/>
      <c r="AE53" s="83"/>
      <c r="AF53" s="84"/>
      <c r="AG53" s="85"/>
      <c r="AH53" s="86"/>
      <c r="AI53" s="83"/>
      <c r="AJ53" s="84"/>
      <c r="AK53" s="85"/>
      <c r="AL53" s="86"/>
      <c r="AM53" s="83"/>
      <c r="AN53" s="99">
        <f t="shared" si="0"/>
        <v>0</v>
      </c>
      <c r="AO53" s="82">
        <f t="shared" si="1"/>
        <v>0</v>
      </c>
      <c r="AP53" s="221">
        <v>7775</v>
      </c>
      <c r="AQ53" s="97"/>
    </row>
    <row r="54" spans="2:43" ht="15" thickBot="1" x14ac:dyDescent="0.35">
      <c r="B54" s="26"/>
      <c r="C54" s="27" t="s">
        <v>74</v>
      </c>
      <c r="D54" s="87">
        <f>SUM(D12:D53)</f>
        <v>0</v>
      </c>
      <c r="E54" s="87"/>
      <c r="F54" s="92">
        <f>SUM(F12:F47)</f>
        <v>0</v>
      </c>
      <c r="G54" s="83"/>
      <c r="H54" s="87">
        <f t="shared" ref="H54:J54" si="10">SUM(H12:H53)</f>
        <v>0</v>
      </c>
      <c r="I54" s="87"/>
      <c r="J54" s="92">
        <f t="shared" si="10"/>
        <v>0</v>
      </c>
      <c r="K54" s="83"/>
      <c r="L54" s="87">
        <f t="shared" ref="L54:N54" si="11">SUM(L12:L53)</f>
        <v>50000</v>
      </c>
      <c r="M54" s="87"/>
      <c r="N54" s="92">
        <f t="shared" si="11"/>
        <v>0</v>
      </c>
      <c r="O54" s="83"/>
      <c r="P54" s="87">
        <f t="shared" ref="P54" si="12">SUM(P12:P53)</f>
        <v>6000</v>
      </c>
      <c r="Q54" s="87"/>
      <c r="R54" s="92">
        <f>SUM(R12:R47)</f>
        <v>0</v>
      </c>
      <c r="S54" s="83"/>
      <c r="T54" s="87">
        <f t="shared" ref="T54" si="13">SUM(T12:T53)</f>
        <v>4000</v>
      </c>
      <c r="U54" s="87"/>
      <c r="V54" s="92">
        <f>SUM(V12:V47)</f>
        <v>0</v>
      </c>
      <c r="W54" s="83"/>
      <c r="X54" s="87">
        <f t="shared" ref="X54" si="14">SUM(X12:X53)</f>
        <v>24000</v>
      </c>
      <c r="Y54" s="87"/>
      <c r="Z54" s="92">
        <f>SUM(Z12:Z47)</f>
        <v>0</v>
      </c>
      <c r="AA54" s="83"/>
      <c r="AB54" s="87">
        <f t="shared" ref="AB54" si="15">SUM(AB12:AB53)</f>
        <v>0</v>
      </c>
      <c r="AC54" s="87"/>
      <c r="AD54" s="92">
        <f>SUM(AD12:AD47)</f>
        <v>0</v>
      </c>
      <c r="AE54" s="83"/>
      <c r="AF54" s="87">
        <f t="shared" ref="AF54" si="16">SUM(AF12:AF53)</f>
        <v>5000</v>
      </c>
      <c r="AG54" s="87"/>
      <c r="AH54" s="92">
        <f>SUM(AH12:AH47)</f>
        <v>0</v>
      </c>
      <c r="AI54" s="83"/>
      <c r="AJ54" s="87">
        <f t="shared" ref="AJ54" si="17">SUM(AJ12:AJ53)</f>
        <v>35000</v>
      </c>
      <c r="AK54" s="87"/>
      <c r="AL54" s="92">
        <f>SUM(AL12:AL47)</f>
        <v>0</v>
      </c>
      <c r="AM54" s="83"/>
      <c r="AN54" s="95">
        <f t="shared" si="0"/>
        <v>0</v>
      </c>
      <c r="AO54" s="89">
        <f t="shared" si="1"/>
        <v>124000</v>
      </c>
      <c r="AP54" s="26"/>
      <c r="AQ54" s="224">
        <f>SUM(D54+H54+L54+P54+T54+X54+AB54+AF54+AJ54)</f>
        <v>124000</v>
      </c>
    </row>
    <row r="55" spans="2:43" ht="15" thickBot="1" x14ac:dyDescent="0.35">
      <c r="C55" s="13" t="s">
        <v>373</v>
      </c>
      <c r="D55" s="310">
        <f>D11-D54</f>
        <v>0</v>
      </c>
      <c r="E55" s="310"/>
      <c r="F55" s="310">
        <f t="shared" ref="F55" si="18">F11-F54</f>
        <v>0</v>
      </c>
      <c r="G55" s="313"/>
      <c r="H55" s="310">
        <f t="shared" ref="H55" si="19">H11-H54</f>
        <v>0</v>
      </c>
      <c r="I55" s="310"/>
      <c r="J55" s="310">
        <f t="shared" ref="J55:AL55" si="20">J11-J54</f>
        <v>0</v>
      </c>
      <c r="K55" s="313"/>
      <c r="L55" s="310">
        <f t="shared" ref="L55" si="21">L11-L54</f>
        <v>-50000</v>
      </c>
      <c r="M55" s="310"/>
      <c r="N55" s="310">
        <f t="shared" si="20"/>
        <v>0</v>
      </c>
      <c r="O55" s="313"/>
      <c r="P55" s="310">
        <f t="shared" ref="P55" si="22">P11-P54</f>
        <v>-6000</v>
      </c>
      <c r="Q55" s="310"/>
      <c r="R55" s="310">
        <f t="shared" si="20"/>
        <v>0</v>
      </c>
      <c r="S55" s="313"/>
      <c r="T55" s="310">
        <f t="shared" ref="T55" si="23">T11-T54</f>
        <v>-4000</v>
      </c>
      <c r="U55" s="310"/>
      <c r="V55" s="92">
        <f t="shared" si="20"/>
        <v>0</v>
      </c>
      <c r="W55" s="83"/>
      <c r="X55" s="92">
        <f t="shared" ref="X55" si="24">X11-X54</f>
        <v>-24000</v>
      </c>
      <c r="Y55" s="92"/>
      <c r="Z55" s="92">
        <f t="shared" si="20"/>
        <v>0</v>
      </c>
      <c r="AA55" s="83"/>
      <c r="AB55" s="92">
        <f t="shared" ref="AB55" si="25">AB11-AB54</f>
        <v>0</v>
      </c>
      <c r="AC55" s="92"/>
      <c r="AD55" s="92">
        <f t="shared" si="20"/>
        <v>0</v>
      </c>
      <c r="AE55" s="83"/>
      <c r="AF55" s="92">
        <f t="shared" ref="AF55" si="26">AF11-AF54</f>
        <v>-5000</v>
      </c>
      <c r="AG55" s="92"/>
      <c r="AH55" s="92">
        <f t="shared" si="20"/>
        <v>0</v>
      </c>
      <c r="AI55" s="83"/>
      <c r="AJ55" s="92">
        <f t="shared" ref="AJ55" si="27">AJ11-AJ54</f>
        <v>-35000</v>
      </c>
      <c r="AK55" s="92"/>
      <c r="AL55" s="92">
        <f t="shared" si="20"/>
        <v>0</v>
      </c>
      <c r="AM55" s="83"/>
      <c r="AN55" s="95">
        <f t="shared" si="0"/>
        <v>0</v>
      </c>
      <c r="AO55" s="89">
        <f t="shared" si="1"/>
        <v>-124000</v>
      </c>
      <c r="AP55" s="42"/>
    </row>
    <row r="57" spans="2:43" x14ac:dyDescent="0.3">
      <c r="L57" s="330" t="s">
        <v>356</v>
      </c>
      <c r="M57" s="330"/>
      <c r="N57" s="330"/>
      <c r="P57" s="346" t="s">
        <v>317</v>
      </c>
      <c r="Q57" s="346"/>
      <c r="R57" s="346"/>
      <c r="T57" s="346" t="s">
        <v>316</v>
      </c>
      <c r="U57" s="346"/>
      <c r="V57" s="346"/>
      <c r="X57" s="346" t="s">
        <v>315</v>
      </c>
      <c r="Y57" s="346"/>
      <c r="Z57" s="346"/>
      <c r="AB57" s="330"/>
      <c r="AC57" s="330"/>
      <c r="AD57" s="330"/>
      <c r="AF57" s="346" t="s">
        <v>167</v>
      </c>
      <c r="AG57" s="346"/>
      <c r="AH57" s="346"/>
      <c r="AJ57" s="349" t="s">
        <v>159</v>
      </c>
      <c r="AK57" s="349"/>
      <c r="AL57" s="349"/>
    </row>
    <row r="58" spans="2:43" x14ac:dyDescent="0.3">
      <c r="L58" s="330"/>
      <c r="M58" s="330"/>
      <c r="N58" s="330"/>
      <c r="P58" s="346"/>
      <c r="Q58" s="346"/>
      <c r="R58" s="346"/>
      <c r="T58" s="346"/>
      <c r="U58" s="346"/>
      <c r="V58" s="346"/>
      <c r="X58" s="346"/>
      <c r="Y58" s="346"/>
      <c r="Z58" s="346"/>
      <c r="AB58" s="330"/>
      <c r="AC58" s="330"/>
      <c r="AD58" s="330"/>
      <c r="AF58" s="346"/>
      <c r="AG58" s="346"/>
      <c r="AH58" s="346"/>
      <c r="AJ58" s="349"/>
      <c r="AK58" s="349"/>
      <c r="AL58" s="349"/>
    </row>
    <row r="59" spans="2:43" x14ac:dyDescent="0.3">
      <c r="L59" s="330"/>
      <c r="M59" s="330"/>
      <c r="N59" s="330"/>
      <c r="P59" s="346"/>
      <c r="Q59" s="346"/>
      <c r="R59" s="346"/>
      <c r="T59" s="346"/>
      <c r="U59" s="346"/>
      <c r="V59" s="346"/>
      <c r="X59" s="346"/>
      <c r="Y59" s="346"/>
      <c r="Z59" s="346"/>
      <c r="AB59" s="330"/>
      <c r="AC59" s="330"/>
      <c r="AD59" s="330"/>
      <c r="AF59" s="346"/>
      <c r="AG59" s="346"/>
      <c r="AH59" s="346"/>
      <c r="AJ59" s="349"/>
      <c r="AK59" s="349"/>
      <c r="AL59" s="349"/>
    </row>
    <row r="60" spans="2:43" x14ac:dyDescent="0.3">
      <c r="L60" s="330"/>
      <c r="M60" s="330"/>
      <c r="N60" s="330"/>
      <c r="P60" s="346"/>
      <c r="Q60" s="346"/>
      <c r="R60" s="346"/>
      <c r="T60" s="346"/>
      <c r="U60" s="346"/>
      <c r="V60" s="346"/>
      <c r="X60" s="346"/>
      <c r="Y60" s="346"/>
      <c r="Z60" s="346"/>
      <c r="AB60" s="330"/>
      <c r="AC60" s="330"/>
      <c r="AD60" s="330"/>
      <c r="AF60" s="346"/>
      <c r="AG60" s="346"/>
      <c r="AH60" s="346"/>
      <c r="AJ60" s="349"/>
      <c r="AK60" s="349"/>
      <c r="AL60" s="349"/>
    </row>
    <row r="61" spans="2:43" x14ac:dyDescent="0.3">
      <c r="L61" s="330"/>
      <c r="M61" s="330"/>
      <c r="N61" s="330"/>
      <c r="P61" s="346"/>
      <c r="Q61" s="346"/>
      <c r="R61" s="346"/>
      <c r="T61" s="346"/>
      <c r="U61" s="346"/>
      <c r="V61" s="346"/>
      <c r="X61" s="346"/>
      <c r="Y61" s="346"/>
      <c r="Z61" s="346"/>
      <c r="AB61" s="330"/>
      <c r="AC61" s="330"/>
      <c r="AD61" s="330"/>
      <c r="AF61" s="346"/>
      <c r="AG61" s="346"/>
      <c r="AH61" s="346"/>
      <c r="AJ61" s="349"/>
      <c r="AK61" s="349"/>
      <c r="AL61" s="349"/>
    </row>
    <row r="62" spans="2:43" x14ac:dyDescent="0.3">
      <c r="L62" s="330"/>
      <c r="M62" s="330"/>
      <c r="N62" s="330"/>
      <c r="P62" s="346"/>
      <c r="Q62" s="346"/>
      <c r="R62" s="346"/>
      <c r="T62" s="346"/>
      <c r="U62" s="346"/>
      <c r="V62" s="346"/>
      <c r="X62" s="346"/>
      <c r="Y62" s="346"/>
      <c r="Z62" s="346"/>
      <c r="AB62" s="330"/>
      <c r="AC62" s="330"/>
      <c r="AD62" s="330"/>
      <c r="AF62" s="346"/>
      <c r="AG62" s="346"/>
      <c r="AH62" s="346"/>
      <c r="AJ62" s="349"/>
      <c r="AK62" s="349"/>
      <c r="AL62" s="349"/>
    </row>
    <row r="63" spans="2:43" x14ac:dyDescent="0.3">
      <c r="L63" s="330"/>
      <c r="M63" s="330"/>
      <c r="N63" s="330"/>
      <c r="P63" s="346"/>
      <c r="Q63" s="346"/>
      <c r="R63" s="346"/>
      <c r="T63" s="346"/>
      <c r="U63" s="346"/>
      <c r="V63" s="346"/>
      <c r="X63" s="346"/>
      <c r="Y63" s="346"/>
      <c r="Z63" s="346"/>
      <c r="AB63" s="330"/>
      <c r="AC63" s="330"/>
      <c r="AD63" s="330"/>
      <c r="AF63" s="346"/>
      <c r="AG63" s="346"/>
      <c r="AH63" s="346"/>
      <c r="AJ63" s="349"/>
      <c r="AK63" s="349"/>
      <c r="AL63" s="349"/>
    </row>
    <row r="64" spans="2:43" x14ac:dyDescent="0.3">
      <c r="L64" s="330"/>
      <c r="M64" s="330"/>
      <c r="N64" s="330"/>
      <c r="P64" s="346"/>
      <c r="Q64" s="346"/>
      <c r="R64" s="346"/>
      <c r="T64" s="346"/>
      <c r="U64" s="346"/>
      <c r="V64" s="346"/>
      <c r="X64" s="346"/>
      <c r="Y64" s="346"/>
      <c r="Z64" s="346"/>
      <c r="AB64" s="330"/>
      <c r="AC64" s="330"/>
      <c r="AD64" s="330"/>
      <c r="AF64" s="346"/>
      <c r="AG64" s="346"/>
      <c r="AH64" s="346"/>
      <c r="AJ64" s="349"/>
      <c r="AK64" s="349"/>
      <c r="AL64" s="349"/>
    </row>
  </sheetData>
  <sheetProtection algorithmName="SHA-512" hashValue="0kf140kxqrhD5dAztJuxDLSs3KzrqujywkBl9Y3fPWG/1eLEuCJI8p1602U25CWh7TM+Jvi9x9vS1vE6rPZUiw==" saltValue="GyIzWfvVtgBHdC3sGkrEpQ==" spinCount="100000" sheet="1" selectLockedCells="1"/>
  <protectedRanges>
    <protectedRange sqref="D17 H17:I17 L17:M17 P17:Q17 T17:U17 X17:Y17 AB17:AC17 AF17:AG17 AJ17:AK17" name="Område2_2_1"/>
    <protectedRange password="8B3B" sqref="D19 H19:I19 L19:M19 P19:Q19 T19:U19 X19:Y19 AB19:AC19 AF19:AG19 AJ19:AK19" name="Område1_2_1"/>
  </protectedRanges>
  <mergeCells count="17">
    <mergeCell ref="B2:C2"/>
    <mergeCell ref="E1:F1"/>
    <mergeCell ref="I1:J1"/>
    <mergeCell ref="AC1:AD1"/>
    <mergeCell ref="B1:C1"/>
    <mergeCell ref="M1:N1"/>
    <mergeCell ref="Y1:Z1"/>
    <mergeCell ref="Q1:R1"/>
    <mergeCell ref="U1:V1"/>
    <mergeCell ref="AJ57:AL64"/>
    <mergeCell ref="AG1:AH1"/>
    <mergeCell ref="AF57:AH64"/>
    <mergeCell ref="L57:N64"/>
    <mergeCell ref="P57:R64"/>
    <mergeCell ref="T57:V64"/>
    <mergeCell ref="X57:Z64"/>
    <mergeCell ref="AB57:AD64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68"/>
  <sheetViews>
    <sheetView zoomScale="70" zoomScaleNormal="70" zoomScalePageLayoutView="90" workbookViewId="0">
      <pane xSplit="3" topLeftCell="W1" activePane="topRight" state="frozen"/>
      <selection pane="topRight" activeCell="D21" sqref="D21"/>
    </sheetView>
  </sheetViews>
  <sheetFormatPr baseColWidth="10" defaultColWidth="11.44140625" defaultRowHeight="14.4" x14ac:dyDescent="0.3"/>
  <cols>
    <col min="1" max="1" width="9.44140625" bestFit="1" customWidth="1"/>
    <col min="2" max="2" width="8.5546875" bestFit="1" customWidth="1"/>
    <col min="3" max="3" width="37.5546875" bestFit="1" customWidth="1"/>
    <col min="4" max="4" width="15.5546875" bestFit="1" customWidth="1"/>
    <col min="5" max="5" width="16.44140625" bestFit="1" customWidth="1"/>
    <col min="6" max="6" width="19.109375" bestFit="1" customWidth="1"/>
    <col min="7" max="7" width="3" customWidth="1"/>
    <col min="8" max="8" width="15.5546875" customWidth="1"/>
    <col min="9" max="9" width="25.33203125" bestFit="1" customWidth="1"/>
    <col min="10" max="10" width="19.109375" customWidth="1"/>
    <col min="11" max="11" width="3" customWidth="1"/>
    <col min="12" max="12" width="15.5546875" customWidth="1"/>
    <col min="13" max="13" width="12" customWidth="1"/>
    <col min="14" max="14" width="19.109375" customWidth="1"/>
    <col min="15" max="15" width="3" customWidth="1"/>
    <col min="16" max="16" width="15.5546875" customWidth="1"/>
    <col min="17" max="17" width="12" customWidth="1"/>
    <col min="18" max="18" width="19.109375" customWidth="1"/>
    <col min="19" max="19" width="3" customWidth="1"/>
    <col min="20" max="20" width="15.5546875" customWidth="1"/>
    <col min="21" max="21" width="12" customWidth="1"/>
    <col min="22" max="22" width="19.109375" customWidth="1"/>
    <col min="23" max="23" width="3" customWidth="1"/>
    <col min="24" max="24" width="15.5546875" customWidth="1"/>
    <col min="25" max="25" width="12" customWidth="1"/>
    <col min="26" max="26" width="19.109375" customWidth="1"/>
    <col min="27" max="27" width="3" customWidth="1"/>
    <col min="28" max="28" width="15.5546875" customWidth="1"/>
    <col min="29" max="29" width="12" customWidth="1"/>
    <col min="30" max="30" width="19.109375" customWidth="1"/>
    <col min="31" max="31" width="3" customWidth="1"/>
    <col min="32" max="32" width="15.5546875" customWidth="1"/>
    <col min="33" max="33" width="12" customWidth="1"/>
    <col min="34" max="34" width="19.109375" customWidth="1"/>
    <col min="35" max="35" width="3" customWidth="1"/>
    <col min="36" max="36" width="15.5546875" customWidth="1"/>
    <col min="37" max="37" width="12" customWidth="1"/>
    <col min="38" max="38" width="19.109375" customWidth="1"/>
    <col min="39" max="39" width="4.5546875" customWidth="1"/>
    <col min="40" max="40" width="16.5546875" bestFit="1" customWidth="1"/>
    <col min="41" max="41" width="14.6640625" bestFit="1" customWidth="1"/>
    <col min="42" max="42" width="8.5546875" bestFit="1" customWidth="1"/>
    <col min="43" max="43" width="14.44140625" bestFit="1" customWidth="1"/>
    <col min="44" max="54" width="4.5546875" customWidth="1"/>
  </cols>
  <sheetData>
    <row r="1" spans="1:54" ht="15" thickBot="1" x14ac:dyDescent="0.35">
      <c r="A1" s="33"/>
      <c r="B1" s="341" t="s">
        <v>76</v>
      </c>
      <c r="C1" s="341"/>
      <c r="D1" s="19">
        <v>60000</v>
      </c>
      <c r="E1" s="344" t="s">
        <v>53</v>
      </c>
      <c r="F1" s="345"/>
      <c r="G1" s="1"/>
      <c r="H1" s="19">
        <v>61000</v>
      </c>
      <c r="I1" s="344" t="s">
        <v>78</v>
      </c>
      <c r="J1" s="345" t="s">
        <v>54</v>
      </c>
      <c r="K1" s="1"/>
      <c r="L1" s="19">
        <v>62000</v>
      </c>
      <c r="M1" s="344" t="s">
        <v>79</v>
      </c>
      <c r="N1" s="345"/>
      <c r="O1" s="1"/>
      <c r="P1" s="19">
        <v>63000</v>
      </c>
      <c r="Q1" s="344" t="s">
        <v>65</v>
      </c>
      <c r="R1" s="345"/>
      <c r="S1" s="1"/>
      <c r="T1" s="19">
        <v>63001</v>
      </c>
      <c r="U1" s="344" t="s">
        <v>204</v>
      </c>
      <c r="V1" s="345"/>
      <c r="W1" s="1"/>
      <c r="X1" s="19">
        <v>63002</v>
      </c>
      <c r="Y1" s="344" t="s">
        <v>230</v>
      </c>
      <c r="Z1" s="345"/>
      <c r="AA1" s="1"/>
      <c r="AB1" s="19">
        <v>64000</v>
      </c>
      <c r="AC1" s="344" t="s">
        <v>80</v>
      </c>
      <c r="AD1" s="345"/>
      <c r="AE1" s="1"/>
      <c r="AF1" s="19">
        <v>65000</v>
      </c>
      <c r="AG1" s="344" t="s">
        <v>66</v>
      </c>
      <c r="AH1" s="345"/>
      <c r="AI1" s="1"/>
      <c r="AJ1" s="19"/>
      <c r="AK1" s="344"/>
      <c r="AL1" s="34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thickBot="1" x14ac:dyDescent="0.35">
      <c r="A2" s="32"/>
      <c r="B2" s="341" t="s">
        <v>75</v>
      </c>
      <c r="C2" s="341"/>
      <c r="D2" s="14"/>
      <c r="E2" s="15"/>
      <c r="F2" s="16"/>
      <c r="G2" s="2"/>
      <c r="H2" s="14"/>
      <c r="I2" s="15"/>
      <c r="J2" s="16"/>
      <c r="K2" s="2"/>
      <c r="L2" s="14"/>
      <c r="M2" s="15"/>
      <c r="N2" s="16"/>
      <c r="O2" s="2"/>
      <c r="P2" s="14"/>
      <c r="Q2" s="15"/>
      <c r="R2" s="16"/>
      <c r="S2" s="2"/>
      <c r="T2" s="14"/>
      <c r="U2" s="15"/>
      <c r="V2" s="16"/>
      <c r="W2" s="2"/>
      <c r="X2" s="14"/>
      <c r="Y2" s="15"/>
      <c r="Z2" s="16"/>
      <c r="AA2" s="2"/>
      <c r="AB2" s="14"/>
      <c r="AC2" s="15"/>
      <c r="AD2" s="16"/>
      <c r="AE2" s="2"/>
      <c r="AF2" s="14"/>
      <c r="AG2" s="15"/>
      <c r="AH2" s="16"/>
      <c r="AI2" s="2"/>
      <c r="AJ2" s="14"/>
      <c r="AK2" s="15"/>
      <c r="AL2" s="16"/>
      <c r="AN2" s="254" t="s">
        <v>52</v>
      </c>
      <c r="AO2" s="254" t="s">
        <v>52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" thickBot="1" x14ac:dyDescent="0.35">
      <c r="B3" s="3" t="s">
        <v>0</v>
      </c>
      <c r="C3" s="18" t="s">
        <v>47</v>
      </c>
      <c r="D3" s="29" t="s">
        <v>344</v>
      </c>
      <c r="E3" s="30" t="s">
        <v>70</v>
      </c>
      <c r="F3" s="31" t="s">
        <v>343</v>
      </c>
      <c r="G3" s="4"/>
      <c r="H3" s="29" t="s">
        <v>344</v>
      </c>
      <c r="I3" s="30" t="s">
        <v>70</v>
      </c>
      <c r="J3" s="31" t="s">
        <v>343</v>
      </c>
      <c r="K3" s="4"/>
      <c r="L3" s="29" t="s">
        <v>344</v>
      </c>
      <c r="M3" s="30" t="s">
        <v>70</v>
      </c>
      <c r="N3" s="31" t="s">
        <v>343</v>
      </c>
      <c r="O3" s="4"/>
      <c r="P3" s="29" t="s">
        <v>344</v>
      </c>
      <c r="Q3" s="30" t="s">
        <v>70</v>
      </c>
      <c r="R3" s="31" t="s">
        <v>343</v>
      </c>
      <c r="S3" s="4"/>
      <c r="T3" s="29" t="s">
        <v>344</v>
      </c>
      <c r="U3" s="30" t="s">
        <v>70</v>
      </c>
      <c r="V3" s="31" t="s">
        <v>343</v>
      </c>
      <c r="W3" s="4"/>
      <c r="X3" s="29" t="s">
        <v>344</v>
      </c>
      <c r="Y3" s="30" t="s">
        <v>70</v>
      </c>
      <c r="Z3" s="31" t="s">
        <v>343</v>
      </c>
      <c r="AA3" s="4"/>
      <c r="AB3" s="29" t="s">
        <v>342</v>
      </c>
      <c r="AC3" s="30" t="s">
        <v>70</v>
      </c>
      <c r="AD3" s="31" t="s">
        <v>343</v>
      </c>
      <c r="AE3" s="4"/>
      <c r="AF3" s="29" t="s">
        <v>342</v>
      </c>
      <c r="AG3" s="30" t="s">
        <v>70</v>
      </c>
      <c r="AH3" s="31" t="s">
        <v>343</v>
      </c>
      <c r="AI3" s="4"/>
      <c r="AJ3" s="29" t="s">
        <v>304</v>
      </c>
      <c r="AK3" s="30" t="s">
        <v>70</v>
      </c>
      <c r="AL3" s="31" t="s">
        <v>203</v>
      </c>
      <c r="AN3" s="109" t="s">
        <v>367</v>
      </c>
      <c r="AO3" s="109" t="s">
        <v>368</v>
      </c>
      <c r="AP3" s="263" t="s">
        <v>0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5" thickBot="1" x14ac:dyDescent="0.35">
      <c r="A4" s="5" t="s">
        <v>45</v>
      </c>
      <c r="B4" s="6">
        <v>3100</v>
      </c>
      <c r="C4" s="17" t="s">
        <v>3</v>
      </c>
      <c r="D4" s="80"/>
      <c r="E4" s="81"/>
      <c r="F4" s="82"/>
      <c r="G4" s="83"/>
      <c r="H4" s="80"/>
      <c r="I4" s="81"/>
      <c r="J4" s="82"/>
      <c r="K4" s="83"/>
      <c r="L4" s="80"/>
      <c r="M4" s="81"/>
      <c r="N4" s="82"/>
      <c r="O4" s="83"/>
      <c r="P4" s="80"/>
      <c r="Q4" s="81"/>
      <c r="R4" s="82"/>
      <c r="S4" s="83"/>
      <c r="T4" s="80"/>
      <c r="U4" s="81"/>
      <c r="V4" s="82"/>
      <c r="W4" s="83"/>
      <c r="X4" s="80"/>
      <c r="Y4" s="81"/>
      <c r="Z4" s="82"/>
      <c r="AA4" s="83"/>
      <c r="AB4" s="80"/>
      <c r="AC4" s="81"/>
      <c r="AD4" s="82"/>
      <c r="AE4" s="83"/>
      <c r="AF4" s="80"/>
      <c r="AG4" s="81"/>
      <c r="AH4" s="82"/>
      <c r="AI4" s="83"/>
      <c r="AJ4" s="80"/>
      <c r="AK4" s="81"/>
      <c r="AL4" s="82"/>
      <c r="AM4" s="83"/>
      <c r="AN4" s="288">
        <f>SUM(F4+J4+N4+R4+V4+Z4+AD4+AH4+AL4)</f>
        <v>0</v>
      </c>
      <c r="AO4" s="288">
        <f>SUM(D4+H4+L4+P4+T4+X4+AB4+AF4+AJ4)</f>
        <v>0</v>
      </c>
      <c r="AP4" s="256">
        <v>3100</v>
      </c>
    </row>
    <row r="5" spans="1:54" ht="15" hidden="1" thickBot="1" x14ac:dyDescent="0.35">
      <c r="B5" s="6">
        <v>3120</v>
      </c>
      <c r="C5" s="7" t="s">
        <v>4</v>
      </c>
      <c r="D5" s="80"/>
      <c r="E5" s="81"/>
      <c r="F5" s="82"/>
      <c r="G5" s="83"/>
      <c r="H5" s="80"/>
      <c r="I5" s="81"/>
      <c r="J5" s="82"/>
      <c r="K5" s="83"/>
      <c r="L5" s="80"/>
      <c r="M5" s="81"/>
      <c r="N5" s="82"/>
      <c r="O5" s="83"/>
      <c r="P5" s="80"/>
      <c r="Q5" s="81"/>
      <c r="R5" s="82"/>
      <c r="S5" s="83"/>
      <c r="T5" s="80"/>
      <c r="U5" s="81"/>
      <c r="V5" s="82"/>
      <c r="W5" s="83"/>
      <c r="X5" s="80"/>
      <c r="Y5" s="81"/>
      <c r="Z5" s="82"/>
      <c r="AA5" s="83"/>
      <c r="AB5" s="80"/>
      <c r="AC5" s="81"/>
      <c r="AD5" s="82"/>
      <c r="AE5" s="83"/>
      <c r="AF5" s="80"/>
      <c r="AG5" s="81"/>
      <c r="AH5" s="82"/>
      <c r="AI5" s="83"/>
      <c r="AJ5" s="80"/>
      <c r="AK5" s="81"/>
      <c r="AL5" s="82"/>
      <c r="AM5" s="83"/>
      <c r="AN5" s="288">
        <f t="shared" ref="AN5:AN56" si="0">SUM(F5+J5+N5+R5+V5+Z5+AD5+AH5+AL5)</f>
        <v>0</v>
      </c>
      <c r="AO5" s="288">
        <f t="shared" ref="AO5:AO56" si="1">SUM(D5+H5+L5+P5+T5+X5+AB5+AF5+AJ5)</f>
        <v>0</v>
      </c>
      <c r="AP5" s="256">
        <v>3120</v>
      </c>
    </row>
    <row r="6" spans="1:54" ht="15" hidden="1" thickBot="1" x14ac:dyDescent="0.35">
      <c r="B6" s="6">
        <v>3400</v>
      </c>
      <c r="C6" s="7" t="s">
        <v>5</v>
      </c>
      <c r="D6" s="80"/>
      <c r="E6" s="81"/>
      <c r="F6" s="82"/>
      <c r="G6" s="83"/>
      <c r="H6" s="80"/>
      <c r="I6" s="81"/>
      <c r="J6" s="82"/>
      <c r="K6" s="83"/>
      <c r="L6" s="80"/>
      <c r="M6" s="81"/>
      <c r="N6" s="82"/>
      <c r="O6" s="83"/>
      <c r="P6" s="80"/>
      <c r="Q6" s="81"/>
      <c r="R6" s="82"/>
      <c r="S6" s="83"/>
      <c r="T6" s="80"/>
      <c r="U6" s="81"/>
      <c r="V6" s="82"/>
      <c r="W6" s="83"/>
      <c r="X6" s="80"/>
      <c r="Y6" s="81"/>
      <c r="Z6" s="82"/>
      <c r="AA6" s="83"/>
      <c r="AB6" s="80"/>
      <c r="AC6" s="81"/>
      <c r="AD6" s="82"/>
      <c r="AE6" s="83"/>
      <c r="AF6" s="80"/>
      <c r="AG6" s="81"/>
      <c r="AH6" s="82"/>
      <c r="AI6" s="83"/>
      <c r="AJ6" s="80"/>
      <c r="AK6" s="81"/>
      <c r="AL6" s="82"/>
      <c r="AM6" s="83"/>
      <c r="AN6" s="288">
        <f t="shared" si="0"/>
        <v>0</v>
      </c>
      <c r="AO6" s="288">
        <f t="shared" si="1"/>
        <v>0</v>
      </c>
      <c r="AP6" s="256">
        <v>3400</v>
      </c>
    </row>
    <row r="7" spans="1:54" ht="15" hidden="1" thickBot="1" x14ac:dyDescent="0.35">
      <c r="B7" s="6">
        <v>3410</v>
      </c>
      <c r="C7" s="7" t="s">
        <v>6</v>
      </c>
      <c r="D7" s="80"/>
      <c r="E7" s="81"/>
      <c r="F7" s="82"/>
      <c r="G7" s="83"/>
      <c r="H7" s="80"/>
      <c r="I7" s="81"/>
      <c r="J7" s="82"/>
      <c r="K7" s="83"/>
      <c r="L7" s="80"/>
      <c r="M7" s="81"/>
      <c r="N7" s="82"/>
      <c r="O7" s="83"/>
      <c r="P7" s="80"/>
      <c r="Q7" s="81"/>
      <c r="R7" s="82"/>
      <c r="S7" s="83"/>
      <c r="T7" s="80"/>
      <c r="U7" s="81"/>
      <c r="V7" s="82"/>
      <c r="W7" s="83"/>
      <c r="X7" s="80"/>
      <c r="Y7" s="81"/>
      <c r="Z7" s="82"/>
      <c r="AA7" s="83"/>
      <c r="AB7" s="80"/>
      <c r="AC7" s="81"/>
      <c r="AD7" s="82"/>
      <c r="AE7" s="83"/>
      <c r="AF7" s="80"/>
      <c r="AG7" s="81"/>
      <c r="AH7" s="82"/>
      <c r="AI7" s="83"/>
      <c r="AJ7" s="80"/>
      <c r="AK7" s="81"/>
      <c r="AL7" s="82"/>
      <c r="AM7" s="83"/>
      <c r="AN7" s="288">
        <f t="shared" si="0"/>
        <v>0</v>
      </c>
      <c r="AO7" s="288">
        <f t="shared" si="1"/>
        <v>0</v>
      </c>
      <c r="AP7" s="256">
        <v>3410</v>
      </c>
    </row>
    <row r="8" spans="1:54" ht="15" hidden="1" thickBot="1" x14ac:dyDescent="0.35">
      <c r="B8" s="6">
        <v>3900</v>
      </c>
      <c r="C8" s="7" t="s">
        <v>7</v>
      </c>
      <c r="D8" s="80"/>
      <c r="E8" s="81"/>
      <c r="F8" s="82"/>
      <c r="G8" s="83"/>
      <c r="H8" s="80"/>
      <c r="I8" s="81"/>
      <c r="J8" s="82"/>
      <c r="K8" s="83"/>
      <c r="L8" s="80"/>
      <c r="M8" s="81"/>
      <c r="N8" s="82"/>
      <c r="O8" s="83"/>
      <c r="P8" s="80"/>
      <c r="Q8" s="81"/>
      <c r="R8" s="82"/>
      <c r="S8" s="83"/>
      <c r="T8" s="80"/>
      <c r="U8" s="81"/>
      <c r="V8" s="82"/>
      <c r="W8" s="83"/>
      <c r="X8" s="80"/>
      <c r="Y8" s="81"/>
      <c r="Z8" s="82"/>
      <c r="AA8" s="83"/>
      <c r="AB8" s="80"/>
      <c r="AC8" s="81"/>
      <c r="AD8" s="82"/>
      <c r="AE8" s="83"/>
      <c r="AF8" s="80"/>
      <c r="AG8" s="81"/>
      <c r="AH8" s="82"/>
      <c r="AI8" s="83"/>
      <c r="AJ8" s="80"/>
      <c r="AK8" s="81"/>
      <c r="AL8" s="82"/>
      <c r="AM8" s="83"/>
      <c r="AN8" s="288">
        <f t="shared" si="0"/>
        <v>0</v>
      </c>
      <c r="AO8" s="288">
        <f t="shared" si="1"/>
        <v>0</v>
      </c>
      <c r="AP8" s="256">
        <v>3900</v>
      </c>
    </row>
    <row r="9" spans="1:54" ht="15" hidden="1" thickBot="1" x14ac:dyDescent="0.35">
      <c r="B9" s="6">
        <v>3910</v>
      </c>
      <c r="C9" s="7" t="s">
        <v>8</v>
      </c>
      <c r="D9" s="80"/>
      <c r="E9" s="81"/>
      <c r="F9" s="82"/>
      <c r="G9" s="83"/>
      <c r="H9" s="80"/>
      <c r="I9" s="81"/>
      <c r="J9" s="82"/>
      <c r="K9" s="83"/>
      <c r="L9" s="80"/>
      <c r="M9" s="81"/>
      <c r="N9" s="82"/>
      <c r="O9" s="83"/>
      <c r="P9" s="80"/>
      <c r="Q9" s="81"/>
      <c r="R9" s="82"/>
      <c r="S9" s="83"/>
      <c r="T9" s="80"/>
      <c r="U9" s="81"/>
      <c r="V9" s="82"/>
      <c r="W9" s="83"/>
      <c r="X9" s="80"/>
      <c r="Y9" s="81"/>
      <c r="Z9" s="82"/>
      <c r="AA9" s="83"/>
      <c r="AB9" s="80"/>
      <c r="AC9" s="81"/>
      <c r="AD9" s="82"/>
      <c r="AE9" s="83"/>
      <c r="AF9" s="80"/>
      <c r="AG9" s="81"/>
      <c r="AH9" s="82"/>
      <c r="AI9" s="83"/>
      <c r="AJ9" s="80"/>
      <c r="AK9" s="81"/>
      <c r="AL9" s="82"/>
      <c r="AM9" s="83"/>
      <c r="AN9" s="288">
        <f t="shared" si="0"/>
        <v>0</v>
      </c>
      <c r="AO9" s="288">
        <f t="shared" si="1"/>
        <v>0</v>
      </c>
      <c r="AP9" s="256">
        <v>3910</v>
      </c>
    </row>
    <row r="10" spans="1:54" ht="15" hidden="1" thickBot="1" x14ac:dyDescent="0.35">
      <c r="B10" s="8">
        <v>3950</v>
      </c>
      <c r="C10" s="9" t="s">
        <v>9</v>
      </c>
      <c r="D10" s="84"/>
      <c r="E10" s="85"/>
      <c r="F10" s="86"/>
      <c r="G10" s="83"/>
      <c r="H10" s="84"/>
      <c r="I10" s="85"/>
      <c r="J10" s="86"/>
      <c r="K10" s="83"/>
      <c r="L10" s="84"/>
      <c r="M10" s="85"/>
      <c r="N10" s="86"/>
      <c r="O10" s="83"/>
      <c r="P10" s="84"/>
      <c r="Q10" s="85"/>
      <c r="R10" s="86"/>
      <c r="S10" s="83"/>
      <c r="T10" s="84"/>
      <c r="U10" s="85"/>
      <c r="V10" s="86"/>
      <c r="W10" s="83"/>
      <c r="X10" s="84"/>
      <c r="Y10" s="85"/>
      <c r="Z10" s="86"/>
      <c r="AA10" s="83"/>
      <c r="AB10" s="84"/>
      <c r="AC10" s="85"/>
      <c r="AD10" s="86"/>
      <c r="AE10" s="83"/>
      <c r="AF10" s="84"/>
      <c r="AG10" s="85"/>
      <c r="AH10" s="86"/>
      <c r="AI10" s="83"/>
      <c r="AJ10" s="84"/>
      <c r="AK10" s="85"/>
      <c r="AL10" s="86"/>
      <c r="AM10" s="83"/>
      <c r="AN10" s="288">
        <f t="shared" si="0"/>
        <v>0</v>
      </c>
      <c r="AO10" s="288">
        <f t="shared" si="1"/>
        <v>0</v>
      </c>
      <c r="AP10" s="258">
        <v>3950</v>
      </c>
    </row>
    <row r="11" spans="1:54" ht="15" thickBot="1" x14ac:dyDescent="0.35">
      <c r="B11" s="24"/>
      <c r="C11" s="25" t="s">
        <v>73</v>
      </c>
      <c r="D11" s="87">
        <f>SUM(D4:D10)</f>
        <v>0</v>
      </c>
      <c r="E11" s="87"/>
      <c r="F11" s="87">
        <f t="shared" ref="F11" si="2">SUM(F4:F10)</f>
        <v>0</v>
      </c>
      <c r="G11" s="83"/>
      <c r="H11" s="87">
        <f t="shared" ref="H11:J11" si="3">SUM(H4:H10)</f>
        <v>0</v>
      </c>
      <c r="I11" s="87"/>
      <c r="J11" s="87">
        <f t="shared" si="3"/>
        <v>0</v>
      </c>
      <c r="K11" s="83"/>
      <c r="L11" s="87">
        <f t="shared" ref="L11:N11" si="4">SUM(L4:L10)</f>
        <v>0</v>
      </c>
      <c r="M11" s="87"/>
      <c r="N11" s="87">
        <f t="shared" si="4"/>
        <v>0</v>
      </c>
      <c r="O11" s="83"/>
      <c r="P11" s="87">
        <f t="shared" ref="P11:R11" si="5">SUM(P4:P10)</f>
        <v>0</v>
      </c>
      <c r="Q11" s="87"/>
      <c r="R11" s="87">
        <f t="shared" si="5"/>
        <v>0</v>
      </c>
      <c r="S11" s="83"/>
      <c r="T11" s="87">
        <f t="shared" ref="T11" si="6">SUM(T4:T10)</f>
        <v>0</v>
      </c>
      <c r="U11" s="87"/>
      <c r="V11" s="87">
        <f>SUM(V4)</f>
        <v>0</v>
      </c>
      <c r="W11" s="83"/>
      <c r="X11" s="87">
        <f t="shared" ref="X11" si="7">SUM(X4:X10)</f>
        <v>0</v>
      </c>
      <c r="Y11" s="87"/>
      <c r="Z11" s="87"/>
      <c r="AA11" s="83"/>
      <c r="AB11" s="87">
        <f t="shared" ref="AB11:AD11" si="8">SUM(AB4:AB10)</f>
        <v>0</v>
      </c>
      <c r="AC11" s="87"/>
      <c r="AD11" s="87">
        <f t="shared" si="8"/>
        <v>0</v>
      </c>
      <c r="AE11" s="83"/>
      <c r="AF11" s="87">
        <f t="shared" ref="AF11:AH11" si="9">SUM(AF4:AF10)</f>
        <v>0</v>
      </c>
      <c r="AG11" s="87"/>
      <c r="AH11" s="87">
        <f t="shared" si="9"/>
        <v>0</v>
      </c>
      <c r="AI11" s="83"/>
      <c r="AJ11" s="87">
        <f t="shared" ref="AJ11" si="10">SUM(AJ4:AJ10)</f>
        <v>0</v>
      </c>
      <c r="AK11" s="87"/>
      <c r="AL11" s="87"/>
      <c r="AM11" s="83"/>
      <c r="AN11" s="95">
        <f t="shared" si="0"/>
        <v>0</v>
      </c>
      <c r="AO11" s="95">
        <f t="shared" si="1"/>
        <v>0</v>
      </c>
      <c r="AP11" s="257"/>
    </row>
    <row r="12" spans="1:54" ht="15" thickBot="1" x14ac:dyDescent="0.35">
      <c r="A12" s="21" t="s">
        <v>46</v>
      </c>
      <c r="B12" s="20">
        <v>5000</v>
      </c>
      <c r="C12" s="23" t="s">
        <v>10</v>
      </c>
      <c r="D12" s="90">
        <f>Lønnsmatrise!H59+Lønnsmatrise!H30</f>
        <v>151365.84999999998</v>
      </c>
      <c r="E12" s="81"/>
      <c r="F12" s="82"/>
      <c r="G12" s="83"/>
      <c r="H12" s="90"/>
      <c r="I12" s="81"/>
      <c r="J12" s="82"/>
      <c r="K12" s="83"/>
      <c r="L12" s="90"/>
      <c r="M12" s="81"/>
      <c r="N12" s="82"/>
      <c r="O12" s="83"/>
      <c r="P12" s="90"/>
      <c r="Q12" s="81"/>
      <c r="R12" s="82"/>
      <c r="S12" s="83"/>
      <c r="T12" s="90"/>
      <c r="U12" s="81"/>
      <c r="V12" s="82"/>
      <c r="W12" s="83"/>
      <c r="X12" s="90"/>
      <c r="Y12" s="81"/>
      <c r="Z12" s="82"/>
      <c r="AA12" s="83"/>
      <c r="AB12" s="90"/>
      <c r="AC12" s="81"/>
      <c r="AD12" s="82"/>
      <c r="AE12" s="83"/>
      <c r="AF12" s="90"/>
      <c r="AG12" s="81"/>
      <c r="AH12" s="82"/>
      <c r="AI12" s="83"/>
      <c r="AJ12" s="90"/>
      <c r="AK12" s="81"/>
      <c r="AL12" s="82"/>
      <c r="AM12" s="83"/>
      <c r="AN12" s="288">
        <f t="shared" si="0"/>
        <v>0</v>
      </c>
      <c r="AO12" s="288">
        <f t="shared" si="1"/>
        <v>151365.84999999998</v>
      </c>
      <c r="AP12" s="50">
        <v>5000</v>
      </c>
    </row>
    <row r="13" spans="1:54" hidden="1" x14ac:dyDescent="0.3">
      <c r="B13" s="6">
        <v>5001</v>
      </c>
      <c r="C13" s="11" t="s">
        <v>11</v>
      </c>
      <c r="D13" s="90">
        <f>Lønnsmatrise!H60</f>
        <v>0</v>
      </c>
      <c r="E13" s="81"/>
      <c r="F13" s="82"/>
      <c r="G13" s="83"/>
      <c r="H13" s="90"/>
      <c r="I13" s="81"/>
      <c r="J13" s="82"/>
      <c r="K13" s="83"/>
      <c r="L13" s="90"/>
      <c r="M13" s="81"/>
      <c r="N13" s="82"/>
      <c r="O13" s="83"/>
      <c r="P13" s="90"/>
      <c r="Q13" s="81"/>
      <c r="R13" s="82"/>
      <c r="S13" s="83"/>
      <c r="T13" s="90"/>
      <c r="U13" s="81"/>
      <c r="V13" s="82"/>
      <c r="W13" s="83"/>
      <c r="X13" s="90"/>
      <c r="Y13" s="81"/>
      <c r="Z13" s="82"/>
      <c r="AA13" s="83"/>
      <c r="AB13" s="90"/>
      <c r="AC13" s="81"/>
      <c r="AD13" s="82"/>
      <c r="AE13" s="83"/>
      <c r="AF13" s="90"/>
      <c r="AG13" s="81"/>
      <c r="AH13" s="82"/>
      <c r="AI13" s="83"/>
      <c r="AJ13" s="90"/>
      <c r="AK13" s="81"/>
      <c r="AL13" s="82"/>
      <c r="AM13" s="83"/>
      <c r="AN13" s="288">
        <f t="shared" si="0"/>
        <v>0</v>
      </c>
      <c r="AO13" s="288">
        <f t="shared" si="1"/>
        <v>0</v>
      </c>
      <c r="AP13" s="256">
        <v>5001</v>
      </c>
    </row>
    <row r="14" spans="1:54" x14ac:dyDescent="0.3">
      <c r="B14" s="6">
        <v>5004</v>
      </c>
      <c r="C14" s="11" t="s">
        <v>12</v>
      </c>
      <c r="D14" s="90">
        <f>Lønnsmatrise!H61</f>
        <v>0</v>
      </c>
      <c r="E14" s="81"/>
      <c r="F14" s="82"/>
      <c r="G14" s="83"/>
      <c r="H14" s="90">
        <v>6000</v>
      </c>
      <c r="I14" s="81"/>
      <c r="J14" s="82"/>
      <c r="K14" s="83"/>
      <c r="L14" s="90"/>
      <c r="M14" s="81"/>
      <c r="N14" s="82"/>
      <c r="O14" s="83"/>
      <c r="P14" s="90"/>
      <c r="Q14" s="81"/>
      <c r="R14" s="82"/>
      <c r="S14" s="83"/>
      <c r="T14" s="90"/>
      <c r="U14" s="81"/>
      <c r="V14" s="82"/>
      <c r="W14" s="83"/>
      <c r="X14" s="90"/>
      <c r="Y14" s="81"/>
      <c r="Z14" s="82"/>
      <c r="AA14" s="83"/>
      <c r="AB14" s="90"/>
      <c r="AC14" s="81"/>
      <c r="AD14" s="82"/>
      <c r="AE14" s="83"/>
      <c r="AF14" s="90"/>
      <c r="AG14" s="81"/>
      <c r="AH14" s="82"/>
      <c r="AI14" s="83"/>
      <c r="AJ14" s="90"/>
      <c r="AK14" s="81"/>
      <c r="AL14" s="82"/>
      <c r="AM14" s="83"/>
      <c r="AN14" s="288">
        <f t="shared" si="0"/>
        <v>0</v>
      </c>
      <c r="AO14" s="288">
        <f t="shared" si="1"/>
        <v>6000</v>
      </c>
      <c r="AP14" s="256">
        <v>5004</v>
      </c>
    </row>
    <row r="15" spans="1:54" x14ac:dyDescent="0.3">
      <c r="A15" s="10"/>
      <c r="B15" s="6">
        <v>5180</v>
      </c>
      <c r="C15" s="11" t="s">
        <v>13</v>
      </c>
      <c r="D15" s="90">
        <f>Lønnsmatrise!H62+Lønnsmatrise!H33</f>
        <v>18163.901999999998</v>
      </c>
      <c r="E15" s="81"/>
      <c r="F15" s="82"/>
      <c r="G15" s="83"/>
      <c r="H15" s="90">
        <f>SUM(H12*0.12)</f>
        <v>0</v>
      </c>
      <c r="I15" s="81"/>
      <c r="J15" s="82"/>
      <c r="K15" s="83"/>
      <c r="L15" s="90">
        <f>SUM(L12*0.12)</f>
        <v>0</v>
      </c>
      <c r="M15" s="81"/>
      <c r="N15" s="82"/>
      <c r="O15" s="83"/>
      <c r="P15" s="90">
        <f>SUM(P12*0.12)</f>
        <v>0</v>
      </c>
      <c r="Q15" s="81"/>
      <c r="R15" s="82"/>
      <c r="S15" s="83"/>
      <c r="T15" s="90">
        <f>SUM(T12*0.12)</f>
        <v>0</v>
      </c>
      <c r="U15" s="81"/>
      <c r="V15" s="82"/>
      <c r="W15" s="83"/>
      <c r="X15" s="90">
        <f>SUM(X12*0.12)</f>
        <v>0</v>
      </c>
      <c r="Y15" s="81"/>
      <c r="Z15" s="82"/>
      <c r="AA15" s="83"/>
      <c r="AB15" s="90">
        <f>SUM(AB12*0.12)</f>
        <v>0</v>
      </c>
      <c r="AC15" s="81"/>
      <c r="AD15" s="82"/>
      <c r="AE15" s="83"/>
      <c r="AF15" s="90">
        <f>SUM(AF12*0.12)</f>
        <v>0</v>
      </c>
      <c r="AG15" s="81"/>
      <c r="AH15" s="82"/>
      <c r="AI15" s="83"/>
      <c r="AJ15" s="90">
        <f>SUM(AJ12*0.12)</f>
        <v>0</v>
      </c>
      <c r="AK15" s="81"/>
      <c r="AL15" s="82"/>
      <c r="AM15" s="83"/>
      <c r="AN15" s="288">
        <f t="shared" si="0"/>
        <v>0</v>
      </c>
      <c r="AO15" s="288">
        <f t="shared" si="1"/>
        <v>18163.901999999998</v>
      </c>
      <c r="AP15" s="256">
        <v>5180</v>
      </c>
    </row>
    <row r="16" spans="1:54" x14ac:dyDescent="0.3">
      <c r="A16" s="10"/>
      <c r="B16" s="6">
        <v>5182</v>
      </c>
      <c r="C16" s="11" t="s">
        <v>14</v>
      </c>
      <c r="D16" s="90">
        <f>Lønnsmatrise!H63+Lønnsmatrise!H34</f>
        <v>2561.1101819999994</v>
      </c>
      <c r="E16" s="81"/>
      <c r="F16" s="82"/>
      <c r="G16" s="83"/>
      <c r="H16" s="90">
        <f>SUM(H15*0.141)</f>
        <v>0</v>
      </c>
      <c r="I16" s="81"/>
      <c r="J16" s="82"/>
      <c r="K16" s="83"/>
      <c r="L16" s="90">
        <f>SUM(L15*0.141)</f>
        <v>0</v>
      </c>
      <c r="M16" s="81"/>
      <c r="N16" s="82"/>
      <c r="O16" s="83"/>
      <c r="P16" s="90">
        <f>SUM(P15*0.141)</f>
        <v>0</v>
      </c>
      <c r="Q16" s="81"/>
      <c r="R16" s="82"/>
      <c r="S16" s="83"/>
      <c r="T16" s="90">
        <f>SUM(T15*0.141)</f>
        <v>0</v>
      </c>
      <c r="U16" s="81"/>
      <c r="V16" s="82"/>
      <c r="W16" s="83"/>
      <c r="X16" s="90">
        <f>SUM(X15*0.141)</f>
        <v>0</v>
      </c>
      <c r="Y16" s="81"/>
      <c r="Z16" s="82"/>
      <c r="AA16" s="83"/>
      <c r="AB16" s="90">
        <f>SUM(AB15*0.141)</f>
        <v>0</v>
      </c>
      <c r="AC16" s="81"/>
      <c r="AD16" s="82"/>
      <c r="AE16" s="83"/>
      <c r="AF16" s="90">
        <f>SUM(AF15*0.141)</f>
        <v>0</v>
      </c>
      <c r="AG16" s="81"/>
      <c r="AH16" s="82"/>
      <c r="AI16" s="83"/>
      <c r="AJ16" s="90">
        <f>SUM(AJ15*0.141)</f>
        <v>0</v>
      </c>
      <c r="AK16" s="81"/>
      <c r="AL16" s="82"/>
      <c r="AM16" s="83"/>
      <c r="AN16" s="288">
        <f t="shared" si="0"/>
        <v>0</v>
      </c>
      <c r="AO16" s="288">
        <f t="shared" si="1"/>
        <v>2561.1101819999994</v>
      </c>
      <c r="AP16" s="256">
        <v>5182</v>
      </c>
    </row>
    <row r="17" spans="1:42" hidden="1" x14ac:dyDescent="0.3">
      <c r="A17" s="10"/>
      <c r="B17" s="6">
        <v>5211</v>
      </c>
      <c r="C17" s="11" t="s">
        <v>15</v>
      </c>
      <c r="D17" s="80"/>
      <c r="E17" s="81"/>
      <c r="F17" s="82"/>
      <c r="G17" s="83"/>
      <c r="H17" s="80"/>
      <c r="I17" s="81"/>
      <c r="J17" s="82"/>
      <c r="K17" s="83"/>
      <c r="L17" s="80"/>
      <c r="M17" s="81"/>
      <c r="N17" s="82"/>
      <c r="O17" s="83"/>
      <c r="P17" s="80"/>
      <c r="Q17" s="81"/>
      <c r="R17" s="82"/>
      <c r="S17" s="83"/>
      <c r="T17" s="80"/>
      <c r="U17" s="81"/>
      <c r="V17" s="82"/>
      <c r="W17" s="83"/>
      <c r="X17" s="80"/>
      <c r="Y17" s="81"/>
      <c r="Z17" s="82"/>
      <c r="AA17" s="83"/>
      <c r="AB17" s="80"/>
      <c r="AC17" s="81"/>
      <c r="AD17" s="82"/>
      <c r="AE17" s="83"/>
      <c r="AF17" s="80"/>
      <c r="AG17" s="81"/>
      <c r="AH17" s="82"/>
      <c r="AI17" s="83"/>
      <c r="AJ17" s="80"/>
      <c r="AK17" s="81"/>
      <c r="AL17" s="82"/>
      <c r="AM17" s="83"/>
      <c r="AN17" s="288">
        <f t="shared" si="0"/>
        <v>0</v>
      </c>
      <c r="AO17" s="288">
        <f t="shared" si="1"/>
        <v>0</v>
      </c>
      <c r="AP17" s="256">
        <v>5211</v>
      </c>
    </row>
    <row r="18" spans="1:42" hidden="1" x14ac:dyDescent="0.3">
      <c r="A18" s="10"/>
      <c r="B18" s="6">
        <v>5230</v>
      </c>
      <c r="C18" s="11" t="s">
        <v>16</v>
      </c>
      <c r="D18" s="80"/>
      <c r="E18" s="81"/>
      <c r="F18" s="82"/>
      <c r="G18" s="83"/>
      <c r="H18" s="80"/>
      <c r="I18" s="81"/>
      <c r="J18" s="82"/>
      <c r="K18" s="83"/>
      <c r="L18" s="80"/>
      <c r="M18" s="81"/>
      <c r="N18" s="82"/>
      <c r="O18" s="83"/>
      <c r="P18" s="80"/>
      <c r="Q18" s="81"/>
      <c r="R18" s="82"/>
      <c r="S18" s="83"/>
      <c r="T18" s="80"/>
      <c r="U18" s="81"/>
      <c r="V18" s="82"/>
      <c r="W18" s="83"/>
      <c r="X18" s="80"/>
      <c r="Y18" s="81"/>
      <c r="Z18" s="82"/>
      <c r="AA18" s="83"/>
      <c r="AB18" s="80"/>
      <c r="AC18" s="81"/>
      <c r="AD18" s="82"/>
      <c r="AE18" s="83"/>
      <c r="AF18" s="80"/>
      <c r="AG18" s="81"/>
      <c r="AH18" s="82"/>
      <c r="AI18" s="83"/>
      <c r="AJ18" s="80"/>
      <c r="AK18" s="81"/>
      <c r="AL18" s="82"/>
      <c r="AM18" s="83"/>
      <c r="AN18" s="288">
        <f t="shared" si="0"/>
        <v>0</v>
      </c>
      <c r="AO18" s="288">
        <f t="shared" si="1"/>
        <v>0</v>
      </c>
      <c r="AP18" s="256">
        <v>5230</v>
      </c>
    </row>
    <row r="19" spans="1:42" x14ac:dyDescent="0.3">
      <c r="A19" s="10"/>
      <c r="B19" s="6">
        <v>5400</v>
      </c>
      <c r="C19" s="11" t="s">
        <v>48</v>
      </c>
      <c r="D19" s="90">
        <f>Lønnsmatrise!H65+Lønnsmatrise!H36</f>
        <v>22691.714092499995</v>
      </c>
      <c r="E19" s="81"/>
      <c r="F19" s="82"/>
      <c r="G19" s="83"/>
      <c r="H19" s="90">
        <f>SUM((H12+H13+H14+H17+H18)*0.141)</f>
        <v>845.99999999999989</v>
      </c>
      <c r="I19" s="81"/>
      <c r="J19" s="82"/>
      <c r="K19" s="83"/>
      <c r="L19" s="90">
        <f>SUM((L12+L13+L14+L17+L18)*0.141)</f>
        <v>0</v>
      </c>
      <c r="M19" s="81"/>
      <c r="N19" s="82"/>
      <c r="O19" s="83"/>
      <c r="P19" s="90">
        <f>SUM((P12+P13+P14+P17+P18)*0.141)</f>
        <v>0</v>
      </c>
      <c r="Q19" s="81"/>
      <c r="R19" s="82"/>
      <c r="S19" s="83"/>
      <c r="T19" s="90">
        <f>SUM((T12+T13+T14+T17+T18)*0.141)</f>
        <v>0</v>
      </c>
      <c r="U19" s="81"/>
      <c r="V19" s="82"/>
      <c r="W19" s="83"/>
      <c r="X19" s="90">
        <f>SUM((X12+X13+X14+X17+X18)*0.141)</f>
        <v>0</v>
      </c>
      <c r="Y19" s="81"/>
      <c r="Z19" s="82"/>
      <c r="AA19" s="83"/>
      <c r="AB19" s="90">
        <f>SUM((AB12+AB13+AB14+AB17+AB18)*0.141)</f>
        <v>0</v>
      </c>
      <c r="AC19" s="81"/>
      <c r="AD19" s="82"/>
      <c r="AE19" s="83"/>
      <c r="AF19" s="90">
        <f>SUM((AF12+AF13+AF14+AF17+AF18)*0.141)</f>
        <v>0</v>
      </c>
      <c r="AG19" s="81"/>
      <c r="AH19" s="82"/>
      <c r="AI19" s="83"/>
      <c r="AJ19" s="90">
        <f>SUM((AJ12+AJ13+AJ14+AJ17+AJ18)*0.141)</f>
        <v>0</v>
      </c>
      <c r="AK19" s="81"/>
      <c r="AL19" s="82"/>
      <c r="AM19" s="83"/>
      <c r="AN19" s="288">
        <f t="shared" si="0"/>
        <v>0</v>
      </c>
      <c r="AO19" s="288">
        <f t="shared" si="1"/>
        <v>23537.714092499995</v>
      </c>
      <c r="AP19" s="256">
        <v>5400</v>
      </c>
    </row>
    <row r="20" spans="1:42" x14ac:dyDescent="0.3">
      <c r="B20" s="6">
        <v>5990</v>
      </c>
      <c r="C20" s="11" t="s">
        <v>17</v>
      </c>
      <c r="D20" s="90">
        <f>Lønnsmatrise!H66+Lønnsmatrise!H35+Lønnsmatrise!H37</f>
        <v>9568.2924999999996</v>
      </c>
      <c r="E20" s="81"/>
      <c r="F20" s="82"/>
      <c r="G20" s="83"/>
      <c r="H20" s="90"/>
      <c r="I20" s="81"/>
      <c r="J20" s="82"/>
      <c r="K20" s="83"/>
      <c r="L20" s="90"/>
      <c r="M20" s="81"/>
      <c r="N20" s="82"/>
      <c r="O20" s="83"/>
      <c r="P20" s="90"/>
      <c r="Q20" s="81"/>
      <c r="R20" s="82"/>
      <c r="S20" s="83"/>
      <c r="T20" s="90"/>
      <c r="U20" s="81"/>
      <c r="V20" s="82"/>
      <c r="W20" s="83"/>
      <c r="X20" s="90"/>
      <c r="Y20" s="81"/>
      <c r="Z20" s="82"/>
      <c r="AA20" s="83"/>
      <c r="AB20" s="90"/>
      <c r="AC20" s="81"/>
      <c r="AD20" s="82"/>
      <c r="AE20" s="83"/>
      <c r="AF20" s="90"/>
      <c r="AG20" s="81"/>
      <c r="AH20" s="82"/>
      <c r="AI20" s="83"/>
      <c r="AJ20" s="90"/>
      <c r="AK20" s="81"/>
      <c r="AL20" s="82"/>
      <c r="AM20" s="83"/>
      <c r="AN20" s="288">
        <f t="shared" si="0"/>
        <v>0</v>
      </c>
      <c r="AO20" s="288">
        <f t="shared" si="1"/>
        <v>9568.2924999999996</v>
      </c>
      <c r="AP20" s="256">
        <v>5990</v>
      </c>
    </row>
    <row r="21" spans="1:42" x14ac:dyDescent="0.3">
      <c r="B21" s="6">
        <v>6110</v>
      </c>
      <c r="C21" s="11" t="s">
        <v>50</v>
      </c>
      <c r="D21" s="80"/>
      <c r="E21" s="81"/>
      <c r="F21" s="82"/>
      <c r="G21" s="83"/>
      <c r="H21" s="80"/>
      <c r="I21" s="81"/>
      <c r="J21" s="82"/>
      <c r="K21" s="83"/>
      <c r="L21" s="80">
        <v>3000</v>
      </c>
      <c r="M21" s="81"/>
      <c r="N21" s="82"/>
      <c r="O21" s="83"/>
      <c r="P21" s="80"/>
      <c r="Q21" s="81"/>
      <c r="R21" s="82"/>
      <c r="S21" s="83"/>
      <c r="T21" s="80"/>
      <c r="U21" s="81"/>
      <c r="V21" s="82"/>
      <c r="W21" s="83"/>
      <c r="X21" s="80"/>
      <c r="Y21" s="81"/>
      <c r="Z21" s="82"/>
      <c r="AA21" s="83"/>
      <c r="AB21" s="80">
        <v>3000</v>
      </c>
      <c r="AC21" s="81"/>
      <c r="AD21" s="82"/>
      <c r="AE21" s="83"/>
      <c r="AF21" s="80"/>
      <c r="AG21" s="81"/>
      <c r="AH21" s="82"/>
      <c r="AI21" s="83"/>
      <c r="AJ21" s="80"/>
      <c r="AK21" s="81"/>
      <c r="AL21" s="82"/>
      <c r="AM21" s="83"/>
      <c r="AN21" s="288">
        <f t="shared" si="0"/>
        <v>0</v>
      </c>
      <c r="AO21" s="288">
        <f t="shared" si="1"/>
        <v>6000</v>
      </c>
      <c r="AP21" s="256">
        <v>6110</v>
      </c>
    </row>
    <row r="22" spans="1:42" x14ac:dyDescent="0.3">
      <c r="B22" s="6">
        <v>6300</v>
      </c>
      <c r="C22" s="11" t="s">
        <v>18</v>
      </c>
      <c r="D22" s="80"/>
      <c r="E22" s="81"/>
      <c r="F22" s="82"/>
      <c r="G22" s="83"/>
      <c r="H22" s="80">
        <v>15000</v>
      </c>
      <c r="I22" s="81"/>
      <c r="J22" s="82"/>
      <c r="K22" s="83"/>
      <c r="L22" s="80"/>
      <c r="M22" s="81"/>
      <c r="N22" s="82"/>
      <c r="O22" s="83"/>
      <c r="P22" s="80"/>
      <c r="Q22" s="81"/>
      <c r="R22" s="82"/>
      <c r="S22" s="83"/>
      <c r="T22" s="80"/>
      <c r="U22" s="81"/>
      <c r="V22" s="82"/>
      <c r="W22" s="83"/>
      <c r="X22" s="80"/>
      <c r="Y22" s="81"/>
      <c r="Z22" s="82"/>
      <c r="AA22" s="83"/>
      <c r="AB22" s="80"/>
      <c r="AC22" s="81"/>
      <c r="AD22" s="82"/>
      <c r="AE22" s="83"/>
      <c r="AF22" s="80"/>
      <c r="AG22" s="81"/>
      <c r="AH22" s="82"/>
      <c r="AI22" s="83"/>
      <c r="AJ22" s="80"/>
      <c r="AK22" s="81"/>
      <c r="AL22" s="82"/>
      <c r="AM22" s="83"/>
      <c r="AN22" s="288">
        <f t="shared" si="0"/>
        <v>0</v>
      </c>
      <c r="AO22" s="288">
        <f t="shared" si="1"/>
        <v>15000</v>
      </c>
      <c r="AP22" s="256">
        <v>6300</v>
      </c>
    </row>
    <row r="23" spans="1:42" hidden="1" x14ac:dyDescent="0.3">
      <c r="B23" s="6">
        <v>6440</v>
      </c>
      <c r="C23" s="11" t="s">
        <v>19</v>
      </c>
      <c r="D23" s="80"/>
      <c r="E23" s="81"/>
      <c r="F23" s="82"/>
      <c r="G23" s="83"/>
      <c r="H23" s="80"/>
      <c r="I23" s="81"/>
      <c r="J23" s="82"/>
      <c r="K23" s="83"/>
      <c r="L23" s="80"/>
      <c r="M23" s="81"/>
      <c r="N23" s="82"/>
      <c r="O23" s="83"/>
      <c r="P23" s="80"/>
      <c r="Q23" s="81"/>
      <c r="R23" s="82"/>
      <c r="S23" s="83"/>
      <c r="T23" s="80"/>
      <c r="U23" s="81"/>
      <c r="V23" s="82"/>
      <c r="W23" s="83"/>
      <c r="X23" s="80"/>
      <c r="Y23" s="81"/>
      <c r="Z23" s="82"/>
      <c r="AA23" s="83"/>
      <c r="AB23" s="80"/>
      <c r="AC23" s="81"/>
      <c r="AD23" s="82"/>
      <c r="AE23" s="83"/>
      <c r="AF23" s="80"/>
      <c r="AG23" s="81"/>
      <c r="AH23" s="82"/>
      <c r="AI23" s="83"/>
      <c r="AJ23" s="80"/>
      <c r="AK23" s="81"/>
      <c r="AL23" s="82"/>
      <c r="AM23" s="83"/>
      <c r="AN23" s="288">
        <f t="shared" si="0"/>
        <v>0</v>
      </c>
      <c r="AO23" s="288">
        <f t="shared" si="1"/>
        <v>0</v>
      </c>
      <c r="AP23" s="256">
        <v>6440</v>
      </c>
    </row>
    <row r="24" spans="1:42" hidden="1" x14ac:dyDescent="0.3">
      <c r="B24" s="6">
        <v>6550</v>
      </c>
      <c r="C24" s="11" t="s">
        <v>20</v>
      </c>
      <c r="D24" s="80"/>
      <c r="E24" s="81"/>
      <c r="F24" s="82"/>
      <c r="G24" s="83"/>
      <c r="H24" s="80"/>
      <c r="I24" s="81"/>
      <c r="J24" s="82"/>
      <c r="K24" s="83"/>
      <c r="L24" s="80"/>
      <c r="M24" s="81"/>
      <c r="N24" s="82"/>
      <c r="O24" s="83"/>
      <c r="P24" s="80"/>
      <c r="Q24" s="81"/>
      <c r="R24" s="82"/>
      <c r="S24" s="83"/>
      <c r="T24" s="80"/>
      <c r="U24" s="81"/>
      <c r="V24" s="82"/>
      <c r="W24" s="83"/>
      <c r="X24" s="80"/>
      <c r="Y24" s="81"/>
      <c r="Z24" s="82"/>
      <c r="AA24" s="83"/>
      <c r="AB24" s="80"/>
      <c r="AC24" s="81"/>
      <c r="AD24" s="82"/>
      <c r="AE24" s="83"/>
      <c r="AF24" s="80"/>
      <c r="AG24" s="81"/>
      <c r="AH24" s="82"/>
      <c r="AI24" s="83"/>
      <c r="AJ24" s="80"/>
      <c r="AK24" s="81"/>
      <c r="AL24" s="82"/>
      <c r="AM24" s="83"/>
      <c r="AN24" s="288">
        <f t="shared" si="0"/>
        <v>0</v>
      </c>
      <c r="AO24" s="288">
        <f t="shared" si="1"/>
        <v>0</v>
      </c>
      <c r="AP24" s="256">
        <v>6550</v>
      </c>
    </row>
    <row r="25" spans="1:42" hidden="1" x14ac:dyDescent="0.3">
      <c r="B25" s="6">
        <v>6560</v>
      </c>
      <c r="C25" s="11" t="s">
        <v>21</v>
      </c>
      <c r="D25" s="80"/>
      <c r="E25" s="81"/>
      <c r="F25" s="82"/>
      <c r="G25" s="83"/>
      <c r="H25" s="80"/>
      <c r="I25" s="81"/>
      <c r="J25" s="82"/>
      <c r="K25" s="83"/>
      <c r="L25" s="80"/>
      <c r="M25" s="81"/>
      <c r="N25" s="82"/>
      <c r="O25" s="83"/>
      <c r="P25" s="80"/>
      <c r="Q25" s="81"/>
      <c r="R25" s="82"/>
      <c r="S25" s="83"/>
      <c r="T25" s="80"/>
      <c r="U25" s="81"/>
      <c r="V25" s="82"/>
      <c r="W25" s="83"/>
      <c r="X25" s="80"/>
      <c r="Y25" s="81"/>
      <c r="Z25" s="82"/>
      <c r="AA25" s="83"/>
      <c r="AB25" s="80"/>
      <c r="AC25" s="81"/>
      <c r="AD25" s="82"/>
      <c r="AE25" s="83"/>
      <c r="AF25" s="80"/>
      <c r="AG25" s="81"/>
      <c r="AH25" s="82"/>
      <c r="AI25" s="83"/>
      <c r="AJ25" s="80"/>
      <c r="AK25" s="81"/>
      <c r="AL25" s="82"/>
      <c r="AM25" s="83"/>
      <c r="AN25" s="288">
        <f t="shared" si="0"/>
        <v>0</v>
      </c>
      <c r="AO25" s="288">
        <f t="shared" si="1"/>
        <v>0</v>
      </c>
      <c r="AP25" s="256">
        <v>6560</v>
      </c>
    </row>
    <row r="26" spans="1:42" x14ac:dyDescent="0.3">
      <c r="B26" s="6">
        <v>6580</v>
      </c>
      <c r="C26" s="11" t="s">
        <v>2</v>
      </c>
      <c r="D26" s="80"/>
      <c r="E26" s="81"/>
      <c r="F26" s="82"/>
      <c r="G26" s="83"/>
      <c r="H26" s="80"/>
      <c r="I26" s="81"/>
      <c r="J26" s="82"/>
      <c r="K26" s="83"/>
      <c r="L26" s="80">
        <v>10000</v>
      </c>
      <c r="M26" s="81"/>
      <c r="N26" s="82"/>
      <c r="O26" s="83"/>
      <c r="P26" s="80"/>
      <c r="Q26" s="81"/>
      <c r="R26" s="82"/>
      <c r="S26" s="83"/>
      <c r="T26" s="80"/>
      <c r="U26" s="81"/>
      <c r="V26" s="82"/>
      <c r="W26" s="83"/>
      <c r="X26" s="80"/>
      <c r="Y26" s="81"/>
      <c r="Z26" s="82"/>
      <c r="AA26" s="83"/>
      <c r="AB26" s="80">
        <v>10000</v>
      </c>
      <c r="AC26" s="81" t="s">
        <v>246</v>
      </c>
      <c r="AD26" s="82"/>
      <c r="AE26" s="83"/>
      <c r="AF26" s="80"/>
      <c r="AG26" s="81"/>
      <c r="AH26" s="82"/>
      <c r="AI26" s="83"/>
      <c r="AJ26" s="80"/>
      <c r="AK26" s="81"/>
      <c r="AL26" s="82"/>
      <c r="AM26" s="83"/>
      <c r="AN26" s="288">
        <f t="shared" si="0"/>
        <v>0</v>
      </c>
      <c r="AO26" s="288">
        <f t="shared" si="1"/>
        <v>20000</v>
      </c>
      <c r="AP26" s="256">
        <v>6580</v>
      </c>
    </row>
    <row r="27" spans="1:42" hidden="1" x14ac:dyDescent="0.3">
      <c r="B27" s="6">
        <v>6800</v>
      </c>
      <c r="C27" s="11" t="s">
        <v>22</v>
      </c>
      <c r="D27" s="80"/>
      <c r="E27" s="81"/>
      <c r="F27" s="82"/>
      <c r="G27" s="83"/>
      <c r="H27" s="80"/>
      <c r="I27" s="81"/>
      <c r="J27" s="82"/>
      <c r="K27" s="83"/>
      <c r="L27" s="80"/>
      <c r="M27" s="81"/>
      <c r="N27" s="82"/>
      <c r="O27" s="83"/>
      <c r="P27" s="80"/>
      <c r="Q27" s="81"/>
      <c r="R27" s="82"/>
      <c r="S27" s="83"/>
      <c r="T27" s="80"/>
      <c r="U27" s="81"/>
      <c r="V27" s="82"/>
      <c r="W27" s="83"/>
      <c r="X27" s="80"/>
      <c r="Y27" s="81"/>
      <c r="Z27" s="82"/>
      <c r="AA27" s="83"/>
      <c r="AB27" s="80"/>
      <c r="AC27" s="81"/>
      <c r="AD27" s="82"/>
      <c r="AE27" s="83"/>
      <c r="AF27" s="80"/>
      <c r="AG27" s="81"/>
      <c r="AH27" s="82"/>
      <c r="AI27" s="83"/>
      <c r="AJ27" s="80"/>
      <c r="AK27" s="81"/>
      <c r="AL27" s="82"/>
      <c r="AM27" s="83"/>
      <c r="AN27" s="288">
        <f t="shared" si="0"/>
        <v>0</v>
      </c>
      <c r="AO27" s="288">
        <f t="shared" si="1"/>
        <v>0</v>
      </c>
      <c r="AP27" s="256">
        <v>6800</v>
      </c>
    </row>
    <row r="28" spans="1:42" hidden="1" x14ac:dyDescent="0.3">
      <c r="B28" s="6">
        <v>6820</v>
      </c>
      <c r="C28" s="11" t="s">
        <v>23</v>
      </c>
      <c r="D28" s="80"/>
      <c r="E28" s="81"/>
      <c r="F28" s="82"/>
      <c r="G28" s="83"/>
      <c r="H28" s="80"/>
      <c r="I28" s="81"/>
      <c r="J28" s="82"/>
      <c r="K28" s="83"/>
      <c r="L28" s="80"/>
      <c r="M28" s="81"/>
      <c r="N28" s="82"/>
      <c r="O28" s="83"/>
      <c r="P28" s="80"/>
      <c r="Q28" s="81"/>
      <c r="R28" s="82"/>
      <c r="S28" s="83"/>
      <c r="T28" s="80"/>
      <c r="U28" s="81"/>
      <c r="V28" s="82"/>
      <c r="W28" s="83"/>
      <c r="X28" s="80"/>
      <c r="Y28" s="81"/>
      <c r="Z28" s="82"/>
      <c r="AA28" s="83"/>
      <c r="AB28" s="80"/>
      <c r="AC28" s="81"/>
      <c r="AD28" s="82"/>
      <c r="AE28" s="83"/>
      <c r="AF28" s="80"/>
      <c r="AG28" s="81"/>
      <c r="AH28" s="82"/>
      <c r="AI28" s="83"/>
      <c r="AJ28" s="80"/>
      <c r="AK28" s="81"/>
      <c r="AL28" s="82"/>
      <c r="AM28" s="83"/>
      <c r="AN28" s="288">
        <f t="shared" si="0"/>
        <v>0</v>
      </c>
      <c r="AO28" s="288">
        <f t="shared" si="1"/>
        <v>0</v>
      </c>
      <c r="AP28" s="256">
        <v>6820</v>
      </c>
    </row>
    <row r="29" spans="1:42" hidden="1" x14ac:dyDescent="0.3">
      <c r="B29" s="6">
        <v>6840</v>
      </c>
      <c r="C29" s="11" t="s">
        <v>24</v>
      </c>
      <c r="D29" s="80"/>
      <c r="E29" s="81"/>
      <c r="F29" s="82"/>
      <c r="G29" s="83"/>
      <c r="H29" s="80"/>
      <c r="I29" s="81"/>
      <c r="J29" s="82"/>
      <c r="K29" s="83"/>
      <c r="L29" s="80"/>
      <c r="M29" s="81"/>
      <c r="N29" s="82"/>
      <c r="O29" s="83"/>
      <c r="P29" s="80"/>
      <c r="Q29" s="81"/>
      <c r="R29" s="82"/>
      <c r="S29" s="83"/>
      <c r="T29" s="80"/>
      <c r="U29" s="81"/>
      <c r="V29" s="82"/>
      <c r="W29" s="83"/>
      <c r="X29" s="80"/>
      <c r="Y29" s="81"/>
      <c r="Z29" s="82"/>
      <c r="AA29" s="83"/>
      <c r="AB29" s="80"/>
      <c r="AC29" s="81"/>
      <c r="AD29" s="82"/>
      <c r="AE29" s="83"/>
      <c r="AF29" s="80"/>
      <c r="AG29" s="81"/>
      <c r="AH29" s="82"/>
      <c r="AI29" s="83"/>
      <c r="AJ29" s="80"/>
      <c r="AK29" s="81"/>
      <c r="AL29" s="82"/>
      <c r="AM29" s="83"/>
      <c r="AN29" s="288">
        <f t="shared" si="0"/>
        <v>0</v>
      </c>
      <c r="AO29" s="288">
        <f t="shared" si="1"/>
        <v>0</v>
      </c>
      <c r="AP29" s="256">
        <v>6840</v>
      </c>
    </row>
    <row r="30" spans="1:42" x14ac:dyDescent="0.3">
      <c r="B30" s="6">
        <v>6860</v>
      </c>
      <c r="C30" s="11" t="s">
        <v>25</v>
      </c>
      <c r="D30" s="80"/>
      <c r="E30" s="81"/>
      <c r="F30" s="82"/>
      <c r="G30" s="83"/>
      <c r="H30" s="80">
        <v>10000</v>
      </c>
      <c r="I30" s="81"/>
      <c r="J30" s="82"/>
      <c r="K30" s="83"/>
      <c r="L30" s="80"/>
      <c r="M30" s="81"/>
      <c r="N30" s="82"/>
      <c r="O30" s="83"/>
      <c r="P30" s="80"/>
      <c r="Q30" s="81"/>
      <c r="R30" s="82"/>
      <c r="S30" s="83"/>
      <c r="T30" s="80"/>
      <c r="U30" s="81"/>
      <c r="V30" s="82"/>
      <c r="W30" s="83"/>
      <c r="X30" s="80"/>
      <c r="Y30" s="81"/>
      <c r="Z30" s="82"/>
      <c r="AA30" s="83"/>
      <c r="AB30" s="80"/>
      <c r="AC30" s="81"/>
      <c r="AD30" s="82"/>
      <c r="AE30" s="83"/>
      <c r="AF30" s="80"/>
      <c r="AG30" s="81"/>
      <c r="AH30" s="82"/>
      <c r="AI30" s="83"/>
      <c r="AJ30" s="80"/>
      <c r="AK30" s="81"/>
      <c r="AL30" s="82"/>
      <c r="AM30" s="83"/>
      <c r="AN30" s="288">
        <f t="shared" si="0"/>
        <v>0</v>
      </c>
      <c r="AO30" s="288">
        <f t="shared" si="1"/>
        <v>10000</v>
      </c>
      <c r="AP30" s="256">
        <v>6860</v>
      </c>
    </row>
    <row r="31" spans="1:42" hidden="1" x14ac:dyDescent="0.3">
      <c r="B31" s="6">
        <v>6910</v>
      </c>
      <c r="C31" s="11" t="s">
        <v>26</v>
      </c>
      <c r="D31" s="80"/>
      <c r="E31" s="81"/>
      <c r="F31" s="82"/>
      <c r="G31" s="83"/>
      <c r="H31" s="80"/>
      <c r="I31" s="81"/>
      <c r="J31" s="82"/>
      <c r="K31" s="83"/>
      <c r="L31" s="80"/>
      <c r="M31" s="81"/>
      <c r="N31" s="82"/>
      <c r="O31" s="83"/>
      <c r="P31" s="80"/>
      <c r="Q31" s="81"/>
      <c r="R31" s="82"/>
      <c r="S31" s="83"/>
      <c r="T31" s="80"/>
      <c r="U31" s="81"/>
      <c r="V31" s="82"/>
      <c r="W31" s="83"/>
      <c r="X31" s="80"/>
      <c r="Y31" s="81"/>
      <c r="Z31" s="82"/>
      <c r="AA31" s="83"/>
      <c r="AB31" s="80"/>
      <c r="AC31" s="81"/>
      <c r="AD31" s="82"/>
      <c r="AE31" s="83"/>
      <c r="AF31" s="80"/>
      <c r="AG31" s="81"/>
      <c r="AH31" s="82"/>
      <c r="AI31" s="83"/>
      <c r="AJ31" s="80"/>
      <c r="AK31" s="81"/>
      <c r="AL31" s="82"/>
      <c r="AM31" s="83"/>
      <c r="AN31" s="288">
        <f t="shared" si="0"/>
        <v>0</v>
      </c>
      <c r="AO31" s="288">
        <f t="shared" si="1"/>
        <v>0</v>
      </c>
      <c r="AP31" s="256">
        <v>6910</v>
      </c>
    </row>
    <row r="32" spans="1:42" hidden="1" x14ac:dyDescent="0.3">
      <c r="B32" s="6">
        <v>6940</v>
      </c>
      <c r="C32" s="11" t="s">
        <v>49</v>
      </c>
      <c r="D32" s="80"/>
      <c r="E32" s="81"/>
      <c r="F32" s="82"/>
      <c r="G32" s="83"/>
      <c r="H32" s="80"/>
      <c r="I32" s="81"/>
      <c r="J32" s="82"/>
      <c r="K32" s="83"/>
      <c r="L32" s="80"/>
      <c r="M32" s="81"/>
      <c r="N32" s="82"/>
      <c r="O32" s="83"/>
      <c r="P32" s="80"/>
      <c r="Q32" s="81"/>
      <c r="R32" s="82"/>
      <c r="S32" s="83"/>
      <c r="T32" s="80"/>
      <c r="U32" s="81"/>
      <c r="V32" s="82"/>
      <c r="W32" s="83"/>
      <c r="X32" s="80"/>
      <c r="Y32" s="81"/>
      <c r="Z32" s="82"/>
      <c r="AA32" s="83"/>
      <c r="AB32" s="80"/>
      <c r="AC32" s="81"/>
      <c r="AD32" s="82"/>
      <c r="AE32" s="83"/>
      <c r="AF32" s="80"/>
      <c r="AG32" s="81"/>
      <c r="AH32" s="82"/>
      <c r="AI32" s="83"/>
      <c r="AJ32" s="80"/>
      <c r="AK32" s="81"/>
      <c r="AL32" s="82"/>
      <c r="AM32" s="83"/>
      <c r="AN32" s="288">
        <f t="shared" si="0"/>
        <v>0</v>
      </c>
      <c r="AO32" s="288">
        <f t="shared" si="1"/>
        <v>0</v>
      </c>
      <c r="AP32" s="256">
        <v>6940</v>
      </c>
    </row>
    <row r="33" spans="2:43" hidden="1" x14ac:dyDescent="0.3">
      <c r="B33" s="6">
        <v>7000</v>
      </c>
      <c r="C33" s="11" t="s">
        <v>27</v>
      </c>
      <c r="D33" s="80"/>
      <c r="E33" s="81"/>
      <c r="F33" s="82"/>
      <c r="G33" s="83"/>
      <c r="H33" s="80"/>
      <c r="I33" s="81"/>
      <c r="J33" s="82"/>
      <c r="K33" s="83"/>
      <c r="L33" s="80"/>
      <c r="M33" s="81"/>
      <c r="N33" s="82"/>
      <c r="O33" s="83"/>
      <c r="P33" s="80"/>
      <c r="Q33" s="81"/>
      <c r="R33" s="82"/>
      <c r="S33" s="83"/>
      <c r="T33" s="80"/>
      <c r="U33" s="81"/>
      <c r="V33" s="82"/>
      <c r="W33" s="83"/>
      <c r="X33" s="80"/>
      <c r="Y33" s="81"/>
      <c r="Z33" s="82"/>
      <c r="AA33" s="83"/>
      <c r="AB33" s="80"/>
      <c r="AC33" s="81"/>
      <c r="AD33" s="82"/>
      <c r="AE33" s="83"/>
      <c r="AF33" s="80"/>
      <c r="AG33" s="81"/>
      <c r="AH33" s="82"/>
      <c r="AI33" s="83"/>
      <c r="AJ33" s="80"/>
      <c r="AK33" s="81"/>
      <c r="AL33" s="82"/>
      <c r="AM33" s="83"/>
      <c r="AN33" s="288">
        <f t="shared" si="0"/>
        <v>0</v>
      </c>
      <c r="AO33" s="288">
        <f t="shared" si="1"/>
        <v>0</v>
      </c>
      <c r="AP33" s="256">
        <v>7000</v>
      </c>
    </row>
    <row r="34" spans="2:43" x14ac:dyDescent="0.3">
      <c r="B34" s="6">
        <v>6940</v>
      </c>
      <c r="C34" s="186" t="s">
        <v>49</v>
      </c>
      <c r="D34" s="80"/>
      <c r="E34" s="81"/>
      <c r="F34" s="82"/>
      <c r="G34" s="83"/>
      <c r="H34" s="80"/>
      <c r="I34" s="81"/>
      <c r="J34" s="82"/>
      <c r="K34" s="83"/>
      <c r="L34" s="80"/>
      <c r="M34" s="81"/>
      <c r="N34" s="82"/>
      <c r="O34" s="83"/>
      <c r="P34" s="80"/>
      <c r="Q34" s="81"/>
      <c r="R34" s="82"/>
      <c r="S34" s="83"/>
      <c r="T34" s="80"/>
      <c r="U34" s="81"/>
      <c r="V34" s="82"/>
      <c r="W34" s="83"/>
      <c r="X34" s="80"/>
      <c r="Y34" s="81"/>
      <c r="Z34" s="82"/>
      <c r="AA34" s="83"/>
      <c r="AB34" s="80"/>
      <c r="AC34" s="81"/>
      <c r="AD34" s="82"/>
      <c r="AE34" s="83"/>
      <c r="AF34" s="80"/>
      <c r="AG34" s="81"/>
      <c r="AH34" s="82"/>
      <c r="AI34" s="83"/>
      <c r="AJ34" s="80"/>
      <c r="AK34" s="81"/>
      <c r="AL34" s="82"/>
      <c r="AM34" s="83"/>
      <c r="AN34" s="289">
        <f t="shared" si="0"/>
        <v>0</v>
      </c>
      <c r="AO34" s="288">
        <f t="shared" si="1"/>
        <v>0</v>
      </c>
      <c r="AP34" s="256">
        <v>6940</v>
      </c>
    </row>
    <row r="35" spans="2:43" x14ac:dyDescent="0.3">
      <c r="B35" s="6">
        <v>7100</v>
      </c>
      <c r="C35" s="11" t="s">
        <v>28</v>
      </c>
      <c r="D35" s="80"/>
      <c r="E35" s="81"/>
      <c r="F35" s="82"/>
      <c r="G35" s="83"/>
      <c r="H35" s="80"/>
      <c r="I35" s="81"/>
      <c r="J35" s="82"/>
      <c r="K35" s="83"/>
      <c r="L35" s="80"/>
      <c r="M35" s="81"/>
      <c r="N35" s="82"/>
      <c r="O35" s="83"/>
      <c r="P35" s="80"/>
      <c r="Q35" s="81"/>
      <c r="R35" s="82"/>
      <c r="S35" s="83"/>
      <c r="T35" s="80"/>
      <c r="U35" s="81"/>
      <c r="V35" s="82"/>
      <c r="W35" s="83"/>
      <c r="X35" s="80"/>
      <c r="Y35" s="81"/>
      <c r="Z35" s="82"/>
      <c r="AA35" s="83"/>
      <c r="AB35" s="80">
        <v>3000</v>
      </c>
      <c r="AC35" s="81" t="s">
        <v>160</v>
      </c>
      <c r="AD35" s="82"/>
      <c r="AE35" s="83"/>
      <c r="AF35" s="80"/>
      <c r="AG35" s="81"/>
      <c r="AH35" s="82"/>
      <c r="AI35" s="83"/>
      <c r="AJ35" s="80"/>
      <c r="AK35" s="81"/>
      <c r="AL35" s="82"/>
      <c r="AM35" s="83"/>
      <c r="AN35" s="288">
        <f t="shared" si="0"/>
        <v>0</v>
      </c>
      <c r="AO35" s="288">
        <f t="shared" si="1"/>
        <v>3000</v>
      </c>
      <c r="AP35" s="256">
        <v>7100</v>
      </c>
    </row>
    <row r="36" spans="2:43" hidden="1" x14ac:dyDescent="0.3">
      <c r="B36" s="6">
        <v>7101</v>
      </c>
      <c r="C36" s="11" t="s">
        <v>29</v>
      </c>
      <c r="D36" s="80"/>
      <c r="E36" s="81"/>
      <c r="F36" s="82"/>
      <c r="G36" s="83"/>
      <c r="H36" s="80"/>
      <c r="I36" s="81"/>
      <c r="J36" s="82"/>
      <c r="K36" s="83"/>
      <c r="L36" s="80"/>
      <c r="M36" s="81"/>
      <c r="N36" s="82"/>
      <c r="O36" s="83"/>
      <c r="P36" s="80"/>
      <c r="Q36" s="81"/>
      <c r="R36" s="82"/>
      <c r="S36" s="83"/>
      <c r="T36" s="80"/>
      <c r="U36" s="81"/>
      <c r="V36" s="82"/>
      <c r="W36" s="83"/>
      <c r="X36" s="80"/>
      <c r="Y36" s="81"/>
      <c r="Z36" s="82"/>
      <c r="AA36" s="83"/>
      <c r="AB36" s="80"/>
      <c r="AC36" s="81"/>
      <c r="AD36" s="82"/>
      <c r="AE36" s="83"/>
      <c r="AF36" s="80"/>
      <c r="AG36" s="81"/>
      <c r="AH36" s="82"/>
      <c r="AI36" s="83"/>
      <c r="AJ36" s="80"/>
      <c r="AK36" s="81"/>
      <c r="AL36" s="82"/>
      <c r="AM36" s="83"/>
      <c r="AN36" s="288">
        <f t="shared" si="0"/>
        <v>0</v>
      </c>
      <c r="AO36" s="288">
        <f t="shared" si="1"/>
        <v>0</v>
      </c>
      <c r="AP36" s="256">
        <v>7101</v>
      </c>
    </row>
    <row r="37" spans="2:43" x14ac:dyDescent="0.3">
      <c r="B37" s="6">
        <v>7110</v>
      </c>
      <c r="C37" s="11" t="s">
        <v>30</v>
      </c>
      <c r="D37" s="80"/>
      <c r="E37" s="81"/>
      <c r="F37" s="82"/>
      <c r="G37" s="83"/>
      <c r="H37" s="80">
        <v>7500</v>
      </c>
      <c r="I37" s="81"/>
      <c r="J37" s="82"/>
      <c r="K37" s="83"/>
      <c r="L37" s="80"/>
      <c r="M37" s="81"/>
      <c r="N37" s="82"/>
      <c r="O37" s="83"/>
      <c r="P37" s="80"/>
      <c r="Q37" s="81"/>
      <c r="R37" s="82"/>
      <c r="S37" s="83"/>
      <c r="T37" s="80"/>
      <c r="U37" s="81"/>
      <c r="V37" s="82"/>
      <c r="W37" s="83"/>
      <c r="X37" s="80"/>
      <c r="Y37" s="81"/>
      <c r="Z37" s="82"/>
      <c r="AA37" s="83"/>
      <c r="AB37" s="80">
        <v>5000</v>
      </c>
      <c r="AC37" s="81" t="s">
        <v>168</v>
      </c>
      <c r="AD37" s="82"/>
      <c r="AE37" s="83"/>
      <c r="AF37" s="80"/>
      <c r="AG37" s="81"/>
      <c r="AH37" s="82"/>
      <c r="AI37" s="83"/>
      <c r="AJ37" s="80"/>
      <c r="AK37" s="81"/>
      <c r="AL37" s="82"/>
      <c r="AM37" s="83"/>
      <c r="AN37" s="288">
        <f t="shared" si="0"/>
        <v>0</v>
      </c>
      <c r="AO37" s="288">
        <f t="shared" si="1"/>
        <v>12500</v>
      </c>
      <c r="AP37" s="256">
        <v>7110</v>
      </c>
    </row>
    <row r="38" spans="2:43" x14ac:dyDescent="0.3">
      <c r="B38" s="6">
        <v>7141</v>
      </c>
      <c r="C38" s="186" t="s">
        <v>31</v>
      </c>
      <c r="D38" s="80"/>
      <c r="E38" s="81"/>
      <c r="F38" s="82"/>
      <c r="G38" s="83"/>
      <c r="H38" s="80"/>
      <c r="I38" s="81"/>
      <c r="J38" s="82"/>
      <c r="K38" s="83"/>
      <c r="L38" s="80"/>
      <c r="M38" s="81"/>
      <c r="N38" s="82"/>
      <c r="O38" s="83"/>
      <c r="P38" s="80"/>
      <c r="Q38" s="81"/>
      <c r="R38" s="82"/>
      <c r="S38" s="83"/>
      <c r="T38" s="80"/>
      <c r="U38" s="81"/>
      <c r="V38" s="82"/>
      <c r="W38" s="83"/>
      <c r="X38" s="80"/>
      <c r="Y38" s="81"/>
      <c r="Z38" s="82"/>
      <c r="AA38" s="83"/>
      <c r="AB38" s="80">
        <v>3000</v>
      </c>
      <c r="AC38" s="81" t="s">
        <v>168</v>
      </c>
      <c r="AD38" s="82"/>
      <c r="AE38" s="83"/>
      <c r="AF38" s="80"/>
      <c r="AG38" s="81"/>
      <c r="AH38" s="82"/>
      <c r="AI38" s="83"/>
      <c r="AJ38" s="80"/>
      <c r="AK38" s="81"/>
      <c r="AL38" s="82"/>
      <c r="AM38" s="83"/>
      <c r="AN38" s="288">
        <f t="shared" si="0"/>
        <v>0</v>
      </c>
      <c r="AO38" s="288">
        <f t="shared" si="1"/>
        <v>3000</v>
      </c>
      <c r="AP38" s="256">
        <v>7141</v>
      </c>
    </row>
    <row r="39" spans="2:43" hidden="1" x14ac:dyDescent="0.3">
      <c r="B39" s="6">
        <v>7145</v>
      </c>
      <c r="C39" s="11" t="s">
        <v>32</v>
      </c>
      <c r="D39" s="80"/>
      <c r="E39" s="81"/>
      <c r="F39" s="82"/>
      <c r="G39" s="83"/>
      <c r="H39" s="80"/>
      <c r="I39" s="81"/>
      <c r="J39" s="82"/>
      <c r="K39" s="83"/>
      <c r="L39" s="80"/>
      <c r="M39" s="81"/>
      <c r="N39" s="82"/>
      <c r="O39" s="83"/>
      <c r="P39" s="80"/>
      <c r="Q39" s="81"/>
      <c r="R39" s="82"/>
      <c r="S39" s="83"/>
      <c r="T39" s="80"/>
      <c r="U39" s="81"/>
      <c r="V39" s="82"/>
      <c r="W39" s="83"/>
      <c r="X39" s="80"/>
      <c r="Y39" s="81"/>
      <c r="Z39" s="82"/>
      <c r="AA39" s="83"/>
      <c r="AB39" s="80"/>
      <c r="AC39" s="81"/>
      <c r="AD39" s="82"/>
      <c r="AE39" s="83"/>
      <c r="AF39" s="80"/>
      <c r="AG39" s="81"/>
      <c r="AH39" s="82"/>
      <c r="AI39" s="83"/>
      <c r="AJ39" s="80"/>
      <c r="AK39" s="81"/>
      <c r="AL39" s="82"/>
      <c r="AM39" s="83"/>
      <c r="AN39" s="288">
        <f t="shared" si="0"/>
        <v>0</v>
      </c>
      <c r="AO39" s="288">
        <f t="shared" si="1"/>
        <v>0</v>
      </c>
      <c r="AP39" s="256">
        <v>7145</v>
      </c>
    </row>
    <row r="40" spans="2:43" hidden="1" x14ac:dyDescent="0.3">
      <c r="B40" s="6">
        <v>7162</v>
      </c>
      <c r="C40" s="11" t="s">
        <v>33</v>
      </c>
      <c r="D40" s="80"/>
      <c r="E40" s="81"/>
      <c r="F40" s="82"/>
      <c r="G40" s="83"/>
      <c r="H40" s="80"/>
      <c r="I40" s="81"/>
      <c r="J40" s="82"/>
      <c r="K40" s="83"/>
      <c r="L40" s="80"/>
      <c r="M40" s="81"/>
      <c r="N40" s="82"/>
      <c r="O40" s="83"/>
      <c r="P40" s="80"/>
      <c r="Q40" s="81"/>
      <c r="R40" s="82"/>
      <c r="S40" s="83"/>
      <c r="T40" s="80"/>
      <c r="U40" s="81"/>
      <c r="V40" s="82"/>
      <c r="W40" s="83"/>
      <c r="X40" s="80"/>
      <c r="Y40" s="81"/>
      <c r="Z40" s="82"/>
      <c r="AA40" s="83"/>
      <c r="AB40" s="80"/>
      <c r="AC40" s="81"/>
      <c r="AD40" s="82"/>
      <c r="AE40" s="83"/>
      <c r="AF40" s="80"/>
      <c r="AG40" s="81"/>
      <c r="AH40" s="82"/>
      <c r="AI40" s="83"/>
      <c r="AJ40" s="80"/>
      <c r="AK40" s="81"/>
      <c r="AL40" s="82"/>
      <c r="AM40" s="83"/>
      <c r="AN40" s="288">
        <f t="shared" si="0"/>
        <v>0</v>
      </c>
      <c r="AO40" s="288">
        <f t="shared" si="1"/>
        <v>0</v>
      </c>
      <c r="AP40" s="256">
        <v>7162</v>
      </c>
    </row>
    <row r="41" spans="2:43" hidden="1" x14ac:dyDescent="0.3">
      <c r="B41" s="6">
        <v>7320</v>
      </c>
      <c r="C41" s="11" t="s">
        <v>34</v>
      </c>
      <c r="D41" s="80"/>
      <c r="E41" s="81"/>
      <c r="F41" s="82"/>
      <c r="G41" s="83"/>
      <c r="H41" s="80"/>
      <c r="I41" s="81"/>
      <c r="J41" s="82"/>
      <c r="K41" s="83"/>
      <c r="L41" s="80"/>
      <c r="M41" s="81"/>
      <c r="N41" s="82"/>
      <c r="O41" s="83"/>
      <c r="P41" s="80"/>
      <c r="Q41" s="81"/>
      <c r="R41" s="82"/>
      <c r="S41" s="83"/>
      <c r="T41" s="80"/>
      <c r="U41" s="81"/>
      <c r="V41" s="82"/>
      <c r="W41" s="83"/>
      <c r="X41" s="80"/>
      <c r="Y41" s="81"/>
      <c r="Z41" s="82"/>
      <c r="AA41" s="83"/>
      <c r="AB41" s="80"/>
      <c r="AC41" s="81"/>
      <c r="AD41" s="82"/>
      <c r="AE41" s="83"/>
      <c r="AF41" s="80"/>
      <c r="AG41" s="81"/>
      <c r="AH41" s="82"/>
      <c r="AI41" s="83"/>
      <c r="AJ41" s="80"/>
      <c r="AK41" s="81"/>
      <c r="AL41" s="82"/>
      <c r="AM41" s="83"/>
      <c r="AN41" s="288">
        <f t="shared" si="0"/>
        <v>0</v>
      </c>
      <c r="AO41" s="288">
        <f t="shared" si="1"/>
        <v>0</v>
      </c>
      <c r="AP41" s="256">
        <v>7320</v>
      </c>
    </row>
    <row r="42" spans="2:43" hidden="1" x14ac:dyDescent="0.3">
      <c r="B42" s="6">
        <v>7350</v>
      </c>
      <c r="C42" s="11" t="s">
        <v>35</v>
      </c>
      <c r="D42" s="80"/>
      <c r="E42" s="81"/>
      <c r="F42" s="82"/>
      <c r="G42" s="83"/>
      <c r="H42" s="80"/>
      <c r="I42" s="81"/>
      <c r="J42" s="82"/>
      <c r="K42" s="83"/>
      <c r="L42" s="80"/>
      <c r="M42" s="81"/>
      <c r="N42" s="82"/>
      <c r="O42" s="83"/>
      <c r="P42" s="80"/>
      <c r="Q42" s="81"/>
      <c r="R42" s="82"/>
      <c r="S42" s="83"/>
      <c r="T42" s="80"/>
      <c r="U42" s="81"/>
      <c r="V42" s="82"/>
      <c r="W42" s="83"/>
      <c r="X42" s="80"/>
      <c r="Y42" s="81"/>
      <c r="Z42" s="82"/>
      <c r="AA42" s="83"/>
      <c r="AB42" s="80"/>
      <c r="AC42" s="81"/>
      <c r="AD42" s="82"/>
      <c r="AE42" s="83"/>
      <c r="AF42" s="80"/>
      <c r="AG42" s="81"/>
      <c r="AH42" s="82"/>
      <c r="AI42" s="83"/>
      <c r="AJ42" s="80"/>
      <c r="AK42" s="81"/>
      <c r="AL42" s="82"/>
      <c r="AM42" s="83"/>
      <c r="AN42" s="288">
        <f t="shared" si="0"/>
        <v>0</v>
      </c>
      <c r="AO42" s="288">
        <f t="shared" si="1"/>
        <v>0</v>
      </c>
      <c r="AP42" s="256">
        <v>7350</v>
      </c>
    </row>
    <row r="43" spans="2:43" hidden="1" x14ac:dyDescent="0.3">
      <c r="B43" s="6">
        <v>7400</v>
      </c>
      <c r="C43" s="11" t="s">
        <v>36</v>
      </c>
      <c r="D43" s="80"/>
      <c r="E43" s="81"/>
      <c r="F43" s="82"/>
      <c r="G43" s="83"/>
      <c r="H43" s="80"/>
      <c r="I43" s="81"/>
      <c r="J43" s="82"/>
      <c r="K43" s="83"/>
      <c r="L43" s="80"/>
      <c r="M43" s="81"/>
      <c r="N43" s="82"/>
      <c r="O43" s="83"/>
      <c r="P43" s="80"/>
      <c r="Q43" s="81"/>
      <c r="R43" s="82"/>
      <c r="S43" s="83"/>
      <c r="T43" s="80"/>
      <c r="U43" s="81"/>
      <c r="V43" s="82"/>
      <c r="W43" s="83"/>
      <c r="X43" s="80"/>
      <c r="Y43" s="81"/>
      <c r="Z43" s="82"/>
      <c r="AA43" s="83"/>
      <c r="AB43" s="80"/>
      <c r="AC43" s="81"/>
      <c r="AD43" s="82"/>
      <c r="AE43" s="83"/>
      <c r="AF43" s="80"/>
      <c r="AG43" s="81"/>
      <c r="AH43" s="82"/>
      <c r="AI43" s="83"/>
      <c r="AJ43" s="80"/>
      <c r="AK43" s="81"/>
      <c r="AL43" s="82"/>
      <c r="AM43" s="83"/>
      <c r="AN43" s="288">
        <f t="shared" si="0"/>
        <v>0</v>
      </c>
      <c r="AO43" s="288">
        <f t="shared" si="1"/>
        <v>0</v>
      </c>
      <c r="AP43" s="256">
        <v>7400</v>
      </c>
    </row>
    <row r="44" spans="2:43" hidden="1" x14ac:dyDescent="0.3">
      <c r="B44" s="6">
        <v>7411</v>
      </c>
      <c r="C44" s="11" t="s">
        <v>37</v>
      </c>
      <c r="D44" s="80"/>
      <c r="E44" s="81"/>
      <c r="F44" s="82"/>
      <c r="G44" s="83"/>
      <c r="H44" s="80"/>
      <c r="I44" s="81"/>
      <c r="J44" s="82"/>
      <c r="K44" s="83"/>
      <c r="L44" s="80"/>
      <c r="M44" s="81"/>
      <c r="N44" s="82"/>
      <c r="O44" s="83"/>
      <c r="P44" s="80"/>
      <c r="Q44" s="81"/>
      <c r="R44" s="82"/>
      <c r="S44" s="83"/>
      <c r="T44" s="80"/>
      <c r="U44" s="81"/>
      <c r="V44" s="82"/>
      <c r="W44" s="83"/>
      <c r="X44" s="80"/>
      <c r="Y44" s="81"/>
      <c r="Z44" s="82"/>
      <c r="AA44" s="83"/>
      <c r="AB44" s="80"/>
      <c r="AC44" s="81"/>
      <c r="AD44" s="82"/>
      <c r="AE44" s="83"/>
      <c r="AF44" s="80"/>
      <c r="AG44" s="81"/>
      <c r="AH44" s="82"/>
      <c r="AI44" s="83"/>
      <c r="AJ44" s="80"/>
      <c r="AK44" s="81"/>
      <c r="AL44" s="82"/>
      <c r="AM44" s="83"/>
      <c r="AN44" s="288">
        <f t="shared" si="0"/>
        <v>0</v>
      </c>
      <c r="AO44" s="288">
        <f t="shared" si="1"/>
        <v>0</v>
      </c>
      <c r="AP44" s="256">
        <v>7411</v>
      </c>
    </row>
    <row r="45" spans="2:43" x14ac:dyDescent="0.3">
      <c r="B45" s="6">
        <v>7145</v>
      </c>
      <c r="C45" s="186" t="s">
        <v>32</v>
      </c>
      <c r="D45" s="80"/>
      <c r="E45" s="81"/>
      <c r="F45" s="82"/>
      <c r="G45" s="83"/>
      <c r="H45" s="80"/>
      <c r="I45" s="81"/>
      <c r="J45" s="82"/>
      <c r="K45" s="83"/>
      <c r="L45" s="80"/>
      <c r="M45" s="81"/>
      <c r="N45" s="82"/>
      <c r="O45" s="83"/>
      <c r="P45" s="80"/>
      <c r="Q45" s="81"/>
      <c r="R45" s="82"/>
      <c r="S45" s="83"/>
      <c r="T45" s="80"/>
      <c r="U45" s="81"/>
      <c r="V45" s="82"/>
      <c r="W45" s="83"/>
      <c r="X45" s="80"/>
      <c r="Y45" s="81"/>
      <c r="Z45" s="82"/>
      <c r="AA45" s="83"/>
      <c r="AB45" s="80"/>
      <c r="AC45" s="81"/>
      <c r="AD45" s="82"/>
      <c r="AE45" s="83"/>
      <c r="AF45" s="80"/>
      <c r="AG45" s="81"/>
      <c r="AH45" s="82"/>
      <c r="AI45" s="83"/>
      <c r="AJ45" s="80"/>
      <c r="AK45" s="81"/>
      <c r="AL45" s="82"/>
      <c r="AM45" s="83"/>
      <c r="AN45" s="289">
        <f t="shared" si="0"/>
        <v>0</v>
      </c>
      <c r="AO45" s="288">
        <f t="shared" si="1"/>
        <v>0</v>
      </c>
      <c r="AP45" s="256">
        <v>7145</v>
      </c>
    </row>
    <row r="46" spans="2:43" x14ac:dyDescent="0.3">
      <c r="B46" s="6">
        <v>7162</v>
      </c>
      <c r="C46" s="186" t="s">
        <v>33</v>
      </c>
      <c r="D46" s="80"/>
      <c r="E46" s="81"/>
      <c r="F46" s="82"/>
      <c r="G46" s="83"/>
      <c r="H46" s="80"/>
      <c r="I46" s="81"/>
      <c r="J46" s="82"/>
      <c r="K46" s="83"/>
      <c r="L46" s="80"/>
      <c r="M46" s="81"/>
      <c r="N46" s="82"/>
      <c r="O46" s="83"/>
      <c r="P46" s="80"/>
      <c r="Q46" s="81"/>
      <c r="R46" s="82"/>
      <c r="S46" s="83"/>
      <c r="T46" s="80"/>
      <c r="U46" s="81"/>
      <c r="V46" s="82"/>
      <c r="W46" s="83"/>
      <c r="X46" s="80"/>
      <c r="Y46" s="81"/>
      <c r="Z46" s="82"/>
      <c r="AA46" s="83"/>
      <c r="AB46" s="80">
        <v>2000</v>
      </c>
      <c r="AC46" s="81"/>
      <c r="AD46" s="82"/>
      <c r="AE46" s="83"/>
      <c r="AF46" s="80"/>
      <c r="AG46" s="81"/>
      <c r="AH46" s="82"/>
      <c r="AI46" s="83"/>
      <c r="AJ46" s="80"/>
      <c r="AK46" s="81"/>
      <c r="AL46" s="82"/>
      <c r="AM46" s="83"/>
      <c r="AN46" s="289">
        <f t="shared" si="0"/>
        <v>0</v>
      </c>
      <c r="AO46" s="288">
        <f t="shared" si="1"/>
        <v>2000</v>
      </c>
      <c r="AP46" s="256">
        <v>7162</v>
      </c>
    </row>
    <row r="47" spans="2:43" ht="15" thickBot="1" x14ac:dyDescent="0.35">
      <c r="B47" s="6">
        <v>7400</v>
      </c>
      <c r="C47" s="186" t="s">
        <v>36</v>
      </c>
      <c r="D47" s="80"/>
      <c r="E47" s="81"/>
      <c r="F47" s="82"/>
      <c r="G47" s="83"/>
      <c r="H47" s="80"/>
      <c r="I47" s="81"/>
      <c r="J47" s="82"/>
      <c r="K47" s="83"/>
      <c r="L47" s="80"/>
      <c r="M47" s="81"/>
      <c r="N47" s="82"/>
      <c r="O47" s="83"/>
      <c r="P47" s="80"/>
      <c r="Q47" s="81"/>
      <c r="R47" s="82"/>
      <c r="S47" s="83"/>
      <c r="T47" s="80"/>
      <c r="U47" s="81"/>
      <c r="V47" s="82"/>
      <c r="W47" s="83"/>
      <c r="X47" s="80"/>
      <c r="Y47" s="81"/>
      <c r="Z47" s="82"/>
      <c r="AA47" s="83"/>
      <c r="AB47" s="80"/>
      <c r="AC47" s="81"/>
      <c r="AD47" s="82"/>
      <c r="AE47" s="83"/>
      <c r="AF47" s="80"/>
      <c r="AG47" s="81"/>
      <c r="AH47" s="82"/>
      <c r="AI47" s="83"/>
      <c r="AJ47" s="80"/>
      <c r="AK47" s="81"/>
      <c r="AL47" s="82"/>
      <c r="AM47" s="83"/>
      <c r="AN47" s="289">
        <f t="shared" si="0"/>
        <v>0</v>
      </c>
      <c r="AO47" s="288">
        <f t="shared" si="1"/>
        <v>0</v>
      </c>
      <c r="AP47" s="256">
        <v>7400</v>
      </c>
    </row>
    <row r="48" spans="2:43" ht="15" thickBot="1" x14ac:dyDescent="0.35">
      <c r="B48" s="6">
        <v>7420</v>
      </c>
      <c r="C48" s="11" t="s">
        <v>38</v>
      </c>
      <c r="D48" s="80">
        <v>15000</v>
      </c>
      <c r="E48" s="81" t="s">
        <v>247</v>
      </c>
      <c r="F48" s="82"/>
      <c r="G48" s="83"/>
      <c r="H48" s="80">
        <v>10000</v>
      </c>
      <c r="I48" s="81" t="s">
        <v>245</v>
      </c>
      <c r="J48" s="82"/>
      <c r="K48" s="83"/>
      <c r="L48" s="80"/>
      <c r="M48" s="81"/>
      <c r="N48" s="82"/>
      <c r="O48" s="83"/>
      <c r="P48" s="80">
        <v>15000</v>
      </c>
      <c r="Q48" s="81"/>
      <c r="R48" s="82"/>
      <c r="S48" s="83"/>
      <c r="T48" s="80"/>
      <c r="U48" s="81"/>
      <c r="V48" s="82"/>
      <c r="W48" s="83"/>
      <c r="X48" s="80"/>
      <c r="Y48" s="81"/>
      <c r="Z48" s="82"/>
      <c r="AA48" s="83"/>
      <c r="AB48" s="80"/>
      <c r="AC48" s="81"/>
      <c r="AD48" s="82"/>
      <c r="AE48" s="83"/>
      <c r="AF48" s="80">
        <v>10000</v>
      </c>
      <c r="AG48" s="81"/>
      <c r="AH48" s="82"/>
      <c r="AI48" s="83"/>
      <c r="AJ48" s="80"/>
      <c r="AK48" s="81"/>
      <c r="AL48" s="82"/>
      <c r="AM48" s="83"/>
      <c r="AN48" s="288">
        <f t="shared" si="0"/>
        <v>0</v>
      </c>
      <c r="AO48" s="288">
        <f t="shared" si="1"/>
        <v>50000</v>
      </c>
      <c r="AP48" s="272">
        <v>7420</v>
      </c>
      <c r="AQ48" s="229" t="s">
        <v>311</v>
      </c>
    </row>
    <row r="49" spans="2:43" ht="15" hidden="1" thickBot="1" x14ac:dyDescent="0.35">
      <c r="B49" s="6">
        <v>7425</v>
      </c>
      <c r="C49" s="11" t="s">
        <v>39</v>
      </c>
      <c r="D49" s="80"/>
      <c r="E49" s="81"/>
      <c r="F49" s="82"/>
      <c r="G49" s="83"/>
      <c r="H49" s="80"/>
      <c r="I49" s="81"/>
      <c r="J49" s="82"/>
      <c r="K49" s="83"/>
      <c r="L49" s="80"/>
      <c r="M49" s="81"/>
      <c r="N49" s="82"/>
      <c r="O49" s="83"/>
      <c r="P49" s="80"/>
      <c r="Q49" s="81"/>
      <c r="R49" s="82"/>
      <c r="S49" s="83"/>
      <c r="T49" s="80"/>
      <c r="U49" s="81"/>
      <c r="V49" s="82"/>
      <c r="W49" s="83"/>
      <c r="X49" s="80"/>
      <c r="Y49" s="81"/>
      <c r="Z49" s="82"/>
      <c r="AA49" s="83"/>
      <c r="AB49" s="80"/>
      <c r="AC49" s="81"/>
      <c r="AD49" s="82"/>
      <c r="AE49" s="83"/>
      <c r="AF49" s="80"/>
      <c r="AG49" s="81"/>
      <c r="AH49" s="82"/>
      <c r="AI49" s="83"/>
      <c r="AJ49" s="80"/>
      <c r="AK49" s="81"/>
      <c r="AL49" s="82"/>
      <c r="AM49" s="83"/>
      <c r="AN49" s="100">
        <f t="shared" si="0"/>
        <v>0</v>
      </c>
      <c r="AO49" s="288">
        <f t="shared" si="1"/>
        <v>0</v>
      </c>
      <c r="AP49" s="272">
        <v>7425</v>
      </c>
      <c r="AQ49" s="97"/>
    </row>
    <row r="50" spans="2:43" ht="15" hidden="1" thickBot="1" x14ac:dyDescent="0.35">
      <c r="B50" s="6">
        <v>7430</v>
      </c>
      <c r="C50" s="11" t="s">
        <v>40</v>
      </c>
      <c r="D50" s="80">
        <v>0</v>
      </c>
      <c r="E50" s="81"/>
      <c r="F50" s="82"/>
      <c r="G50" s="83"/>
      <c r="H50" s="80"/>
      <c r="I50" s="81"/>
      <c r="J50" s="82"/>
      <c r="K50" s="83"/>
      <c r="L50" s="80"/>
      <c r="M50" s="81"/>
      <c r="N50" s="82"/>
      <c r="O50" s="83"/>
      <c r="P50" s="80"/>
      <c r="Q50" s="81"/>
      <c r="R50" s="82"/>
      <c r="S50" s="83"/>
      <c r="T50" s="80"/>
      <c r="U50" s="81"/>
      <c r="V50" s="82"/>
      <c r="W50" s="83"/>
      <c r="X50" s="80"/>
      <c r="Y50" s="81"/>
      <c r="Z50" s="82"/>
      <c r="AA50" s="83"/>
      <c r="AB50" s="80"/>
      <c r="AC50" s="81"/>
      <c r="AD50" s="82"/>
      <c r="AE50" s="83"/>
      <c r="AF50" s="80"/>
      <c r="AG50" s="81"/>
      <c r="AH50" s="82"/>
      <c r="AI50" s="83"/>
      <c r="AJ50" s="80"/>
      <c r="AK50" s="81"/>
      <c r="AL50" s="82"/>
      <c r="AM50" s="83"/>
      <c r="AN50" s="95">
        <f t="shared" si="0"/>
        <v>0</v>
      </c>
      <c r="AO50" s="288">
        <f t="shared" si="1"/>
        <v>0</v>
      </c>
      <c r="AP50" s="272">
        <v>7430</v>
      </c>
      <c r="AQ50" s="97"/>
    </row>
    <row r="51" spans="2:43" ht="15" hidden="1" thickBot="1" x14ac:dyDescent="0.35">
      <c r="B51" s="6">
        <v>7500</v>
      </c>
      <c r="C51" s="11" t="s">
        <v>41</v>
      </c>
      <c r="D51" s="80"/>
      <c r="E51" s="81"/>
      <c r="F51" s="82"/>
      <c r="G51" s="83"/>
      <c r="H51" s="80"/>
      <c r="I51" s="81"/>
      <c r="J51" s="82"/>
      <c r="K51" s="83"/>
      <c r="L51" s="80"/>
      <c r="M51" s="81"/>
      <c r="N51" s="82"/>
      <c r="O51" s="83"/>
      <c r="P51" s="80"/>
      <c r="Q51" s="81"/>
      <c r="R51" s="82"/>
      <c r="S51" s="83"/>
      <c r="T51" s="80"/>
      <c r="U51" s="81"/>
      <c r="V51" s="82"/>
      <c r="W51" s="83"/>
      <c r="X51" s="80"/>
      <c r="Y51" s="81"/>
      <c r="Z51" s="82"/>
      <c r="AA51" s="83"/>
      <c r="AB51" s="80"/>
      <c r="AC51" s="81"/>
      <c r="AD51" s="82"/>
      <c r="AE51" s="83"/>
      <c r="AF51" s="80"/>
      <c r="AG51" s="81"/>
      <c r="AH51" s="82"/>
      <c r="AI51" s="83"/>
      <c r="AJ51" s="80"/>
      <c r="AK51" s="81"/>
      <c r="AL51" s="82"/>
      <c r="AM51" s="83"/>
      <c r="AN51" s="95">
        <f t="shared" si="0"/>
        <v>0</v>
      </c>
      <c r="AO51" s="288">
        <f t="shared" si="1"/>
        <v>0</v>
      </c>
      <c r="AP51" s="272">
        <v>7500</v>
      </c>
      <c r="AQ51" s="97"/>
    </row>
    <row r="52" spans="2:43" ht="15" hidden="1" thickBot="1" x14ac:dyDescent="0.35">
      <c r="B52" s="6">
        <v>7746</v>
      </c>
      <c r="C52" s="11" t="s">
        <v>42</v>
      </c>
      <c r="D52" s="80"/>
      <c r="E52" s="81"/>
      <c r="F52" s="82"/>
      <c r="G52" s="83"/>
      <c r="H52" s="80"/>
      <c r="I52" s="81"/>
      <c r="J52" s="82"/>
      <c r="K52" s="83"/>
      <c r="L52" s="80"/>
      <c r="M52" s="81"/>
      <c r="N52" s="82"/>
      <c r="O52" s="83"/>
      <c r="P52" s="80"/>
      <c r="Q52" s="81"/>
      <c r="R52" s="82"/>
      <c r="S52" s="83"/>
      <c r="T52" s="80"/>
      <c r="U52" s="81"/>
      <c r="V52" s="82"/>
      <c r="W52" s="83"/>
      <c r="X52" s="80"/>
      <c r="Y52" s="81"/>
      <c r="Z52" s="82"/>
      <c r="AA52" s="83"/>
      <c r="AB52" s="80"/>
      <c r="AC52" s="81"/>
      <c r="AD52" s="82"/>
      <c r="AE52" s="83"/>
      <c r="AF52" s="80"/>
      <c r="AG52" s="81"/>
      <c r="AH52" s="82"/>
      <c r="AI52" s="83"/>
      <c r="AJ52" s="80"/>
      <c r="AK52" s="81"/>
      <c r="AL52" s="82"/>
      <c r="AM52" s="83"/>
      <c r="AN52" s="95">
        <f t="shared" si="0"/>
        <v>0</v>
      </c>
      <c r="AO52" s="288">
        <f t="shared" si="1"/>
        <v>0</v>
      </c>
      <c r="AP52" s="272">
        <v>7746</v>
      </c>
      <c r="AQ52" s="97"/>
    </row>
    <row r="53" spans="2:43" ht="15" hidden="1" thickBot="1" x14ac:dyDescent="0.35">
      <c r="B53" s="6">
        <v>7770</v>
      </c>
      <c r="C53" s="11" t="s">
        <v>43</v>
      </c>
      <c r="D53" s="80"/>
      <c r="E53" s="81"/>
      <c r="F53" s="82"/>
      <c r="G53" s="83"/>
      <c r="H53" s="80"/>
      <c r="I53" s="81"/>
      <c r="J53" s="82"/>
      <c r="K53" s="83"/>
      <c r="L53" s="80"/>
      <c r="M53" s="81"/>
      <c r="N53" s="82"/>
      <c r="O53" s="83"/>
      <c r="P53" s="80"/>
      <c r="Q53" s="81"/>
      <c r="R53" s="82"/>
      <c r="S53" s="83"/>
      <c r="T53" s="80"/>
      <c r="U53" s="81"/>
      <c r="V53" s="82"/>
      <c r="W53" s="83"/>
      <c r="X53" s="80"/>
      <c r="Y53" s="81"/>
      <c r="Z53" s="82"/>
      <c r="AA53" s="83"/>
      <c r="AB53" s="80"/>
      <c r="AC53" s="81"/>
      <c r="AD53" s="82"/>
      <c r="AE53" s="83"/>
      <c r="AF53" s="80"/>
      <c r="AG53" s="81"/>
      <c r="AH53" s="82"/>
      <c r="AI53" s="83"/>
      <c r="AJ53" s="80"/>
      <c r="AK53" s="81"/>
      <c r="AL53" s="82"/>
      <c r="AM53" s="83"/>
      <c r="AN53" s="95">
        <f t="shared" si="0"/>
        <v>0</v>
      </c>
      <c r="AO53" s="288">
        <f t="shared" si="1"/>
        <v>0</v>
      </c>
      <c r="AP53" s="272">
        <v>7770</v>
      </c>
      <c r="AQ53" s="97"/>
    </row>
    <row r="54" spans="2:43" ht="15" hidden="1" thickBot="1" x14ac:dyDescent="0.35">
      <c r="B54" s="8">
        <v>7775</v>
      </c>
      <c r="C54" s="12" t="s">
        <v>44</v>
      </c>
      <c r="D54" s="84"/>
      <c r="E54" s="85"/>
      <c r="F54" s="86"/>
      <c r="G54" s="83"/>
      <c r="H54" s="84"/>
      <c r="I54" s="85"/>
      <c r="J54" s="86"/>
      <c r="K54" s="83"/>
      <c r="L54" s="84"/>
      <c r="M54" s="85"/>
      <c r="N54" s="86"/>
      <c r="O54" s="83"/>
      <c r="P54" s="84"/>
      <c r="Q54" s="85"/>
      <c r="R54" s="86"/>
      <c r="S54" s="83"/>
      <c r="T54" s="84"/>
      <c r="U54" s="85"/>
      <c r="V54" s="86"/>
      <c r="W54" s="83"/>
      <c r="X54" s="84"/>
      <c r="Y54" s="85"/>
      <c r="Z54" s="86"/>
      <c r="AA54" s="83"/>
      <c r="AB54" s="84"/>
      <c r="AC54" s="85"/>
      <c r="AD54" s="86"/>
      <c r="AE54" s="83"/>
      <c r="AF54" s="84"/>
      <c r="AG54" s="85"/>
      <c r="AH54" s="86"/>
      <c r="AI54" s="83"/>
      <c r="AJ54" s="84"/>
      <c r="AK54" s="85"/>
      <c r="AL54" s="86"/>
      <c r="AM54" s="83"/>
      <c r="AN54" s="99">
        <f t="shared" si="0"/>
        <v>0</v>
      </c>
      <c r="AO54" s="288">
        <f t="shared" si="1"/>
        <v>0</v>
      </c>
      <c r="AP54" s="199">
        <v>7775</v>
      </c>
      <c r="AQ54" s="97"/>
    </row>
    <row r="55" spans="2:43" ht="15" thickBot="1" x14ac:dyDescent="0.35">
      <c r="B55" s="26"/>
      <c r="C55" s="27" t="s">
        <v>74</v>
      </c>
      <c r="D55" s="87">
        <f>SUM(D12:D54)</f>
        <v>219350.86877449998</v>
      </c>
      <c r="E55" s="87"/>
      <c r="F55" s="92">
        <f>SUM(F12:F48)</f>
        <v>0</v>
      </c>
      <c r="G55" s="83"/>
      <c r="H55" s="87">
        <f t="shared" ref="H55:J55" si="11">SUM(H12:H54)</f>
        <v>49346</v>
      </c>
      <c r="I55" s="87"/>
      <c r="J55" s="92">
        <f t="shared" si="11"/>
        <v>0</v>
      </c>
      <c r="K55" s="83"/>
      <c r="L55" s="87">
        <f t="shared" ref="L55:N55" si="12">SUM(L12:L54)</f>
        <v>13000</v>
      </c>
      <c r="M55" s="87"/>
      <c r="N55" s="92">
        <f t="shared" si="12"/>
        <v>0</v>
      </c>
      <c r="O55" s="83"/>
      <c r="P55" s="87">
        <f t="shared" ref="P55:R55" si="13">SUM(P12:P54)</f>
        <v>15000</v>
      </c>
      <c r="Q55" s="87"/>
      <c r="R55" s="92">
        <f t="shared" si="13"/>
        <v>0</v>
      </c>
      <c r="S55" s="83"/>
      <c r="T55" s="87">
        <f>SUM(T12:T54)</f>
        <v>0</v>
      </c>
      <c r="U55" s="87"/>
      <c r="V55" s="92">
        <f>SUM(V12:V48)</f>
        <v>0</v>
      </c>
      <c r="W55" s="83"/>
      <c r="X55" s="87">
        <f t="shared" ref="X55" si="14">SUM(X12:X54)</f>
        <v>0</v>
      </c>
      <c r="Y55" s="87"/>
      <c r="Z55" s="92">
        <f>SUM(Z12:Z48)</f>
        <v>0</v>
      </c>
      <c r="AA55" s="83"/>
      <c r="AB55" s="87">
        <f t="shared" ref="AB55" si="15">SUM(AB12:AB54)</f>
        <v>26000</v>
      </c>
      <c r="AC55" s="87"/>
      <c r="AD55" s="92">
        <f>SUM(AD12:AD48)</f>
        <v>0</v>
      </c>
      <c r="AE55" s="83"/>
      <c r="AF55" s="87">
        <f t="shared" ref="AF55:AH55" si="16">SUM(AF12:AF54)</f>
        <v>10000</v>
      </c>
      <c r="AG55" s="87"/>
      <c r="AH55" s="92">
        <f t="shared" si="16"/>
        <v>0</v>
      </c>
      <c r="AI55" s="83"/>
      <c r="AJ55" s="87">
        <f t="shared" ref="AJ55" si="17">SUM(AJ12:AJ54)</f>
        <v>0</v>
      </c>
      <c r="AK55" s="87"/>
      <c r="AL55" s="92"/>
      <c r="AM55" s="83"/>
      <c r="AN55" s="95">
        <f t="shared" si="0"/>
        <v>0</v>
      </c>
      <c r="AO55" s="95">
        <f t="shared" si="1"/>
        <v>332696.86877449998</v>
      </c>
      <c r="AP55" s="27"/>
      <c r="AQ55" s="224">
        <f>SUM(D55+H55+L55+P55+T55+X55+AB55+AF55+AJ55)</f>
        <v>332696.86877449998</v>
      </c>
    </row>
    <row r="56" spans="2:43" ht="15" thickBot="1" x14ac:dyDescent="0.35">
      <c r="C56" s="13" t="s">
        <v>373</v>
      </c>
      <c r="D56" s="310">
        <f>D11-D55</f>
        <v>-219350.86877449998</v>
      </c>
      <c r="E56" s="310"/>
      <c r="F56" s="310">
        <f t="shared" ref="F56" si="18">F11-F55</f>
        <v>0</v>
      </c>
      <c r="G56" s="313"/>
      <c r="H56" s="310">
        <f>H11-H55</f>
        <v>-49346</v>
      </c>
      <c r="I56" s="310"/>
      <c r="J56" s="310">
        <f t="shared" ref="J56" si="19">J11-J55</f>
        <v>0</v>
      </c>
      <c r="K56" s="313"/>
      <c r="L56" s="310">
        <f>L11-L55</f>
        <v>-13000</v>
      </c>
      <c r="M56" s="310"/>
      <c r="N56" s="310">
        <f t="shared" ref="N56" si="20">N11-N55</f>
        <v>0</v>
      </c>
      <c r="O56" s="313"/>
      <c r="P56" s="310">
        <f>P11-P55</f>
        <v>-15000</v>
      </c>
      <c r="Q56" s="310"/>
      <c r="R56" s="310">
        <f t="shared" ref="R56" si="21">R11-R55</f>
        <v>0</v>
      </c>
      <c r="S56" s="313"/>
      <c r="T56" s="310">
        <f>T11-T55</f>
        <v>0</v>
      </c>
      <c r="U56" s="310"/>
      <c r="V56" s="310"/>
      <c r="W56" s="313"/>
      <c r="X56" s="310">
        <f>X11-X55</f>
        <v>0</v>
      </c>
      <c r="Y56" s="310"/>
      <c r="Z56" s="310"/>
      <c r="AA56" s="313"/>
      <c r="AB56" s="310">
        <f>AB11-AB55</f>
        <v>-26000</v>
      </c>
      <c r="AC56" s="310"/>
      <c r="AD56" s="310">
        <f t="shared" ref="AD56" si="22">AD11-AD55</f>
        <v>0</v>
      </c>
      <c r="AE56" s="313"/>
      <c r="AF56" s="310">
        <f>AF11-AF55</f>
        <v>-10000</v>
      </c>
      <c r="AG56" s="310"/>
      <c r="AH56" s="310">
        <f t="shared" ref="AH56" si="23">AH11-AH55</f>
        <v>0</v>
      </c>
      <c r="AI56" s="313"/>
      <c r="AJ56" s="310">
        <f>AJ11-AJ55</f>
        <v>0</v>
      </c>
      <c r="AK56" s="310"/>
      <c r="AL56" s="310"/>
      <c r="AM56" s="313"/>
      <c r="AN56" s="319">
        <f t="shared" si="0"/>
        <v>0</v>
      </c>
      <c r="AO56" s="319">
        <f t="shared" si="1"/>
        <v>-332696.86877449998</v>
      </c>
      <c r="AP56" s="42"/>
    </row>
    <row r="58" spans="2:43" ht="14.4" customHeight="1" x14ac:dyDescent="0.3">
      <c r="D58" s="346"/>
      <c r="E58" s="346"/>
      <c r="F58" s="346"/>
      <c r="H58" s="346" t="s">
        <v>320</v>
      </c>
      <c r="I58" s="346"/>
      <c r="J58" s="346"/>
      <c r="L58" s="346" t="s">
        <v>170</v>
      </c>
      <c r="M58" s="346"/>
      <c r="N58" s="346"/>
      <c r="P58" s="346" t="s">
        <v>169</v>
      </c>
      <c r="Q58" s="346"/>
      <c r="R58" s="346"/>
      <c r="T58" s="346"/>
      <c r="U58" s="346"/>
      <c r="V58" s="346"/>
      <c r="X58" s="346"/>
      <c r="Y58" s="346"/>
      <c r="Z58" s="346"/>
      <c r="AB58" s="346" t="s">
        <v>321</v>
      </c>
      <c r="AC58" s="346"/>
      <c r="AD58" s="346"/>
      <c r="AF58" s="346" t="s">
        <v>322</v>
      </c>
      <c r="AG58" s="346"/>
      <c r="AH58" s="346"/>
      <c r="AJ58" s="346"/>
      <c r="AK58" s="346"/>
      <c r="AL58" s="346"/>
    </row>
    <row r="59" spans="2:43" x14ac:dyDescent="0.3">
      <c r="D59" s="346"/>
      <c r="E59" s="346"/>
      <c r="F59" s="346"/>
      <c r="H59" s="346"/>
      <c r="I59" s="346"/>
      <c r="J59" s="346"/>
      <c r="L59" s="346"/>
      <c r="M59" s="346"/>
      <c r="N59" s="346"/>
      <c r="P59" s="346"/>
      <c r="Q59" s="346"/>
      <c r="R59" s="346"/>
      <c r="T59" s="346"/>
      <c r="U59" s="346"/>
      <c r="V59" s="346"/>
      <c r="X59" s="346"/>
      <c r="Y59" s="346"/>
      <c r="Z59" s="346"/>
      <c r="AB59" s="346"/>
      <c r="AC59" s="346"/>
      <c r="AD59" s="346"/>
      <c r="AF59" s="346"/>
      <c r="AG59" s="346"/>
      <c r="AH59" s="346"/>
      <c r="AJ59" s="346"/>
      <c r="AK59" s="346"/>
      <c r="AL59" s="346"/>
    </row>
    <row r="60" spans="2:43" x14ac:dyDescent="0.3">
      <c r="D60" s="346"/>
      <c r="E60" s="346"/>
      <c r="F60" s="346"/>
      <c r="H60" s="346"/>
      <c r="I60" s="346"/>
      <c r="J60" s="346"/>
      <c r="L60" s="346"/>
      <c r="M60" s="346"/>
      <c r="N60" s="346"/>
      <c r="P60" s="346"/>
      <c r="Q60" s="346"/>
      <c r="R60" s="346"/>
      <c r="T60" s="346"/>
      <c r="U60" s="346"/>
      <c r="V60" s="346"/>
      <c r="X60" s="346"/>
      <c r="Y60" s="346"/>
      <c r="Z60" s="346"/>
      <c r="AB60" s="346"/>
      <c r="AC60" s="346"/>
      <c r="AD60" s="346"/>
      <c r="AF60" s="346"/>
      <c r="AG60" s="346"/>
      <c r="AH60" s="346"/>
      <c r="AJ60" s="346"/>
      <c r="AK60" s="346"/>
      <c r="AL60" s="346"/>
    </row>
    <row r="61" spans="2:43" x14ac:dyDescent="0.3">
      <c r="D61" s="346"/>
      <c r="E61" s="346"/>
      <c r="F61" s="346"/>
      <c r="H61" s="346"/>
      <c r="I61" s="346"/>
      <c r="J61" s="346"/>
      <c r="L61" s="346"/>
      <c r="M61" s="346"/>
      <c r="N61" s="346"/>
      <c r="P61" s="346"/>
      <c r="Q61" s="346"/>
      <c r="R61" s="346"/>
      <c r="T61" s="346"/>
      <c r="U61" s="346"/>
      <c r="V61" s="346"/>
      <c r="X61" s="346"/>
      <c r="Y61" s="346"/>
      <c r="Z61" s="346"/>
      <c r="AB61" s="346"/>
      <c r="AC61" s="346"/>
      <c r="AD61" s="346"/>
      <c r="AF61" s="346"/>
      <c r="AG61" s="346"/>
      <c r="AH61" s="346"/>
      <c r="AJ61" s="346"/>
      <c r="AK61" s="346"/>
      <c r="AL61" s="346"/>
    </row>
    <row r="62" spans="2:43" x14ac:dyDescent="0.3">
      <c r="D62" s="346"/>
      <c r="E62" s="346"/>
      <c r="F62" s="346"/>
      <c r="H62" s="346"/>
      <c r="I62" s="346"/>
      <c r="J62" s="346"/>
      <c r="L62" s="346"/>
      <c r="M62" s="346"/>
      <c r="N62" s="346"/>
      <c r="P62" s="346"/>
      <c r="Q62" s="346"/>
      <c r="R62" s="346"/>
      <c r="T62" s="346"/>
      <c r="U62" s="346"/>
      <c r="V62" s="346"/>
      <c r="X62" s="346"/>
      <c r="Y62" s="346"/>
      <c r="Z62" s="346"/>
      <c r="AB62" s="346"/>
      <c r="AC62" s="346"/>
      <c r="AD62" s="346"/>
      <c r="AF62" s="346"/>
      <c r="AG62" s="346"/>
      <c r="AH62" s="346"/>
      <c r="AJ62" s="346"/>
      <c r="AK62" s="346"/>
      <c r="AL62" s="346"/>
    </row>
    <row r="63" spans="2:43" x14ac:dyDescent="0.3">
      <c r="D63" s="346"/>
      <c r="E63" s="346"/>
      <c r="F63" s="346"/>
      <c r="H63" s="346"/>
      <c r="I63" s="346"/>
      <c r="J63" s="346"/>
      <c r="L63" s="346"/>
      <c r="M63" s="346"/>
      <c r="N63" s="346"/>
      <c r="P63" s="346"/>
      <c r="Q63" s="346"/>
      <c r="R63" s="346"/>
      <c r="T63" s="346"/>
      <c r="U63" s="346"/>
      <c r="V63" s="346"/>
      <c r="X63" s="346"/>
      <c r="Y63" s="346"/>
      <c r="Z63" s="346"/>
      <c r="AB63" s="346"/>
      <c r="AC63" s="346"/>
      <c r="AD63" s="346"/>
      <c r="AF63" s="346"/>
      <c r="AG63" s="346"/>
      <c r="AH63" s="346"/>
      <c r="AJ63" s="346"/>
      <c r="AK63" s="346"/>
      <c r="AL63" s="346"/>
    </row>
    <row r="64" spans="2:43" x14ac:dyDescent="0.3">
      <c r="D64" s="346"/>
      <c r="E64" s="346"/>
      <c r="F64" s="346"/>
      <c r="H64" s="346"/>
      <c r="I64" s="346"/>
      <c r="J64" s="346"/>
      <c r="L64" s="346"/>
      <c r="M64" s="346"/>
      <c r="N64" s="346"/>
      <c r="P64" s="346"/>
      <c r="Q64" s="346"/>
      <c r="R64" s="346"/>
      <c r="T64" s="346"/>
      <c r="U64" s="346"/>
      <c r="V64" s="346"/>
      <c r="X64" s="346"/>
      <c r="Y64" s="346"/>
      <c r="Z64" s="346"/>
      <c r="AB64" s="346"/>
      <c r="AC64" s="346"/>
      <c r="AD64" s="346"/>
      <c r="AF64" s="346"/>
      <c r="AG64" s="346"/>
      <c r="AH64" s="346"/>
      <c r="AJ64" s="346"/>
      <c r="AK64" s="346"/>
      <c r="AL64" s="346"/>
    </row>
    <row r="65" spans="4:38" x14ac:dyDescent="0.3">
      <c r="D65" s="346"/>
      <c r="E65" s="346"/>
      <c r="F65" s="346"/>
      <c r="H65" s="346"/>
      <c r="I65" s="346"/>
      <c r="J65" s="346"/>
      <c r="L65" s="346"/>
      <c r="M65" s="346"/>
      <c r="N65" s="346"/>
      <c r="P65" s="346"/>
      <c r="Q65" s="346"/>
      <c r="R65" s="346"/>
      <c r="T65" s="346"/>
      <c r="U65" s="346"/>
      <c r="V65" s="346"/>
      <c r="X65" s="346"/>
      <c r="Y65" s="346"/>
      <c r="Z65" s="346"/>
      <c r="AB65" s="346"/>
      <c r="AC65" s="346"/>
      <c r="AD65" s="346"/>
      <c r="AF65" s="346"/>
      <c r="AG65" s="346"/>
      <c r="AH65" s="346"/>
      <c r="AJ65" s="346"/>
      <c r="AK65" s="346"/>
      <c r="AL65" s="346"/>
    </row>
    <row r="66" spans="4:38" x14ac:dyDescent="0.3">
      <c r="D66" s="346"/>
      <c r="E66" s="346"/>
      <c r="F66" s="346"/>
      <c r="H66" s="346"/>
      <c r="I66" s="346"/>
      <c r="J66" s="346"/>
      <c r="L66" s="346"/>
      <c r="M66" s="346"/>
      <c r="N66" s="346"/>
      <c r="P66" s="346"/>
      <c r="Q66" s="346"/>
      <c r="R66" s="346"/>
      <c r="T66" s="346"/>
      <c r="U66" s="346"/>
      <c r="V66" s="346"/>
      <c r="X66" s="346"/>
      <c r="Y66" s="346"/>
      <c r="Z66" s="346"/>
      <c r="AB66" s="346"/>
      <c r="AC66" s="346"/>
      <c r="AD66" s="346"/>
      <c r="AF66" s="346"/>
      <c r="AG66" s="346"/>
      <c r="AH66" s="346"/>
      <c r="AJ66" s="346"/>
      <c r="AK66" s="346"/>
      <c r="AL66" s="346"/>
    </row>
    <row r="67" spans="4:38" x14ac:dyDescent="0.3">
      <c r="D67" s="346"/>
      <c r="E67" s="346"/>
      <c r="F67" s="346"/>
      <c r="H67" s="346"/>
      <c r="I67" s="346"/>
      <c r="J67" s="346"/>
      <c r="L67" s="346"/>
      <c r="M67" s="346"/>
      <c r="N67" s="346"/>
      <c r="P67" s="346"/>
      <c r="Q67" s="346"/>
      <c r="R67" s="346"/>
      <c r="T67" s="346"/>
      <c r="U67" s="346"/>
      <c r="V67" s="346"/>
      <c r="X67" s="346"/>
      <c r="Y67" s="346"/>
      <c r="Z67" s="346"/>
      <c r="AB67" s="346"/>
      <c r="AC67" s="346"/>
      <c r="AD67" s="346"/>
      <c r="AF67" s="346"/>
      <c r="AG67" s="346"/>
      <c r="AH67" s="346"/>
      <c r="AJ67" s="346"/>
      <c r="AK67" s="346"/>
      <c r="AL67" s="346"/>
    </row>
    <row r="68" spans="4:38" x14ac:dyDescent="0.3">
      <c r="D68" s="346"/>
      <c r="E68" s="346"/>
      <c r="F68" s="346"/>
      <c r="H68" s="346"/>
      <c r="I68" s="346"/>
      <c r="J68" s="346"/>
      <c r="L68" s="346"/>
      <c r="M68" s="346"/>
      <c r="N68" s="346"/>
      <c r="P68" s="346"/>
      <c r="Q68" s="346"/>
      <c r="R68" s="346"/>
      <c r="T68" s="346"/>
      <c r="U68" s="346"/>
      <c r="V68" s="346"/>
      <c r="X68" s="346"/>
      <c r="Y68" s="346"/>
      <c r="Z68" s="346"/>
      <c r="AB68" s="346"/>
      <c r="AC68" s="346"/>
      <c r="AD68" s="346"/>
      <c r="AF68" s="346"/>
      <c r="AG68" s="346"/>
      <c r="AH68" s="346"/>
      <c r="AJ68" s="346"/>
      <c r="AK68" s="346"/>
      <c r="AL68" s="346"/>
    </row>
  </sheetData>
  <sheetProtection algorithmName="SHA-512" hashValue="qHzkYjWL8TxxYvCc91CrCBTiSBvWhZhDpPlWcq4VWEWTaV5rs2AtNKum7ijABWBc1m4ccwPBXI0JWG9q6PxhjA==" saltValue="I5lGc96WWmzULtXYaWGLXA==" spinCount="100000" sheet="1" selectLockedCells="1"/>
  <protectedRanges>
    <protectedRange sqref="H17:I17 L17:M17 P17:Q17 AB17:AC17 AF17:AG17 AJ17:AK17 T17:U17 X17:Y17" name="Område2_2_1"/>
    <protectedRange password="8B3B" sqref="H19:I19 L19:M19 P19:Q19 AB19:AC19 AF19:AG19 AJ19:AK19 T19:U19 X19:Y19" name="Område1_2_1"/>
  </protectedRanges>
  <mergeCells count="20">
    <mergeCell ref="Y1:Z1"/>
    <mergeCell ref="T58:V68"/>
    <mergeCell ref="H58:J68"/>
    <mergeCell ref="X58:Z68"/>
    <mergeCell ref="AJ58:AL68"/>
    <mergeCell ref="AF58:AH68"/>
    <mergeCell ref="AG1:AH1"/>
    <mergeCell ref="AK1:AL1"/>
    <mergeCell ref="B1:C1"/>
    <mergeCell ref="M1:N1"/>
    <mergeCell ref="P58:R68"/>
    <mergeCell ref="AB58:AD68"/>
    <mergeCell ref="D58:F68"/>
    <mergeCell ref="L58:N68"/>
    <mergeCell ref="B2:C2"/>
    <mergeCell ref="E1:F1"/>
    <mergeCell ref="I1:J1"/>
    <mergeCell ref="Q1:R1"/>
    <mergeCell ref="AC1:AD1"/>
    <mergeCell ref="U1:V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F75"/>
  <sheetViews>
    <sheetView topLeftCell="A15" zoomScale="70" zoomScaleNormal="70" zoomScalePageLayoutView="90" workbookViewId="0">
      <pane xSplit="3" topLeftCell="AE1" activePane="topRight" state="frozen"/>
      <selection pane="topRight" activeCell="AR2" sqref="AR2"/>
    </sheetView>
  </sheetViews>
  <sheetFormatPr baseColWidth="10" defaultColWidth="11.44140625" defaultRowHeight="14.4" x14ac:dyDescent="0.3"/>
  <cols>
    <col min="1" max="1" width="9.44140625" customWidth="1"/>
    <col min="2" max="2" width="9.44140625" bestFit="1" customWidth="1"/>
    <col min="3" max="3" width="37.5546875" customWidth="1"/>
    <col min="4" max="4" width="17.109375" bestFit="1" customWidth="1"/>
    <col min="5" max="5" width="21.88671875" style="104" customWidth="1"/>
    <col min="6" max="6" width="19.109375" bestFit="1" customWidth="1"/>
    <col min="7" max="7" width="3" customWidth="1"/>
    <col min="8" max="8" width="21.109375" customWidth="1"/>
    <col min="9" max="9" width="16.44140625" customWidth="1"/>
    <col min="10" max="10" width="19.109375" customWidth="1"/>
    <col min="11" max="11" width="3" customWidth="1"/>
    <col min="12" max="12" width="17.109375" customWidth="1"/>
    <col min="13" max="13" width="16.44140625" customWidth="1"/>
    <col min="14" max="14" width="19.109375" customWidth="1"/>
    <col min="15" max="15" width="3" customWidth="1"/>
    <col min="16" max="16" width="17.109375" customWidth="1"/>
    <col min="17" max="17" width="24.88671875" style="104" customWidth="1"/>
    <col min="18" max="18" width="19.109375" customWidth="1"/>
    <col min="19" max="19" width="3" customWidth="1"/>
    <col min="20" max="20" width="17.109375" customWidth="1"/>
    <col min="21" max="21" width="16.44140625" customWidth="1"/>
    <col min="22" max="22" width="19.109375" customWidth="1"/>
    <col min="23" max="23" width="3" customWidth="1"/>
    <col min="24" max="24" width="17.109375" customWidth="1"/>
    <col min="25" max="25" width="16.44140625" customWidth="1"/>
    <col min="26" max="26" width="19.109375" customWidth="1"/>
    <col min="27" max="27" width="3" customWidth="1"/>
    <col min="28" max="28" width="17.109375" customWidth="1"/>
    <col min="29" max="29" width="16.44140625" customWidth="1"/>
    <col min="30" max="30" width="19.109375" customWidth="1"/>
    <col min="31" max="31" width="3" customWidth="1"/>
    <col min="32" max="32" width="17.109375" customWidth="1"/>
    <col min="33" max="33" width="16.44140625" customWidth="1"/>
    <col min="34" max="34" width="19.109375" customWidth="1"/>
    <col min="35" max="35" width="3" customWidth="1"/>
    <col min="36" max="36" width="17.109375" customWidth="1"/>
    <col min="37" max="37" width="16.44140625" customWidth="1"/>
    <col min="38" max="38" width="19.109375" customWidth="1"/>
    <col min="39" max="39" width="3" customWidth="1"/>
    <col min="40" max="40" width="17.109375" customWidth="1"/>
    <col min="41" max="41" width="16.44140625" customWidth="1"/>
    <col min="42" max="42" width="19.109375" customWidth="1"/>
    <col min="43" max="43" width="4.5546875" customWidth="1"/>
    <col min="44" max="44" width="18" bestFit="1" customWidth="1"/>
    <col min="45" max="45" width="18" customWidth="1"/>
    <col min="46" max="46" width="9.44140625" bestFit="1" customWidth="1"/>
    <col min="47" max="47" width="16.33203125" bestFit="1" customWidth="1"/>
    <col min="48" max="58" width="4.5546875" customWidth="1"/>
  </cols>
  <sheetData>
    <row r="1" spans="1:58" ht="15" thickBot="1" x14ac:dyDescent="0.35">
      <c r="A1" s="33"/>
      <c r="B1" s="341" t="s">
        <v>76</v>
      </c>
      <c r="C1" s="341"/>
      <c r="D1" s="19">
        <v>70000</v>
      </c>
      <c r="E1" s="344" t="s">
        <v>53</v>
      </c>
      <c r="F1" s="345"/>
      <c r="G1" s="1"/>
      <c r="H1" s="19">
        <v>71000</v>
      </c>
      <c r="I1" s="344" t="s">
        <v>81</v>
      </c>
      <c r="J1" s="345" t="s">
        <v>54</v>
      </c>
      <c r="K1" s="1"/>
      <c r="L1" s="19">
        <v>72100</v>
      </c>
      <c r="M1" s="344" t="s">
        <v>205</v>
      </c>
      <c r="N1" s="345" t="s">
        <v>54</v>
      </c>
      <c r="O1" s="1"/>
      <c r="P1" s="19">
        <v>72200</v>
      </c>
      <c r="Q1" s="344" t="s">
        <v>206</v>
      </c>
      <c r="R1" s="345"/>
      <c r="S1" s="1"/>
      <c r="T1" s="19">
        <v>72300</v>
      </c>
      <c r="U1" s="344" t="s">
        <v>128</v>
      </c>
      <c r="V1" s="345"/>
      <c r="W1" s="1"/>
      <c r="X1" s="19">
        <v>72400</v>
      </c>
      <c r="Y1" s="344" t="s">
        <v>298</v>
      </c>
      <c r="Z1" s="345"/>
      <c r="AA1" s="1"/>
      <c r="AB1" s="19">
        <v>72500</v>
      </c>
      <c r="AC1" s="344" t="s">
        <v>129</v>
      </c>
      <c r="AD1" s="345"/>
      <c r="AE1" s="1"/>
      <c r="AF1" s="19">
        <v>72600</v>
      </c>
      <c r="AG1" s="344" t="s">
        <v>132</v>
      </c>
      <c r="AH1" s="345"/>
      <c r="AI1" s="1"/>
      <c r="AJ1" s="19">
        <v>72700</v>
      </c>
      <c r="AK1" s="344" t="s">
        <v>131</v>
      </c>
      <c r="AL1" s="345"/>
      <c r="AM1" s="1"/>
      <c r="AN1" s="19"/>
      <c r="AO1" s="344"/>
      <c r="AP1" s="345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thickBot="1" x14ac:dyDescent="0.35">
      <c r="A2" s="32"/>
      <c r="B2" s="341" t="s">
        <v>75</v>
      </c>
      <c r="C2" s="341"/>
      <c r="D2" s="14"/>
      <c r="E2" s="138"/>
      <c r="F2" s="16"/>
      <c r="G2" s="2"/>
      <c r="H2" s="14"/>
      <c r="I2" s="15"/>
      <c r="J2" s="16"/>
      <c r="K2" s="2"/>
      <c r="L2" s="14"/>
      <c r="M2" s="15"/>
      <c r="N2" s="16"/>
      <c r="O2" s="2"/>
      <c r="P2" s="14"/>
      <c r="Q2" s="138"/>
      <c r="R2" s="16"/>
      <c r="S2" s="2"/>
      <c r="T2" s="14"/>
      <c r="U2" s="15"/>
      <c r="V2" s="16"/>
      <c r="W2" s="2"/>
      <c r="X2" s="14"/>
      <c r="Y2" s="15"/>
      <c r="Z2" s="16"/>
      <c r="AA2" s="2"/>
      <c r="AB2" s="14"/>
      <c r="AC2" s="15"/>
      <c r="AD2" s="16"/>
      <c r="AE2" s="2"/>
      <c r="AF2" s="14"/>
      <c r="AG2" s="15"/>
      <c r="AH2" s="16"/>
      <c r="AI2" s="2"/>
      <c r="AJ2" s="14"/>
      <c r="AK2" s="15"/>
      <c r="AL2" s="16"/>
      <c r="AM2" s="2"/>
      <c r="AN2" s="14"/>
      <c r="AO2" s="15"/>
      <c r="AP2" s="16"/>
      <c r="AR2" s="254" t="s">
        <v>52</v>
      </c>
      <c r="AS2" s="274" t="s">
        <v>52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" thickBot="1" x14ac:dyDescent="0.35">
      <c r="B3" s="3" t="s">
        <v>0</v>
      </c>
      <c r="C3" s="18" t="s">
        <v>47</v>
      </c>
      <c r="D3" s="29" t="s">
        <v>342</v>
      </c>
      <c r="E3" s="139" t="s">
        <v>70</v>
      </c>
      <c r="F3" s="31" t="s">
        <v>343</v>
      </c>
      <c r="G3" s="4"/>
      <c r="H3" s="29" t="s">
        <v>342</v>
      </c>
      <c r="I3" s="30" t="s">
        <v>70</v>
      </c>
      <c r="J3" s="31" t="s">
        <v>343</v>
      </c>
      <c r="K3" s="4"/>
      <c r="L3" s="29" t="s">
        <v>342</v>
      </c>
      <c r="M3" s="30" t="s">
        <v>70</v>
      </c>
      <c r="N3" s="31" t="s">
        <v>343</v>
      </c>
      <c r="O3" s="4"/>
      <c r="P3" s="29" t="s">
        <v>344</v>
      </c>
      <c r="Q3" s="139" t="s">
        <v>70</v>
      </c>
      <c r="R3" s="31" t="s">
        <v>343</v>
      </c>
      <c r="S3" s="4"/>
      <c r="T3" s="29" t="s">
        <v>344</v>
      </c>
      <c r="U3" s="30" t="s">
        <v>70</v>
      </c>
      <c r="V3" s="31" t="s">
        <v>343</v>
      </c>
      <c r="W3" s="4"/>
      <c r="X3" s="29" t="s">
        <v>344</v>
      </c>
      <c r="Y3" s="30" t="s">
        <v>70</v>
      </c>
      <c r="Z3" s="31" t="s">
        <v>343</v>
      </c>
      <c r="AA3" s="4"/>
      <c r="AB3" s="29" t="s">
        <v>344</v>
      </c>
      <c r="AC3" s="30" t="s">
        <v>70</v>
      </c>
      <c r="AD3" s="31" t="s">
        <v>343</v>
      </c>
      <c r="AE3" s="4"/>
      <c r="AF3" s="29" t="s">
        <v>344</v>
      </c>
      <c r="AG3" s="30" t="s">
        <v>70</v>
      </c>
      <c r="AH3" s="31" t="s">
        <v>343</v>
      </c>
      <c r="AI3" s="4"/>
      <c r="AJ3" s="29" t="s">
        <v>344</v>
      </c>
      <c r="AK3" s="30" t="s">
        <v>70</v>
      </c>
      <c r="AL3" s="31" t="s">
        <v>343</v>
      </c>
      <c r="AM3" s="4"/>
      <c r="AN3" s="29" t="s">
        <v>344</v>
      </c>
      <c r="AO3" s="30" t="s">
        <v>70</v>
      </c>
      <c r="AP3" s="31" t="s">
        <v>343</v>
      </c>
      <c r="AR3" s="109" t="s">
        <v>367</v>
      </c>
      <c r="AS3" s="284" t="s">
        <v>368</v>
      </c>
      <c r="AT3" s="263" t="s">
        <v>0</v>
      </c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29.4" thickBot="1" x14ac:dyDescent="0.35">
      <c r="A4" s="5" t="s">
        <v>45</v>
      </c>
      <c r="B4" s="6">
        <v>3010</v>
      </c>
      <c r="C4" s="7" t="s">
        <v>146</v>
      </c>
      <c r="D4" s="80">
        <f>10*2500+2*500</f>
        <v>26000</v>
      </c>
      <c r="E4" s="93" t="s">
        <v>323</v>
      </c>
      <c r="F4" s="82"/>
      <c r="G4" s="83"/>
      <c r="H4" s="80"/>
      <c r="I4" s="81"/>
      <c r="J4" s="82"/>
      <c r="K4" s="83"/>
      <c r="L4" s="80"/>
      <c r="M4" s="81"/>
      <c r="N4" s="82"/>
      <c r="O4" s="83"/>
      <c r="P4" s="80"/>
      <c r="Q4" s="93"/>
      <c r="R4" s="82"/>
      <c r="S4" s="83"/>
      <c r="T4" s="80"/>
      <c r="U4" s="81"/>
      <c r="V4" s="82"/>
      <c r="W4" s="83"/>
      <c r="X4" s="80"/>
      <c r="Y4" s="81"/>
      <c r="Z4" s="82"/>
      <c r="AA4" s="83"/>
      <c r="AB4" s="80"/>
      <c r="AC4" s="81"/>
      <c r="AD4" s="82"/>
      <c r="AE4" s="83"/>
      <c r="AF4" s="80"/>
      <c r="AG4" s="81"/>
      <c r="AH4" s="82"/>
      <c r="AI4" s="83"/>
      <c r="AJ4" s="80"/>
      <c r="AK4" s="81"/>
      <c r="AL4" s="82"/>
      <c r="AM4" s="83"/>
      <c r="AN4" s="80"/>
      <c r="AO4" s="81"/>
      <c r="AP4" s="82"/>
      <c r="AR4" s="295">
        <f>SUM(F4+J4+N4+R4+V4+Z4+AD4+AH4+AL4+AP4)</f>
        <v>0</v>
      </c>
      <c r="AS4" s="298">
        <f>SUM(D4+H4+L4+P4+T4+X4+AB4+AF4+AJ4+AN4)</f>
        <v>26000</v>
      </c>
      <c r="AT4" s="256">
        <v>3010</v>
      </c>
    </row>
    <row r="5" spans="1:58" x14ac:dyDescent="0.3">
      <c r="B5" s="6">
        <v>3011</v>
      </c>
      <c r="C5" s="7" t="s">
        <v>147</v>
      </c>
      <c r="D5" s="80"/>
      <c r="E5" s="93" t="s">
        <v>324</v>
      </c>
      <c r="F5" s="82"/>
      <c r="G5" s="83"/>
      <c r="H5" s="80"/>
      <c r="I5" s="81"/>
      <c r="J5" s="82"/>
      <c r="K5" s="83"/>
      <c r="L5" s="80">
        <f>SUM(10*2500)</f>
        <v>25000</v>
      </c>
      <c r="M5" s="81"/>
      <c r="N5" s="82"/>
      <c r="O5" s="83"/>
      <c r="P5" s="80">
        <f>SUM(8*1000)</f>
        <v>8000</v>
      </c>
      <c r="Q5" s="93"/>
      <c r="R5" s="82"/>
      <c r="S5" s="83"/>
      <c r="T5" s="80"/>
      <c r="U5" s="81"/>
      <c r="V5" s="82"/>
      <c r="W5" s="83"/>
      <c r="X5" s="80"/>
      <c r="Y5" s="81"/>
      <c r="Z5" s="82"/>
      <c r="AA5" s="83"/>
      <c r="AB5" s="80"/>
      <c r="AC5" s="81"/>
      <c r="AD5" s="82"/>
      <c r="AE5" s="83"/>
      <c r="AF5" s="80"/>
      <c r="AG5" s="81"/>
      <c r="AH5" s="82"/>
      <c r="AI5" s="83"/>
      <c r="AJ5" s="80"/>
      <c r="AK5" s="81"/>
      <c r="AL5" s="82"/>
      <c r="AM5" s="83"/>
      <c r="AN5" s="80"/>
      <c r="AO5" s="81"/>
      <c r="AP5" s="82"/>
      <c r="AR5" s="295">
        <f t="shared" ref="AR5:AR68" si="0">SUM(F5+J5+N5+R5+V5+Z5+AD5+AH5+AL5+AP5)</f>
        <v>0</v>
      </c>
      <c r="AS5" s="298">
        <f t="shared" ref="AS5:AS67" si="1">SUM(D5+H5+L5+P5+T5+X5+AB5+AF5+AJ5+AN5)</f>
        <v>33000</v>
      </c>
      <c r="AT5" s="256">
        <v>3011</v>
      </c>
    </row>
    <row r="6" spans="1:58" x14ac:dyDescent="0.3">
      <c r="B6" s="6">
        <v>3012</v>
      </c>
      <c r="C6" s="7" t="s">
        <v>297</v>
      </c>
      <c r="D6" s="80"/>
      <c r="E6" s="93" t="s">
        <v>324</v>
      </c>
      <c r="F6" s="82"/>
      <c r="G6" s="83"/>
      <c r="H6" s="80"/>
      <c r="I6" s="81"/>
      <c r="J6" s="82"/>
      <c r="K6" s="83"/>
      <c r="L6" s="80"/>
      <c r="M6" s="81"/>
      <c r="N6" s="82"/>
      <c r="O6" s="83"/>
      <c r="P6" s="80"/>
      <c r="Q6" s="93"/>
      <c r="R6" s="82"/>
      <c r="S6" s="83"/>
      <c r="T6" s="80">
        <f>SUM(5*1500+2*500)</f>
        <v>8500</v>
      </c>
      <c r="U6" s="81"/>
      <c r="V6" s="82"/>
      <c r="W6" s="83"/>
      <c r="X6" s="80"/>
      <c r="Y6" s="81"/>
      <c r="Z6" s="82"/>
      <c r="AA6" s="83"/>
      <c r="AB6" s="80"/>
      <c r="AC6" s="81"/>
      <c r="AD6" s="82"/>
      <c r="AE6" s="83"/>
      <c r="AF6" s="80"/>
      <c r="AG6" s="81"/>
      <c r="AH6" s="82"/>
      <c r="AI6" s="83"/>
      <c r="AJ6" s="80"/>
      <c r="AK6" s="81"/>
      <c r="AL6" s="82"/>
      <c r="AM6" s="83"/>
      <c r="AN6" s="80"/>
      <c r="AO6" s="81"/>
      <c r="AP6" s="82"/>
      <c r="AR6" s="296">
        <f t="shared" si="0"/>
        <v>0</v>
      </c>
      <c r="AS6" s="298">
        <f t="shared" si="1"/>
        <v>8500</v>
      </c>
      <c r="AT6" s="256">
        <v>3012</v>
      </c>
    </row>
    <row r="7" spans="1:58" x14ac:dyDescent="0.3">
      <c r="B7" s="6">
        <v>3016</v>
      </c>
      <c r="C7" s="7" t="s">
        <v>295</v>
      </c>
      <c r="D7" s="80"/>
      <c r="E7" s="93"/>
      <c r="F7" s="82"/>
      <c r="G7" s="83"/>
      <c r="H7" s="80">
        <f>SUM(150*250)</f>
        <v>37500</v>
      </c>
      <c r="I7" s="81"/>
      <c r="J7" s="82"/>
      <c r="K7" s="83"/>
      <c r="L7" s="80"/>
      <c r="M7" s="81"/>
      <c r="N7" s="82"/>
      <c r="O7" s="83"/>
      <c r="P7" s="80"/>
      <c r="Q7" s="93"/>
      <c r="R7" s="82"/>
      <c r="S7" s="83"/>
      <c r="T7" s="80"/>
      <c r="U7" s="81"/>
      <c r="V7" s="82"/>
      <c r="W7" s="83"/>
      <c r="X7" s="80"/>
      <c r="Y7" s="81"/>
      <c r="Z7" s="82"/>
      <c r="AA7" s="83"/>
      <c r="AB7" s="80"/>
      <c r="AC7" s="81"/>
      <c r="AD7" s="82"/>
      <c r="AE7" s="83"/>
      <c r="AF7" s="80"/>
      <c r="AG7" s="81"/>
      <c r="AH7" s="82"/>
      <c r="AI7" s="83"/>
      <c r="AJ7" s="80"/>
      <c r="AK7" s="81"/>
      <c r="AL7" s="82"/>
      <c r="AM7" s="83"/>
      <c r="AN7" s="80"/>
      <c r="AO7" s="81"/>
      <c r="AP7" s="82"/>
      <c r="AR7" s="295">
        <f t="shared" si="0"/>
        <v>0</v>
      </c>
      <c r="AS7" s="298">
        <f t="shared" si="1"/>
        <v>37500</v>
      </c>
      <c r="AT7" s="256">
        <v>3016</v>
      </c>
    </row>
    <row r="8" spans="1:58" x14ac:dyDescent="0.3">
      <c r="B8" s="6">
        <v>3017</v>
      </c>
      <c r="C8" s="7" t="s">
        <v>149</v>
      </c>
      <c r="D8" s="80"/>
      <c r="E8" s="93"/>
      <c r="F8" s="82"/>
      <c r="G8" s="83"/>
      <c r="H8" s="80"/>
      <c r="I8" s="81"/>
      <c r="J8" s="82"/>
      <c r="K8" s="83"/>
      <c r="L8" s="80"/>
      <c r="M8" s="81"/>
      <c r="N8" s="82"/>
      <c r="O8" s="83"/>
      <c r="P8" s="80"/>
      <c r="Q8" s="93"/>
      <c r="R8" s="82"/>
      <c r="S8" s="83"/>
      <c r="T8" s="80"/>
      <c r="U8" s="81"/>
      <c r="V8" s="82"/>
      <c r="W8" s="83"/>
      <c r="X8" s="80"/>
      <c r="Y8" s="81"/>
      <c r="Z8" s="82"/>
      <c r="AA8" s="83"/>
      <c r="AB8" s="80"/>
      <c r="AC8" s="81"/>
      <c r="AD8" s="82"/>
      <c r="AE8" s="83"/>
      <c r="AF8" s="80"/>
      <c r="AG8" s="81"/>
      <c r="AH8" s="82"/>
      <c r="AI8" s="83"/>
      <c r="AJ8" s="80"/>
      <c r="AK8" s="81"/>
      <c r="AL8" s="82"/>
      <c r="AM8" s="83"/>
      <c r="AN8" s="80"/>
      <c r="AO8" s="81"/>
      <c r="AP8" s="82"/>
      <c r="AR8" s="295">
        <f t="shared" si="0"/>
        <v>0</v>
      </c>
      <c r="AS8" s="298">
        <f t="shared" si="1"/>
        <v>0</v>
      </c>
      <c r="AT8" s="256">
        <v>3017</v>
      </c>
    </row>
    <row r="9" spans="1:58" x14ac:dyDescent="0.3">
      <c r="B9" s="6">
        <v>3017</v>
      </c>
      <c r="C9" s="191" t="s">
        <v>296</v>
      </c>
      <c r="D9" s="80"/>
      <c r="E9" s="93"/>
      <c r="F9" s="82"/>
      <c r="G9" s="83"/>
      <c r="H9" s="80">
        <f>SUM(19*400)</f>
        <v>7600</v>
      </c>
      <c r="I9" s="81"/>
      <c r="J9" s="82"/>
      <c r="K9" s="83"/>
      <c r="L9" s="80"/>
      <c r="M9" s="81"/>
      <c r="N9" s="82"/>
      <c r="O9" s="83"/>
      <c r="P9" s="80"/>
      <c r="Q9" s="93"/>
      <c r="R9" s="82"/>
      <c r="S9" s="83"/>
      <c r="T9" s="80"/>
      <c r="U9" s="81"/>
      <c r="V9" s="82"/>
      <c r="W9" s="83"/>
      <c r="X9" s="80"/>
      <c r="Y9" s="81"/>
      <c r="Z9" s="82"/>
      <c r="AA9" s="83"/>
      <c r="AB9" s="80"/>
      <c r="AC9" s="81"/>
      <c r="AD9" s="82"/>
      <c r="AE9" s="83"/>
      <c r="AF9" s="80"/>
      <c r="AG9" s="81"/>
      <c r="AH9" s="82"/>
      <c r="AI9" s="83"/>
      <c r="AJ9" s="80"/>
      <c r="AK9" s="81"/>
      <c r="AL9" s="82"/>
      <c r="AM9" s="83"/>
      <c r="AN9" s="80"/>
      <c r="AO9" s="81"/>
      <c r="AP9" s="82"/>
      <c r="AR9" s="296">
        <f t="shared" si="0"/>
        <v>0</v>
      </c>
      <c r="AS9" s="298">
        <f t="shared" si="1"/>
        <v>7600</v>
      </c>
      <c r="AT9" s="256">
        <v>3017</v>
      </c>
    </row>
    <row r="10" spans="1:58" x14ac:dyDescent="0.3">
      <c r="B10" s="6">
        <v>3100</v>
      </c>
      <c r="C10" s="7" t="s">
        <v>3</v>
      </c>
      <c r="D10" s="80"/>
      <c r="E10" s="93"/>
      <c r="F10" s="82"/>
      <c r="G10" s="83"/>
      <c r="H10" s="80">
        <v>12000</v>
      </c>
      <c r="I10" s="81" t="s">
        <v>209</v>
      </c>
      <c r="J10" s="82"/>
      <c r="K10" s="83"/>
      <c r="L10" s="80"/>
      <c r="M10" s="81"/>
      <c r="N10" s="82"/>
      <c r="O10" s="83"/>
      <c r="P10" s="80"/>
      <c r="Q10" s="93"/>
      <c r="R10" s="82"/>
      <c r="S10" s="83"/>
      <c r="T10" s="80"/>
      <c r="U10" s="81"/>
      <c r="V10" s="82"/>
      <c r="W10" s="83"/>
      <c r="X10" s="80"/>
      <c r="Y10" s="81"/>
      <c r="Z10" s="82"/>
      <c r="AA10" s="83"/>
      <c r="AB10" s="80"/>
      <c r="AC10" s="81"/>
      <c r="AD10" s="82"/>
      <c r="AE10" s="83"/>
      <c r="AF10" s="80"/>
      <c r="AG10" s="81"/>
      <c r="AH10" s="82"/>
      <c r="AI10" s="83"/>
      <c r="AJ10" s="80"/>
      <c r="AK10" s="81"/>
      <c r="AL10" s="82"/>
      <c r="AM10" s="83"/>
      <c r="AN10" s="80"/>
      <c r="AO10" s="81"/>
      <c r="AP10" s="82"/>
      <c r="AR10" s="295">
        <f t="shared" si="0"/>
        <v>0</v>
      </c>
      <c r="AS10" s="298">
        <f t="shared" si="1"/>
        <v>12000</v>
      </c>
      <c r="AT10" s="256">
        <v>3100</v>
      </c>
    </row>
    <row r="11" spans="1:58" hidden="1" x14ac:dyDescent="0.3">
      <c r="B11" s="6">
        <v>3120</v>
      </c>
      <c r="C11" s="7" t="s">
        <v>4</v>
      </c>
      <c r="D11" s="80"/>
      <c r="E11" s="93"/>
      <c r="F11" s="82"/>
      <c r="G11" s="83"/>
      <c r="H11" s="80"/>
      <c r="I11" s="81"/>
      <c r="J11" s="82"/>
      <c r="K11" s="83"/>
      <c r="L11" s="80"/>
      <c r="M11" s="81"/>
      <c r="N11" s="82"/>
      <c r="O11" s="83"/>
      <c r="P11" s="80"/>
      <c r="Q11" s="93"/>
      <c r="R11" s="82"/>
      <c r="S11" s="83"/>
      <c r="T11" s="80"/>
      <c r="U11" s="81"/>
      <c r="V11" s="82"/>
      <c r="W11" s="83"/>
      <c r="X11" s="80"/>
      <c r="Y11" s="81"/>
      <c r="Z11" s="82"/>
      <c r="AA11" s="83"/>
      <c r="AB11" s="80"/>
      <c r="AC11" s="81"/>
      <c r="AD11" s="82"/>
      <c r="AE11" s="83"/>
      <c r="AF11" s="80"/>
      <c r="AG11" s="81"/>
      <c r="AH11" s="82"/>
      <c r="AI11" s="83"/>
      <c r="AJ11" s="80"/>
      <c r="AK11" s="81"/>
      <c r="AL11" s="82"/>
      <c r="AM11" s="83"/>
      <c r="AN11" s="80"/>
      <c r="AO11" s="81"/>
      <c r="AP11" s="82"/>
      <c r="AR11" s="295">
        <f t="shared" si="0"/>
        <v>0</v>
      </c>
      <c r="AS11" s="298">
        <f t="shared" si="1"/>
        <v>0</v>
      </c>
      <c r="AT11" s="256">
        <v>3120</v>
      </c>
    </row>
    <row r="12" spans="1:58" hidden="1" x14ac:dyDescent="0.3">
      <c r="B12" s="6">
        <v>3400</v>
      </c>
      <c r="C12" s="7" t="s">
        <v>5</v>
      </c>
      <c r="D12" s="80"/>
      <c r="E12" s="93"/>
      <c r="F12" s="82"/>
      <c r="G12" s="83"/>
      <c r="H12" s="80"/>
      <c r="I12" s="81"/>
      <c r="J12" s="82"/>
      <c r="K12" s="83"/>
      <c r="L12" s="80"/>
      <c r="M12" s="81"/>
      <c r="N12" s="82"/>
      <c r="O12" s="83"/>
      <c r="P12" s="80"/>
      <c r="Q12" s="93"/>
      <c r="R12" s="82"/>
      <c r="S12" s="83"/>
      <c r="T12" s="80"/>
      <c r="U12" s="81"/>
      <c r="V12" s="82"/>
      <c r="W12" s="83"/>
      <c r="X12" s="80"/>
      <c r="Y12" s="81"/>
      <c r="Z12" s="82"/>
      <c r="AA12" s="83"/>
      <c r="AB12" s="80"/>
      <c r="AC12" s="81"/>
      <c r="AD12" s="82"/>
      <c r="AE12" s="83"/>
      <c r="AF12" s="80"/>
      <c r="AG12" s="81"/>
      <c r="AH12" s="82"/>
      <c r="AI12" s="83"/>
      <c r="AJ12" s="80"/>
      <c r="AK12" s="81"/>
      <c r="AL12" s="82"/>
      <c r="AM12" s="83"/>
      <c r="AN12" s="80"/>
      <c r="AO12" s="81"/>
      <c r="AP12" s="82"/>
      <c r="AR12" s="295">
        <f t="shared" si="0"/>
        <v>0</v>
      </c>
      <c r="AS12" s="298">
        <f t="shared" si="1"/>
        <v>0</v>
      </c>
      <c r="AT12" s="256">
        <v>3400</v>
      </c>
    </row>
    <row r="13" spans="1:58" hidden="1" x14ac:dyDescent="0.3">
      <c r="B13" s="6">
        <v>3410</v>
      </c>
      <c r="C13" s="7" t="s">
        <v>6</v>
      </c>
      <c r="D13" s="80"/>
      <c r="E13" s="93"/>
      <c r="F13" s="82"/>
      <c r="G13" s="83"/>
      <c r="H13" s="80"/>
      <c r="I13" s="81"/>
      <c r="J13" s="82"/>
      <c r="K13" s="83"/>
      <c r="L13" s="80"/>
      <c r="M13" s="81"/>
      <c r="N13" s="82"/>
      <c r="O13" s="83"/>
      <c r="P13" s="80"/>
      <c r="Q13" s="93"/>
      <c r="R13" s="82"/>
      <c r="S13" s="83"/>
      <c r="T13" s="80"/>
      <c r="U13" s="81"/>
      <c r="V13" s="82"/>
      <c r="W13" s="83"/>
      <c r="X13" s="80"/>
      <c r="Y13" s="81"/>
      <c r="Z13" s="82"/>
      <c r="AA13" s="83"/>
      <c r="AB13" s="80"/>
      <c r="AC13" s="81"/>
      <c r="AD13" s="82"/>
      <c r="AE13" s="83"/>
      <c r="AF13" s="80"/>
      <c r="AG13" s="81"/>
      <c r="AH13" s="82"/>
      <c r="AI13" s="83"/>
      <c r="AJ13" s="80"/>
      <c r="AK13" s="81"/>
      <c r="AL13" s="82"/>
      <c r="AM13" s="83"/>
      <c r="AN13" s="80"/>
      <c r="AO13" s="81"/>
      <c r="AP13" s="82"/>
      <c r="AR13" s="295">
        <f t="shared" si="0"/>
        <v>0</v>
      </c>
      <c r="AS13" s="298">
        <f t="shared" si="1"/>
        <v>0</v>
      </c>
      <c r="AT13" s="256">
        <v>3410</v>
      </c>
    </row>
    <row r="14" spans="1:58" hidden="1" x14ac:dyDescent="0.3">
      <c r="B14" s="6">
        <v>3900</v>
      </c>
      <c r="C14" s="7" t="s">
        <v>7</v>
      </c>
      <c r="D14" s="80"/>
      <c r="E14" s="93"/>
      <c r="F14" s="82"/>
      <c r="G14" s="83"/>
      <c r="H14" s="80"/>
      <c r="I14" s="81"/>
      <c r="J14" s="82"/>
      <c r="K14" s="83"/>
      <c r="L14" s="80"/>
      <c r="M14" s="81"/>
      <c r="N14" s="82"/>
      <c r="O14" s="83"/>
      <c r="P14" s="80"/>
      <c r="Q14" s="93"/>
      <c r="R14" s="82"/>
      <c r="S14" s="83"/>
      <c r="T14" s="80"/>
      <c r="U14" s="81"/>
      <c r="V14" s="82"/>
      <c r="W14" s="83"/>
      <c r="X14" s="80"/>
      <c r="Y14" s="81"/>
      <c r="Z14" s="82"/>
      <c r="AA14" s="83"/>
      <c r="AB14" s="80"/>
      <c r="AC14" s="81"/>
      <c r="AD14" s="82"/>
      <c r="AE14" s="83"/>
      <c r="AF14" s="80"/>
      <c r="AG14" s="81"/>
      <c r="AH14" s="82"/>
      <c r="AI14" s="83"/>
      <c r="AJ14" s="80"/>
      <c r="AK14" s="81"/>
      <c r="AL14" s="82"/>
      <c r="AM14" s="83"/>
      <c r="AN14" s="80"/>
      <c r="AO14" s="81"/>
      <c r="AP14" s="82"/>
      <c r="AR14" s="295">
        <f t="shared" si="0"/>
        <v>0</v>
      </c>
      <c r="AS14" s="298">
        <f t="shared" si="1"/>
        <v>0</v>
      </c>
      <c r="AT14" s="256">
        <v>3900</v>
      </c>
    </row>
    <row r="15" spans="1:58" ht="14.4" customHeight="1" x14ac:dyDescent="0.3">
      <c r="B15" s="6">
        <v>3910</v>
      </c>
      <c r="C15" s="7" t="s">
        <v>8</v>
      </c>
      <c r="D15" s="80"/>
      <c r="E15" s="93"/>
      <c r="F15" s="82"/>
      <c r="G15" s="83"/>
      <c r="H15" s="80"/>
      <c r="I15" s="81"/>
      <c r="J15" s="82"/>
      <c r="K15" s="83"/>
      <c r="L15" s="80"/>
      <c r="M15" s="81"/>
      <c r="N15" s="82"/>
      <c r="O15" s="83"/>
      <c r="P15" s="80"/>
      <c r="Q15" s="93"/>
      <c r="R15" s="82"/>
      <c r="S15" s="83"/>
      <c r="T15" s="80"/>
      <c r="U15" s="81"/>
      <c r="V15" s="82"/>
      <c r="W15" s="83"/>
      <c r="X15" s="80"/>
      <c r="Y15" s="81"/>
      <c r="Z15" s="82"/>
      <c r="AA15" s="83"/>
      <c r="AB15" s="80"/>
      <c r="AC15" s="81"/>
      <c r="AD15" s="82"/>
      <c r="AE15" s="83"/>
      <c r="AF15" s="80"/>
      <c r="AG15" s="81"/>
      <c r="AH15" s="82"/>
      <c r="AI15" s="83"/>
      <c r="AJ15" s="80"/>
      <c r="AK15" s="81"/>
      <c r="AL15" s="82"/>
      <c r="AM15" s="83"/>
      <c r="AN15" s="80"/>
      <c r="AO15" s="81"/>
      <c r="AP15" s="82"/>
      <c r="AR15" s="295">
        <f t="shared" si="0"/>
        <v>0</v>
      </c>
      <c r="AS15" s="298">
        <f t="shared" si="1"/>
        <v>0</v>
      </c>
      <c r="AT15" s="256">
        <v>3910</v>
      </c>
    </row>
    <row r="16" spans="1:58" x14ac:dyDescent="0.3">
      <c r="B16" s="193">
        <v>3100</v>
      </c>
      <c r="C16" s="214" t="s">
        <v>9</v>
      </c>
      <c r="D16" s="80"/>
      <c r="E16" s="93"/>
      <c r="F16" s="82"/>
      <c r="G16" s="83"/>
      <c r="H16" s="80"/>
      <c r="I16" s="81"/>
      <c r="J16" s="82"/>
      <c r="K16" s="83"/>
      <c r="L16" s="80"/>
      <c r="M16" s="81"/>
      <c r="N16" s="82"/>
      <c r="O16" s="83"/>
      <c r="P16" s="80"/>
      <c r="Q16" s="93"/>
      <c r="R16" s="82"/>
      <c r="S16" s="83"/>
      <c r="T16" s="80"/>
      <c r="U16" s="81"/>
      <c r="V16" s="82"/>
      <c r="W16" s="83"/>
      <c r="X16" s="80"/>
      <c r="Y16" s="81"/>
      <c r="Z16" s="82"/>
      <c r="AA16" s="83"/>
      <c r="AB16" s="80"/>
      <c r="AC16" s="81"/>
      <c r="AD16" s="82"/>
      <c r="AE16" s="83"/>
      <c r="AF16" s="80"/>
      <c r="AG16" s="81"/>
      <c r="AH16" s="82"/>
      <c r="AI16" s="83"/>
      <c r="AJ16" s="80"/>
      <c r="AK16" s="81"/>
      <c r="AL16" s="82"/>
      <c r="AM16" s="83"/>
      <c r="AN16" s="80"/>
      <c r="AO16" s="81"/>
      <c r="AP16" s="82"/>
      <c r="AR16" s="296">
        <f t="shared" si="0"/>
        <v>0</v>
      </c>
      <c r="AS16" s="298">
        <f t="shared" si="1"/>
        <v>0</v>
      </c>
      <c r="AT16" s="297">
        <v>3100</v>
      </c>
    </row>
    <row r="17" spans="1:47" ht="14.4" customHeight="1" thickBot="1" x14ac:dyDescent="0.35">
      <c r="B17" s="8">
        <v>3950</v>
      </c>
      <c r="C17" s="9" t="s">
        <v>9</v>
      </c>
      <c r="D17" s="84"/>
      <c r="E17" s="141"/>
      <c r="F17" s="86"/>
      <c r="G17" s="83"/>
      <c r="H17" s="84"/>
      <c r="I17" s="85"/>
      <c r="J17" s="86"/>
      <c r="K17" s="83"/>
      <c r="L17" s="84"/>
      <c r="M17" s="85"/>
      <c r="N17" s="86"/>
      <c r="O17" s="83"/>
      <c r="P17" s="84"/>
      <c r="Q17" s="141"/>
      <c r="R17" s="86"/>
      <c r="S17" s="83"/>
      <c r="T17" s="84"/>
      <c r="U17" s="85"/>
      <c r="V17" s="86"/>
      <c r="W17" s="83"/>
      <c r="X17" s="84"/>
      <c r="Y17" s="85"/>
      <c r="Z17" s="86"/>
      <c r="AA17" s="83"/>
      <c r="AB17" s="84"/>
      <c r="AC17" s="85"/>
      <c r="AD17" s="86"/>
      <c r="AE17" s="83"/>
      <c r="AF17" s="84"/>
      <c r="AG17" s="85"/>
      <c r="AH17" s="86"/>
      <c r="AI17" s="83"/>
      <c r="AJ17" s="84"/>
      <c r="AK17" s="85"/>
      <c r="AL17" s="86"/>
      <c r="AM17" s="83"/>
      <c r="AN17" s="84"/>
      <c r="AO17" s="85"/>
      <c r="AP17" s="86"/>
      <c r="AR17" s="295">
        <f t="shared" si="0"/>
        <v>0</v>
      </c>
      <c r="AS17" s="298">
        <f t="shared" si="1"/>
        <v>0</v>
      </c>
      <c r="AT17" s="258">
        <v>3950</v>
      </c>
    </row>
    <row r="18" spans="1:47" ht="15" thickBot="1" x14ac:dyDescent="0.35">
      <c r="B18" s="24"/>
      <c r="C18" s="25" t="s">
        <v>73</v>
      </c>
      <c r="D18" s="87">
        <f>SUM(D4:D17)</f>
        <v>26000</v>
      </c>
      <c r="E18" s="140"/>
      <c r="F18" s="87"/>
      <c r="G18" s="83"/>
      <c r="H18" s="87">
        <f>SUM(H4:H17)</f>
        <v>57100</v>
      </c>
      <c r="I18" s="87"/>
      <c r="J18" s="87"/>
      <c r="K18" s="83"/>
      <c r="L18" s="87">
        <f>SUM(L4:L17)</f>
        <v>25000</v>
      </c>
      <c r="M18" s="87"/>
      <c r="N18" s="87"/>
      <c r="O18" s="83"/>
      <c r="P18" s="87">
        <f>SUM(P4:P17)</f>
        <v>8000</v>
      </c>
      <c r="Q18" s="140"/>
      <c r="R18" s="87"/>
      <c r="S18" s="83"/>
      <c r="T18" s="87">
        <f>SUM(T4:T17)</f>
        <v>8500</v>
      </c>
      <c r="U18" s="87"/>
      <c r="V18" s="87"/>
      <c r="W18" s="83"/>
      <c r="X18" s="87">
        <f>SUM(X4:X17)</f>
        <v>0</v>
      </c>
      <c r="Y18" s="87"/>
      <c r="Z18" s="87">
        <f>SUM(Z4:Z16)</f>
        <v>0</v>
      </c>
      <c r="AA18" s="83"/>
      <c r="AB18" s="87">
        <f>SUM(AB4:AB17)</f>
        <v>0</v>
      </c>
      <c r="AC18" s="87"/>
      <c r="AD18" s="87">
        <f>SUM(AD4:AD16)</f>
        <v>0</v>
      </c>
      <c r="AE18" s="83"/>
      <c r="AF18" s="87">
        <f>SUM(AF4:AF17)</f>
        <v>0</v>
      </c>
      <c r="AG18" s="87"/>
      <c r="AH18" s="87">
        <f>SUM(AH4:AH17)</f>
        <v>0</v>
      </c>
      <c r="AI18" s="83"/>
      <c r="AJ18" s="87">
        <f>SUM(AJ4:AJ17)</f>
        <v>0</v>
      </c>
      <c r="AK18" s="87"/>
      <c r="AL18" s="87">
        <f>SUM(AL4:AL17)</f>
        <v>0</v>
      </c>
      <c r="AM18" s="83"/>
      <c r="AN18" s="87">
        <f>SUM(AN4:AN17)</f>
        <v>0</v>
      </c>
      <c r="AO18" s="87"/>
      <c r="AP18" s="87"/>
      <c r="AR18" s="92">
        <f t="shared" si="0"/>
        <v>0</v>
      </c>
      <c r="AS18" s="180">
        <f t="shared" si="1"/>
        <v>124600</v>
      </c>
      <c r="AT18" s="257"/>
      <c r="AU18" s="83"/>
    </row>
    <row r="19" spans="1:47" ht="15" thickBot="1" x14ac:dyDescent="0.35">
      <c r="A19" s="21" t="s">
        <v>46</v>
      </c>
      <c r="B19" s="20">
        <v>5000</v>
      </c>
      <c r="C19" s="17" t="s">
        <v>10</v>
      </c>
      <c r="D19" s="187"/>
      <c r="E19" s="184"/>
      <c r="F19" s="185"/>
      <c r="G19" s="83"/>
      <c r="H19" s="187">
        <f>Lønnsmatrise!J59</f>
        <v>99487.8</v>
      </c>
      <c r="I19" s="204"/>
      <c r="J19" s="185"/>
      <c r="K19" s="83"/>
      <c r="L19" s="187">
        <f>Lønnsmatrise!L59</f>
        <v>6250</v>
      </c>
      <c r="M19" s="204" t="s">
        <v>327</v>
      </c>
      <c r="N19" s="185"/>
      <c r="O19" s="83"/>
      <c r="P19" s="187">
        <f>Lønnsmatrise!N59</f>
        <v>6500</v>
      </c>
      <c r="Q19" s="184" t="s">
        <v>327</v>
      </c>
      <c r="R19" s="185"/>
      <c r="S19" s="83"/>
      <c r="T19" s="187"/>
      <c r="U19" s="204"/>
      <c r="V19" s="185"/>
      <c r="W19" s="83"/>
      <c r="X19" s="187"/>
      <c r="Y19" s="204"/>
      <c r="Z19" s="185"/>
      <c r="AA19" s="83"/>
      <c r="AB19" s="187"/>
      <c r="AC19" s="204"/>
      <c r="AD19" s="185"/>
      <c r="AE19" s="83"/>
      <c r="AF19" s="187"/>
      <c r="AG19" s="204"/>
      <c r="AH19" s="185"/>
      <c r="AI19" s="83"/>
      <c r="AJ19" s="187"/>
      <c r="AK19" s="204"/>
      <c r="AL19" s="185"/>
      <c r="AM19" s="83"/>
      <c r="AN19" s="187"/>
      <c r="AO19" s="204"/>
      <c r="AP19" s="185"/>
      <c r="AR19" s="295">
        <f t="shared" si="0"/>
        <v>0</v>
      </c>
      <c r="AS19" s="298">
        <f t="shared" si="1"/>
        <v>112237.8</v>
      </c>
      <c r="AT19" s="50">
        <v>5000</v>
      </c>
    </row>
    <row r="20" spans="1:47" hidden="1" x14ac:dyDescent="0.3">
      <c r="B20" s="6">
        <v>5001</v>
      </c>
      <c r="C20" s="7" t="s">
        <v>11</v>
      </c>
      <c r="D20" s="90"/>
      <c r="E20" s="93"/>
      <c r="F20" s="82"/>
      <c r="G20" s="83"/>
      <c r="H20" s="90">
        <f>Lønnsmatrise!J60</f>
        <v>0</v>
      </c>
      <c r="I20" s="81"/>
      <c r="J20" s="82"/>
      <c r="K20" s="83"/>
      <c r="L20" s="90">
        <f>Lønnsmatrise!L60</f>
        <v>0</v>
      </c>
      <c r="M20" s="81"/>
      <c r="N20" s="82"/>
      <c r="O20" s="83"/>
      <c r="P20" s="90">
        <f>Lønnsmatrise!N60</f>
        <v>0</v>
      </c>
      <c r="Q20" s="93"/>
      <c r="R20" s="82"/>
      <c r="S20" s="83"/>
      <c r="T20" s="90"/>
      <c r="U20" s="81"/>
      <c r="V20" s="82"/>
      <c r="W20" s="83"/>
      <c r="X20" s="90"/>
      <c r="Y20" s="81"/>
      <c r="Z20" s="82"/>
      <c r="AA20" s="83"/>
      <c r="AB20" s="90"/>
      <c r="AC20" s="81"/>
      <c r="AD20" s="82"/>
      <c r="AE20" s="83"/>
      <c r="AF20" s="90"/>
      <c r="AG20" s="81"/>
      <c r="AH20" s="82"/>
      <c r="AI20" s="83"/>
      <c r="AJ20" s="90"/>
      <c r="AK20" s="81"/>
      <c r="AL20" s="82"/>
      <c r="AM20" s="83"/>
      <c r="AN20" s="90"/>
      <c r="AO20" s="81"/>
      <c r="AP20" s="82"/>
      <c r="AR20" s="295">
        <f t="shared" si="0"/>
        <v>0</v>
      </c>
      <c r="AS20" s="298">
        <f t="shared" si="1"/>
        <v>0</v>
      </c>
      <c r="AT20" s="256">
        <v>5001</v>
      </c>
    </row>
    <row r="21" spans="1:47" hidden="1" x14ac:dyDescent="0.3">
      <c r="B21" s="6">
        <v>5004</v>
      </c>
      <c r="C21" s="7" t="s">
        <v>12</v>
      </c>
      <c r="D21" s="90"/>
      <c r="E21" s="93"/>
      <c r="F21" s="82"/>
      <c r="G21" s="83"/>
      <c r="H21" s="90">
        <f>Lønnsmatrise!J61</f>
        <v>0</v>
      </c>
      <c r="I21" s="81"/>
      <c r="J21" s="82"/>
      <c r="K21" s="83"/>
      <c r="L21" s="90">
        <f>Lønnsmatrise!L61</f>
        <v>0</v>
      </c>
      <c r="M21" s="81"/>
      <c r="N21" s="82"/>
      <c r="O21" s="83"/>
      <c r="P21" s="90">
        <f>Lønnsmatrise!N61</f>
        <v>0</v>
      </c>
      <c r="Q21" s="93"/>
      <c r="R21" s="82"/>
      <c r="S21" s="83"/>
      <c r="T21" s="90"/>
      <c r="U21" s="81"/>
      <c r="V21" s="82"/>
      <c r="W21" s="83"/>
      <c r="X21" s="90"/>
      <c r="Y21" s="81"/>
      <c r="Z21" s="82"/>
      <c r="AA21" s="83"/>
      <c r="AB21" s="90"/>
      <c r="AC21" s="81"/>
      <c r="AD21" s="82"/>
      <c r="AE21" s="83"/>
      <c r="AF21" s="90"/>
      <c r="AG21" s="81"/>
      <c r="AH21" s="82"/>
      <c r="AI21" s="83"/>
      <c r="AJ21" s="90"/>
      <c r="AK21" s="81"/>
      <c r="AL21" s="82"/>
      <c r="AM21" s="83"/>
      <c r="AN21" s="90"/>
      <c r="AO21" s="81"/>
      <c r="AP21" s="82"/>
      <c r="AR21" s="295">
        <f t="shared" si="0"/>
        <v>0</v>
      </c>
      <c r="AS21" s="298">
        <f t="shared" si="1"/>
        <v>0</v>
      </c>
      <c r="AT21" s="256">
        <v>5004</v>
      </c>
    </row>
    <row r="22" spans="1:47" x14ac:dyDescent="0.3">
      <c r="B22" s="6">
        <v>5001</v>
      </c>
      <c r="C22" s="191" t="s">
        <v>11</v>
      </c>
      <c r="D22" s="90"/>
      <c r="E22" s="93"/>
      <c r="F22" s="82"/>
      <c r="G22" s="83"/>
      <c r="H22" s="90"/>
      <c r="I22" s="81"/>
      <c r="J22" s="82"/>
      <c r="K22" s="83"/>
      <c r="L22" s="90"/>
      <c r="M22" s="81"/>
      <c r="N22" s="82"/>
      <c r="O22" s="83"/>
      <c r="P22" s="90"/>
      <c r="Q22" s="93"/>
      <c r="R22" s="82"/>
      <c r="S22" s="83"/>
      <c r="T22" s="90"/>
      <c r="U22" s="81"/>
      <c r="V22" s="82"/>
      <c r="W22" s="83"/>
      <c r="X22" s="90"/>
      <c r="Y22" s="81"/>
      <c r="Z22" s="82"/>
      <c r="AA22" s="83"/>
      <c r="AB22" s="90"/>
      <c r="AC22" s="81"/>
      <c r="AD22" s="82"/>
      <c r="AE22" s="83"/>
      <c r="AF22" s="90"/>
      <c r="AG22" s="81"/>
      <c r="AH22" s="82"/>
      <c r="AI22" s="83"/>
      <c r="AJ22" s="90"/>
      <c r="AK22" s="81"/>
      <c r="AL22" s="82"/>
      <c r="AM22" s="83"/>
      <c r="AN22" s="90"/>
      <c r="AO22" s="81"/>
      <c r="AP22" s="82"/>
      <c r="AR22" s="296">
        <f t="shared" si="0"/>
        <v>0</v>
      </c>
      <c r="AS22" s="298">
        <f t="shared" si="1"/>
        <v>0</v>
      </c>
      <c r="AT22" s="256">
        <v>5001</v>
      </c>
    </row>
    <row r="23" spans="1:47" x14ac:dyDescent="0.3">
      <c r="B23" s="6">
        <v>5004</v>
      </c>
      <c r="C23" s="191" t="s">
        <v>12</v>
      </c>
      <c r="D23" s="90"/>
      <c r="E23" s="93"/>
      <c r="F23" s="82"/>
      <c r="G23" s="83"/>
      <c r="H23" s="90"/>
      <c r="I23" s="81"/>
      <c r="J23" s="82"/>
      <c r="K23" s="83"/>
      <c r="L23" s="90"/>
      <c r="M23" s="81"/>
      <c r="N23" s="82"/>
      <c r="O23" s="83"/>
      <c r="P23" s="90"/>
      <c r="Q23" s="93"/>
      <c r="R23" s="82"/>
      <c r="S23" s="83"/>
      <c r="T23" s="90"/>
      <c r="U23" s="81"/>
      <c r="V23" s="82"/>
      <c r="W23" s="83"/>
      <c r="X23" s="90"/>
      <c r="Y23" s="81"/>
      <c r="Z23" s="82"/>
      <c r="AA23" s="83"/>
      <c r="AB23" s="90"/>
      <c r="AC23" s="81"/>
      <c r="AD23" s="82"/>
      <c r="AE23" s="83"/>
      <c r="AF23" s="90"/>
      <c r="AG23" s="81"/>
      <c r="AH23" s="82"/>
      <c r="AI23" s="83"/>
      <c r="AJ23" s="90"/>
      <c r="AK23" s="81"/>
      <c r="AL23" s="82"/>
      <c r="AM23" s="83"/>
      <c r="AN23" s="90"/>
      <c r="AO23" s="81"/>
      <c r="AP23" s="82"/>
      <c r="AR23" s="296">
        <f t="shared" si="0"/>
        <v>0</v>
      </c>
      <c r="AS23" s="298">
        <f t="shared" si="1"/>
        <v>0</v>
      </c>
      <c r="AT23" s="256">
        <v>5004</v>
      </c>
    </row>
    <row r="24" spans="1:47" ht="28.8" x14ac:dyDescent="0.3">
      <c r="B24" s="6">
        <v>5005</v>
      </c>
      <c r="C24" s="7" t="s">
        <v>273</v>
      </c>
      <c r="D24" s="90"/>
      <c r="E24" s="93"/>
      <c r="F24" s="82"/>
      <c r="G24" s="83"/>
      <c r="H24" s="90"/>
      <c r="I24" s="81"/>
      <c r="J24" s="82"/>
      <c r="K24" s="83"/>
      <c r="L24" s="90">
        <f>(30*450*2)*1.141</f>
        <v>30807</v>
      </c>
      <c r="M24" s="81" t="s">
        <v>358</v>
      </c>
      <c r="N24" s="82"/>
      <c r="O24" s="83"/>
      <c r="P24" s="90">
        <f>((30*300))*1.141</f>
        <v>10269</v>
      </c>
      <c r="Q24" s="93" t="s">
        <v>359</v>
      </c>
      <c r="R24" s="82"/>
      <c r="S24" s="83"/>
      <c r="T24" s="90">
        <f>((6*450)*2)*1.141</f>
        <v>6161.4</v>
      </c>
      <c r="U24" s="81" t="s">
        <v>357</v>
      </c>
      <c r="V24" s="82"/>
      <c r="W24" s="83"/>
      <c r="X24" s="90"/>
      <c r="Y24" s="81"/>
      <c r="Z24" s="82"/>
      <c r="AA24" s="83"/>
      <c r="AB24" s="90">
        <f>3000*1.141</f>
        <v>3423</v>
      </c>
      <c r="AC24" s="81" t="s">
        <v>275</v>
      </c>
      <c r="AD24" s="82"/>
      <c r="AE24" s="83"/>
      <c r="AF24" s="90">
        <f>5000*1.141</f>
        <v>5705</v>
      </c>
      <c r="AG24" s="81"/>
      <c r="AH24" s="82"/>
      <c r="AI24" s="83"/>
      <c r="AJ24" s="90"/>
      <c r="AK24" s="81"/>
      <c r="AL24" s="82"/>
      <c r="AM24" s="83"/>
      <c r="AN24" s="90"/>
      <c r="AO24" s="81"/>
      <c r="AP24" s="82"/>
      <c r="AR24" s="296">
        <f t="shared" si="0"/>
        <v>0</v>
      </c>
      <c r="AS24" s="298">
        <f t="shared" si="1"/>
        <v>56365.4</v>
      </c>
      <c r="AT24" s="256">
        <v>5005</v>
      </c>
    </row>
    <row r="25" spans="1:47" x14ac:dyDescent="0.3">
      <c r="B25" s="6">
        <v>5006</v>
      </c>
      <c r="C25" s="7" t="s">
        <v>274</v>
      </c>
      <c r="D25" s="90"/>
      <c r="E25" s="93"/>
      <c r="F25" s="82"/>
      <c r="G25" s="83"/>
      <c r="H25" s="90"/>
      <c r="I25" s="81"/>
      <c r="J25" s="82"/>
      <c r="K25" s="83"/>
      <c r="L25" s="90">
        <f>30*100</f>
        <v>3000</v>
      </c>
      <c r="M25" s="81" t="s">
        <v>358</v>
      </c>
      <c r="N25" s="82"/>
      <c r="O25" s="83"/>
      <c r="P25" s="90">
        <f>30*100*1.141</f>
        <v>3423</v>
      </c>
      <c r="Q25" s="93" t="s">
        <v>358</v>
      </c>
      <c r="R25" s="82"/>
      <c r="S25" s="83"/>
      <c r="T25" s="90">
        <f>6*100*1.141</f>
        <v>684.6</v>
      </c>
      <c r="U25" s="81" t="s">
        <v>276</v>
      </c>
      <c r="V25" s="82"/>
      <c r="W25" s="83"/>
      <c r="X25" s="90"/>
      <c r="Y25" s="81"/>
      <c r="Z25" s="82"/>
      <c r="AA25" s="83"/>
      <c r="AB25" s="90"/>
      <c r="AC25" s="81"/>
      <c r="AD25" s="82"/>
      <c r="AE25" s="83"/>
      <c r="AF25" s="90"/>
      <c r="AG25" s="81"/>
      <c r="AH25" s="82"/>
      <c r="AI25" s="83"/>
      <c r="AJ25" s="90"/>
      <c r="AK25" s="81"/>
      <c r="AL25" s="82"/>
      <c r="AM25" s="83"/>
      <c r="AN25" s="90"/>
      <c r="AO25" s="81"/>
      <c r="AP25" s="82"/>
      <c r="AR25" s="295">
        <f t="shared" si="0"/>
        <v>0</v>
      </c>
      <c r="AS25" s="298">
        <f t="shared" si="1"/>
        <v>7107.6</v>
      </c>
      <c r="AT25" s="256">
        <v>5006</v>
      </c>
    </row>
    <row r="26" spans="1:47" x14ac:dyDescent="0.3">
      <c r="A26" s="10"/>
      <c r="B26" s="6">
        <v>5180</v>
      </c>
      <c r="C26" s="7" t="s">
        <v>13</v>
      </c>
      <c r="D26" s="90">
        <f>SUM(D19*0.12)</f>
        <v>0</v>
      </c>
      <c r="E26" s="93"/>
      <c r="F26" s="82"/>
      <c r="G26" s="83"/>
      <c r="H26" s="90">
        <f>Lønnsmatrise!J62</f>
        <v>11938.536</v>
      </c>
      <c r="I26" s="81"/>
      <c r="J26" s="82"/>
      <c r="K26" s="83"/>
      <c r="L26" s="90">
        <f>Lønnsmatrise!L62</f>
        <v>750</v>
      </c>
      <c r="M26" s="81"/>
      <c r="N26" s="82"/>
      <c r="O26" s="83"/>
      <c r="P26" s="90">
        <f>Lønnsmatrise!N62</f>
        <v>780</v>
      </c>
      <c r="Q26" s="93"/>
      <c r="R26" s="82"/>
      <c r="S26" s="83"/>
      <c r="T26" s="90">
        <f>SUM(T19*0.12)</f>
        <v>0</v>
      </c>
      <c r="U26" s="81"/>
      <c r="V26" s="82"/>
      <c r="W26" s="83"/>
      <c r="X26" s="90"/>
      <c r="Y26" s="81"/>
      <c r="Z26" s="82"/>
      <c r="AA26" s="83"/>
      <c r="AB26" s="90">
        <f>SUM(AB19*0.12)</f>
        <v>0</v>
      </c>
      <c r="AC26" s="81"/>
      <c r="AD26" s="82"/>
      <c r="AE26" s="83"/>
      <c r="AF26" s="90">
        <f>SUM(AF19*0.12)</f>
        <v>0</v>
      </c>
      <c r="AG26" s="81"/>
      <c r="AH26" s="82"/>
      <c r="AI26" s="83"/>
      <c r="AJ26" s="90">
        <f>SUM(AJ19*0.12)</f>
        <v>0</v>
      </c>
      <c r="AK26" s="81"/>
      <c r="AL26" s="82"/>
      <c r="AM26" s="83"/>
      <c r="AN26" s="90">
        <f>SUM(AN19*0.12)</f>
        <v>0</v>
      </c>
      <c r="AO26" s="81"/>
      <c r="AP26" s="82"/>
      <c r="AR26" s="295">
        <f t="shared" si="0"/>
        <v>0</v>
      </c>
      <c r="AS26" s="298">
        <f t="shared" si="1"/>
        <v>13468.536</v>
      </c>
      <c r="AT26" s="256">
        <v>5180</v>
      </c>
    </row>
    <row r="27" spans="1:47" x14ac:dyDescent="0.3">
      <c r="A27" s="10"/>
      <c r="B27" s="6">
        <v>5182</v>
      </c>
      <c r="C27" s="7" t="s">
        <v>14</v>
      </c>
      <c r="D27" s="90">
        <f>SUM(D26*0.141)</f>
        <v>0</v>
      </c>
      <c r="E27" s="93"/>
      <c r="F27" s="82"/>
      <c r="G27" s="83"/>
      <c r="H27" s="90">
        <f>Lønnsmatrise!J63</f>
        <v>1683.3335759999998</v>
      </c>
      <c r="I27" s="81"/>
      <c r="J27" s="82"/>
      <c r="K27" s="83"/>
      <c r="L27" s="90">
        <f>Lønnsmatrise!L63</f>
        <v>105.74999999999999</v>
      </c>
      <c r="M27" s="81"/>
      <c r="N27" s="82"/>
      <c r="O27" s="83"/>
      <c r="P27" s="90">
        <f>Lønnsmatrise!N63</f>
        <v>109.97999999999999</v>
      </c>
      <c r="Q27" s="93"/>
      <c r="R27" s="82"/>
      <c r="S27" s="83"/>
      <c r="T27" s="90">
        <f>SUM(T26*0.141)</f>
        <v>0</v>
      </c>
      <c r="U27" s="81"/>
      <c r="V27" s="82"/>
      <c r="W27" s="83"/>
      <c r="X27" s="90"/>
      <c r="Y27" s="81"/>
      <c r="Z27" s="82"/>
      <c r="AA27" s="83"/>
      <c r="AB27" s="90">
        <f>SUM(AB26*0.141)</f>
        <v>0</v>
      </c>
      <c r="AC27" s="81"/>
      <c r="AD27" s="82"/>
      <c r="AE27" s="83"/>
      <c r="AF27" s="90">
        <f>SUM(AF26*0.141)</f>
        <v>0</v>
      </c>
      <c r="AG27" s="81"/>
      <c r="AH27" s="82"/>
      <c r="AI27" s="83"/>
      <c r="AJ27" s="90">
        <f>SUM(AJ26*0.141)</f>
        <v>0</v>
      </c>
      <c r="AK27" s="81"/>
      <c r="AL27" s="82"/>
      <c r="AM27" s="83"/>
      <c r="AN27" s="90">
        <f>SUM(AN26*0.141)</f>
        <v>0</v>
      </c>
      <c r="AO27" s="81"/>
      <c r="AP27" s="82"/>
      <c r="AR27" s="295">
        <f t="shared" si="0"/>
        <v>0</v>
      </c>
      <c r="AS27" s="298">
        <f t="shared" si="1"/>
        <v>1899.0635759999998</v>
      </c>
      <c r="AT27" s="256">
        <v>5182</v>
      </c>
    </row>
    <row r="28" spans="1:47" hidden="1" x14ac:dyDescent="0.3">
      <c r="A28" s="10"/>
      <c r="B28" s="6">
        <v>5211</v>
      </c>
      <c r="C28" s="7" t="s">
        <v>15</v>
      </c>
      <c r="D28" s="80"/>
      <c r="E28" s="93"/>
      <c r="F28" s="82"/>
      <c r="G28" s="83"/>
      <c r="H28" s="80"/>
      <c r="I28" s="81"/>
      <c r="J28" s="82"/>
      <c r="K28" s="83"/>
      <c r="L28" s="80"/>
      <c r="M28" s="81"/>
      <c r="N28" s="82"/>
      <c r="O28" s="83"/>
      <c r="P28" s="80"/>
      <c r="Q28" s="93"/>
      <c r="R28" s="82"/>
      <c r="S28" s="83"/>
      <c r="T28" s="80"/>
      <c r="U28" s="81"/>
      <c r="V28" s="82"/>
      <c r="W28" s="83"/>
      <c r="X28" s="80"/>
      <c r="Y28" s="81"/>
      <c r="Z28" s="82"/>
      <c r="AA28" s="83"/>
      <c r="AB28" s="80"/>
      <c r="AC28" s="81"/>
      <c r="AD28" s="82"/>
      <c r="AE28" s="83"/>
      <c r="AF28" s="80"/>
      <c r="AG28" s="81"/>
      <c r="AH28" s="82"/>
      <c r="AI28" s="83"/>
      <c r="AJ28" s="80"/>
      <c r="AK28" s="81"/>
      <c r="AL28" s="82"/>
      <c r="AM28" s="83"/>
      <c r="AN28" s="80"/>
      <c r="AO28" s="81"/>
      <c r="AP28" s="82"/>
      <c r="AR28" s="295">
        <f t="shared" si="0"/>
        <v>0</v>
      </c>
      <c r="AS28" s="298">
        <f t="shared" si="1"/>
        <v>0</v>
      </c>
      <c r="AT28" s="256">
        <v>5211</v>
      </c>
    </row>
    <row r="29" spans="1:47" hidden="1" x14ac:dyDescent="0.3">
      <c r="A29" s="10"/>
      <c r="B29" s="6">
        <v>5230</v>
      </c>
      <c r="C29" s="7" t="s">
        <v>16</v>
      </c>
      <c r="D29" s="80"/>
      <c r="E29" s="93"/>
      <c r="F29" s="82"/>
      <c r="G29" s="83"/>
      <c r="H29" s="80"/>
      <c r="I29" s="81"/>
      <c r="J29" s="82"/>
      <c r="K29" s="83"/>
      <c r="L29" s="80"/>
      <c r="M29" s="81"/>
      <c r="N29" s="82"/>
      <c r="O29" s="83"/>
      <c r="P29" s="80"/>
      <c r="Q29" s="93"/>
      <c r="R29" s="82"/>
      <c r="S29" s="83"/>
      <c r="T29" s="80"/>
      <c r="U29" s="81"/>
      <c r="V29" s="82"/>
      <c r="W29" s="83"/>
      <c r="X29" s="80"/>
      <c r="Y29" s="81"/>
      <c r="Z29" s="82"/>
      <c r="AA29" s="83"/>
      <c r="AB29" s="80"/>
      <c r="AC29" s="81"/>
      <c r="AD29" s="82"/>
      <c r="AE29" s="83"/>
      <c r="AF29" s="80"/>
      <c r="AG29" s="81"/>
      <c r="AH29" s="82"/>
      <c r="AI29" s="83"/>
      <c r="AJ29" s="80"/>
      <c r="AK29" s="81"/>
      <c r="AL29" s="82"/>
      <c r="AM29" s="83"/>
      <c r="AN29" s="80"/>
      <c r="AO29" s="81"/>
      <c r="AP29" s="82"/>
      <c r="AR29" s="295">
        <f t="shared" si="0"/>
        <v>0</v>
      </c>
      <c r="AS29" s="298">
        <f t="shared" si="1"/>
        <v>0</v>
      </c>
      <c r="AT29" s="256">
        <v>5230</v>
      </c>
    </row>
    <row r="30" spans="1:47" x14ac:dyDescent="0.3">
      <c r="A30" s="10"/>
      <c r="B30" s="6">
        <v>5400</v>
      </c>
      <c r="C30" s="7" t="s">
        <v>48</v>
      </c>
      <c r="D30" s="90"/>
      <c r="E30" s="93"/>
      <c r="F30" s="82"/>
      <c r="G30" s="83"/>
      <c r="H30" s="90">
        <f>Lønnsmatrise!J65</f>
        <v>14729.168789999998</v>
      </c>
      <c r="I30" s="81"/>
      <c r="J30" s="82"/>
      <c r="K30" s="83"/>
      <c r="L30" s="90">
        <f>Lønnsmatrise!L65</f>
        <v>925.31249999999989</v>
      </c>
      <c r="M30" s="81"/>
      <c r="N30" s="82"/>
      <c r="O30" s="83"/>
      <c r="P30" s="90">
        <f>Lønnsmatrise!N65</f>
        <v>962.32499999999993</v>
      </c>
      <c r="Q30" s="93"/>
      <c r="R30" s="82"/>
      <c r="S30" s="83"/>
      <c r="T30" s="90">
        <f>SUM((T19+T20+T21+T28+T29)*0.141)</f>
        <v>0</v>
      </c>
      <c r="U30" s="81"/>
      <c r="V30" s="82"/>
      <c r="W30" s="83"/>
      <c r="X30" s="90"/>
      <c r="Y30" s="81"/>
      <c r="Z30" s="82"/>
      <c r="AA30" s="83"/>
      <c r="AB30" s="90">
        <f>SUM((AB19+AB20+AB21+AB28+AB29+AB38)*0.141)</f>
        <v>0</v>
      </c>
      <c r="AC30" s="81"/>
      <c r="AD30" s="82"/>
      <c r="AE30" s="83"/>
      <c r="AF30" s="90">
        <f>SUM((AF19+AF20+AF21+AF28+AF29+AF38)*0.141)</f>
        <v>0</v>
      </c>
      <c r="AG30" s="81"/>
      <c r="AH30" s="82"/>
      <c r="AI30" s="83"/>
      <c r="AJ30" s="90">
        <f>SUM((AJ19+AJ20+AJ21+AJ28+AJ29)*0.141)</f>
        <v>0</v>
      </c>
      <c r="AK30" s="81"/>
      <c r="AL30" s="82"/>
      <c r="AM30" s="83"/>
      <c r="AN30" s="90">
        <f>SUM((AN19+AN20+AN21+AN28+AN29)*0.141)</f>
        <v>0</v>
      </c>
      <c r="AO30" s="81"/>
      <c r="AP30" s="82"/>
      <c r="AR30" s="295">
        <f t="shared" si="0"/>
        <v>0</v>
      </c>
      <c r="AS30" s="298">
        <f t="shared" si="1"/>
        <v>16616.806289999997</v>
      </c>
      <c r="AT30" s="256">
        <v>5400</v>
      </c>
    </row>
    <row r="31" spans="1:47" x14ac:dyDescent="0.3">
      <c r="B31" s="6">
        <v>5990</v>
      </c>
      <c r="C31" s="7" t="s">
        <v>17</v>
      </c>
      <c r="D31" s="90"/>
      <c r="E31" s="93"/>
      <c r="F31" s="82"/>
      <c r="G31" s="83"/>
      <c r="H31" s="90">
        <f>Lønnsmatrise!J66</f>
        <v>4674.3900000000003</v>
      </c>
      <c r="I31" s="81"/>
      <c r="J31" s="82"/>
      <c r="K31" s="83"/>
      <c r="L31" s="90">
        <f>Lønnsmatrise!L66</f>
        <v>0</v>
      </c>
      <c r="M31" s="81"/>
      <c r="N31" s="82"/>
      <c r="O31" s="83"/>
      <c r="P31" s="90">
        <f>Lønnsmatrise!N66</f>
        <v>0</v>
      </c>
      <c r="Q31" s="93"/>
      <c r="R31" s="82"/>
      <c r="S31" s="83"/>
      <c r="T31" s="90"/>
      <c r="U31" s="81"/>
      <c r="V31" s="82"/>
      <c r="W31" s="83"/>
      <c r="X31" s="90"/>
      <c r="Y31" s="81"/>
      <c r="Z31" s="82"/>
      <c r="AA31" s="83"/>
      <c r="AB31" s="90"/>
      <c r="AC31" s="81"/>
      <c r="AD31" s="82"/>
      <c r="AE31" s="83"/>
      <c r="AF31" s="90"/>
      <c r="AG31" s="81"/>
      <c r="AH31" s="82"/>
      <c r="AI31" s="83"/>
      <c r="AJ31" s="90"/>
      <c r="AK31" s="81"/>
      <c r="AL31" s="82"/>
      <c r="AM31" s="83"/>
      <c r="AN31" s="90"/>
      <c r="AO31" s="81"/>
      <c r="AP31" s="82"/>
      <c r="AR31" s="295">
        <f t="shared" si="0"/>
        <v>0</v>
      </c>
      <c r="AS31" s="298">
        <f t="shared" si="1"/>
        <v>4674.3900000000003</v>
      </c>
      <c r="AT31" s="256">
        <v>5990</v>
      </c>
    </row>
    <row r="32" spans="1:47" x14ac:dyDescent="0.3">
      <c r="B32" s="6">
        <v>6110</v>
      </c>
      <c r="C32" s="7" t="s">
        <v>50</v>
      </c>
      <c r="D32" s="80"/>
      <c r="E32" s="93"/>
      <c r="F32" s="82"/>
      <c r="G32" s="83"/>
      <c r="H32" s="80"/>
      <c r="I32" s="81"/>
      <c r="J32" s="82"/>
      <c r="K32" s="83"/>
      <c r="L32" s="80"/>
      <c r="M32" s="81"/>
      <c r="N32" s="82"/>
      <c r="O32" s="83"/>
      <c r="P32" s="80"/>
      <c r="Q32" s="93"/>
      <c r="R32" s="82"/>
      <c r="S32" s="83"/>
      <c r="T32" s="80"/>
      <c r="U32" s="81"/>
      <c r="V32" s="82"/>
      <c r="W32" s="83"/>
      <c r="X32" s="80"/>
      <c r="Y32" s="81"/>
      <c r="Z32" s="82"/>
      <c r="AA32" s="83"/>
      <c r="AB32" s="80"/>
      <c r="AC32" s="81"/>
      <c r="AD32" s="82"/>
      <c r="AE32" s="83"/>
      <c r="AF32" s="80"/>
      <c r="AG32" s="81"/>
      <c r="AH32" s="82"/>
      <c r="AI32" s="83"/>
      <c r="AJ32" s="80"/>
      <c r="AK32" s="81"/>
      <c r="AL32" s="82"/>
      <c r="AM32" s="83"/>
      <c r="AN32" s="80"/>
      <c r="AO32" s="81"/>
      <c r="AP32" s="82"/>
      <c r="AR32" s="295">
        <f t="shared" si="0"/>
        <v>0</v>
      </c>
      <c r="AS32" s="298">
        <f t="shared" si="1"/>
        <v>0</v>
      </c>
      <c r="AT32" s="256">
        <v>6110</v>
      </c>
    </row>
    <row r="33" spans="2:46" hidden="1" x14ac:dyDescent="0.3">
      <c r="B33" s="6">
        <v>6300</v>
      </c>
      <c r="C33" s="7" t="s">
        <v>18</v>
      </c>
      <c r="D33" s="80"/>
      <c r="E33" s="93"/>
      <c r="F33" s="82"/>
      <c r="G33" s="83"/>
      <c r="H33" s="80"/>
      <c r="I33" s="81"/>
      <c r="J33" s="82"/>
      <c r="K33" s="83"/>
      <c r="L33" s="80"/>
      <c r="M33" s="81"/>
      <c r="N33" s="82"/>
      <c r="O33" s="83"/>
      <c r="P33" s="80"/>
      <c r="Q33" s="93"/>
      <c r="R33" s="82"/>
      <c r="S33" s="83"/>
      <c r="T33" s="80"/>
      <c r="U33" s="81"/>
      <c r="V33" s="82"/>
      <c r="W33" s="83"/>
      <c r="X33" s="80"/>
      <c r="Y33" s="81"/>
      <c r="Z33" s="82"/>
      <c r="AA33" s="83"/>
      <c r="AB33" s="80">
        <v>0</v>
      </c>
      <c r="AC33" s="81" t="s">
        <v>161</v>
      </c>
      <c r="AD33" s="82"/>
      <c r="AE33" s="83"/>
      <c r="AF33" s="80"/>
      <c r="AG33" s="81"/>
      <c r="AH33" s="82"/>
      <c r="AI33" s="83"/>
      <c r="AJ33" s="80"/>
      <c r="AK33" s="81"/>
      <c r="AL33" s="82"/>
      <c r="AM33" s="83"/>
      <c r="AN33" s="80"/>
      <c r="AO33" s="81"/>
      <c r="AP33" s="82"/>
      <c r="AR33" s="295">
        <f t="shared" si="0"/>
        <v>0</v>
      </c>
      <c r="AS33" s="298">
        <f t="shared" si="1"/>
        <v>0</v>
      </c>
      <c r="AT33" s="256">
        <v>6300</v>
      </c>
    </row>
    <row r="34" spans="2:46" hidden="1" x14ac:dyDescent="0.3">
      <c r="B34" s="6">
        <v>6440</v>
      </c>
      <c r="C34" s="7" t="s">
        <v>19</v>
      </c>
      <c r="D34" s="80"/>
      <c r="E34" s="93"/>
      <c r="F34" s="82"/>
      <c r="G34" s="83"/>
      <c r="H34" s="80"/>
      <c r="I34" s="81"/>
      <c r="J34" s="82"/>
      <c r="K34" s="83"/>
      <c r="L34" s="80"/>
      <c r="M34" s="81"/>
      <c r="N34" s="82"/>
      <c r="O34" s="83"/>
      <c r="P34" s="80"/>
      <c r="Q34" s="93"/>
      <c r="R34" s="82"/>
      <c r="S34" s="83"/>
      <c r="T34" s="80"/>
      <c r="U34" s="81"/>
      <c r="V34" s="82"/>
      <c r="W34" s="83"/>
      <c r="X34" s="80"/>
      <c r="Y34" s="81"/>
      <c r="Z34" s="82"/>
      <c r="AA34" s="83"/>
      <c r="AB34" s="80"/>
      <c r="AC34" s="81"/>
      <c r="AD34" s="82"/>
      <c r="AE34" s="83"/>
      <c r="AF34" s="80"/>
      <c r="AG34" s="81"/>
      <c r="AH34" s="82"/>
      <c r="AI34" s="83"/>
      <c r="AJ34" s="80"/>
      <c r="AK34" s="81"/>
      <c r="AL34" s="82"/>
      <c r="AM34" s="83"/>
      <c r="AN34" s="80"/>
      <c r="AO34" s="81"/>
      <c r="AP34" s="82"/>
      <c r="AR34" s="295">
        <f t="shared" si="0"/>
        <v>0</v>
      </c>
      <c r="AS34" s="298">
        <f t="shared" si="1"/>
        <v>0</v>
      </c>
      <c r="AT34" s="256">
        <v>6440</v>
      </c>
    </row>
    <row r="35" spans="2:46" hidden="1" x14ac:dyDescent="0.3">
      <c r="B35" s="6">
        <v>6550</v>
      </c>
      <c r="C35" s="7" t="s">
        <v>20</v>
      </c>
      <c r="D35" s="80"/>
      <c r="E35" s="93"/>
      <c r="F35" s="82"/>
      <c r="G35" s="83"/>
      <c r="H35" s="80">
        <v>0</v>
      </c>
      <c r="I35" s="81"/>
      <c r="J35" s="82"/>
      <c r="K35" s="83"/>
      <c r="L35" s="80"/>
      <c r="M35" s="81"/>
      <c r="N35" s="82"/>
      <c r="O35" s="83"/>
      <c r="P35" s="80"/>
      <c r="Q35" s="93"/>
      <c r="R35" s="82"/>
      <c r="S35" s="83"/>
      <c r="T35" s="80"/>
      <c r="U35" s="81"/>
      <c r="V35" s="82"/>
      <c r="W35" s="83"/>
      <c r="X35" s="80"/>
      <c r="Y35" s="81"/>
      <c r="Z35" s="82"/>
      <c r="AA35" s="83"/>
      <c r="AB35" s="80"/>
      <c r="AC35" s="81"/>
      <c r="AD35" s="82"/>
      <c r="AE35" s="83"/>
      <c r="AF35" s="80"/>
      <c r="AG35" s="81"/>
      <c r="AH35" s="82"/>
      <c r="AI35" s="83"/>
      <c r="AJ35" s="80"/>
      <c r="AK35" s="81"/>
      <c r="AL35" s="82"/>
      <c r="AM35" s="83"/>
      <c r="AN35" s="80"/>
      <c r="AO35" s="81"/>
      <c r="AP35" s="82"/>
      <c r="AR35" s="295">
        <f t="shared" si="0"/>
        <v>0</v>
      </c>
      <c r="AS35" s="298">
        <f t="shared" si="1"/>
        <v>0</v>
      </c>
      <c r="AT35" s="256">
        <v>6550</v>
      </c>
    </row>
    <row r="36" spans="2:46" hidden="1" x14ac:dyDescent="0.3">
      <c r="B36" s="6">
        <v>6560</v>
      </c>
      <c r="C36" s="7" t="s">
        <v>21</v>
      </c>
      <c r="D36" s="80"/>
      <c r="E36" s="93"/>
      <c r="F36" s="82"/>
      <c r="G36" s="83"/>
      <c r="H36" s="80"/>
      <c r="I36" s="81"/>
      <c r="J36" s="82"/>
      <c r="K36" s="83"/>
      <c r="L36" s="80"/>
      <c r="M36" s="81"/>
      <c r="N36" s="82"/>
      <c r="O36" s="83"/>
      <c r="P36" s="80"/>
      <c r="Q36" s="93"/>
      <c r="R36" s="82"/>
      <c r="S36" s="83"/>
      <c r="T36" s="80"/>
      <c r="U36" s="81"/>
      <c r="V36" s="82"/>
      <c r="W36" s="83"/>
      <c r="X36" s="80"/>
      <c r="Y36" s="81"/>
      <c r="Z36" s="82"/>
      <c r="AA36" s="83"/>
      <c r="AB36" s="80"/>
      <c r="AC36" s="81"/>
      <c r="AD36" s="82"/>
      <c r="AE36" s="83"/>
      <c r="AF36" s="80"/>
      <c r="AG36" s="81"/>
      <c r="AH36" s="82"/>
      <c r="AI36" s="83"/>
      <c r="AJ36" s="80"/>
      <c r="AK36" s="81"/>
      <c r="AL36" s="82"/>
      <c r="AM36" s="83"/>
      <c r="AN36" s="80"/>
      <c r="AO36" s="81"/>
      <c r="AP36" s="82"/>
      <c r="AR36" s="295">
        <f t="shared" si="0"/>
        <v>0</v>
      </c>
      <c r="AS36" s="298">
        <f t="shared" si="1"/>
        <v>0</v>
      </c>
      <c r="AT36" s="256">
        <v>6560</v>
      </c>
    </row>
    <row r="37" spans="2:46" x14ac:dyDescent="0.3">
      <c r="B37" s="6">
        <v>6580</v>
      </c>
      <c r="C37" s="7" t="s">
        <v>2</v>
      </c>
      <c r="D37" s="80"/>
      <c r="E37" s="93"/>
      <c r="F37" s="82"/>
      <c r="G37" s="83"/>
      <c r="H37" s="80"/>
      <c r="I37" s="81"/>
      <c r="J37" s="82"/>
      <c r="K37" s="83"/>
      <c r="L37" s="80"/>
      <c r="M37" s="81"/>
      <c r="N37" s="82"/>
      <c r="O37" s="83"/>
      <c r="P37" s="80"/>
      <c r="Q37" s="93"/>
      <c r="R37" s="82"/>
      <c r="S37" s="83"/>
      <c r="T37" s="80"/>
      <c r="U37" s="81"/>
      <c r="V37" s="82"/>
      <c r="W37" s="83"/>
      <c r="X37" s="80"/>
      <c r="Y37" s="81"/>
      <c r="Z37" s="82"/>
      <c r="AA37" s="83"/>
      <c r="AB37" s="80">
        <f>SUM(6*530)</f>
        <v>3180</v>
      </c>
      <c r="AC37" s="81" t="s">
        <v>162</v>
      </c>
      <c r="AD37" s="82"/>
      <c r="AE37" s="83"/>
      <c r="AF37" s="80"/>
      <c r="AG37" s="81"/>
      <c r="AH37" s="82"/>
      <c r="AI37" s="83"/>
      <c r="AJ37" s="80"/>
      <c r="AK37" s="81"/>
      <c r="AL37" s="82"/>
      <c r="AM37" s="83"/>
      <c r="AN37" s="80"/>
      <c r="AO37" s="81"/>
      <c r="AP37" s="82"/>
      <c r="AR37" s="295">
        <f t="shared" si="0"/>
        <v>0</v>
      </c>
      <c r="AS37" s="298">
        <f t="shared" si="1"/>
        <v>3180</v>
      </c>
      <c r="AT37" s="256">
        <v>6580</v>
      </c>
    </row>
    <row r="38" spans="2:46" x14ac:dyDescent="0.3">
      <c r="B38" s="6">
        <v>6730</v>
      </c>
      <c r="C38" s="7" t="s">
        <v>151</v>
      </c>
      <c r="D38" s="80"/>
      <c r="E38" s="93"/>
      <c r="F38" s="82"/>
      <c r="G38" s="83"/>
      <c r="H38" s="80"/>
      <c r="I38" s="81"/>
      <c r="J38" s="82"/>
      <c r="K38" s="83"/>
      <c r="L38" s="80"/>
      <c r="M38" s="81"/>
      <c r="N38" s="82"/>
      <c r="O38" s="83"/>
      <c r="P38" s="80"/>
      <c r="Q38" s="93"/>
      <c r="R38" s="82"/>
      <c r="S38" s="83"/>
      <c r="T38" s="80"/>
      <c r="U38" s="81"/>
      <c r="V38" s="82"/>
      <c r="W38" s="83"/>
      <c r="X38" s="80"/>
      <c r="Y38" s="81"/>
      <c r="Z38" s="82"/>
      <c r="AA38" s="83"/>
      <c r="AB38" s="80"/>
      <c r="AC38" s="81"/>
      <c r="AD38" s="82"/>
      <c r="AE38" s="83"/>
      <c r="AF38" s="80"/>
      <c r="AG38" s="81"/>
      <c r="AH38" s="82"/>
      <c r="AI38" s="83"/>
      <c r="AJ38" s="80">
        <v>0</v>
      </c>
      <c r="AK38" s="81"/>
      <c r="AL38" s="82"/>
      <c r="AM38" s="83"/>
      <c r="AN38" s="80"/>
      <c r="AO38" s="81"/>
      <c r="AP38" s="82"/>
      <c r="AR38" s="295">
        <f t="shared" si="0"/>
        <v>0</v>
      </c>
      <c r="AS38" s="298">
        <f t="shared" si="1"/>
        <v>0</v>
      </c>
      <c r="AT38" s="256">
        <v>6730</v>
      </c>
    </row>
    <row r="39" spans="2:46" hidden="1" x14ac:dyDescent="0.3">
      <c r="B39" s="6">
        <v>6800</v>
      </c>
      <c r="C39" s="7" t="s">
        <v>22</v>
      </c>
      <c r="D39" s="80"/>
      <c r="E39" s="93"/>
      <c r="F39" s="82"/>
      <c r="G39" s="83"/>
      <c r="H39" s="80"/>
      <c r="I39" s="81"/>
      <c r="J39" s="82"/>
      <c r="K39" s="83"/>
      <c r="L39" s="80"/>
      <c r="M39" s="81"/>
      <c r="N39" s="82"/>
      <c r="O39" s="83"/>
      <c r="P39" s="80"/>
      <c r="Q39" s="93"/>
      <c r="R39" s="82"/>
      <c r="S39" s="83"/>
      <c r="T39" s="80"/>
      <c r="U39" s="81"/>
      <c r="V39" s="82"/>
      <c r="W39" s="83"/>
      <c r="X39" s="80"/>
      <c r="Y39" s="81"/>
      <c r="Z39" s="82"/>
      <c r="AA39" s="83"/>
      <c r="AB39" s="80"/>
      <c r="AC39" s="81"/>
      <c r="AD39" s="82"/>
      <c r="AE39" s="83"/>
      <c r="AF39" s="80"/>
      <c r="AG39" s="81"/>
      <c r="AH39" s="82"/>
      <c r="AI39" s="83"/>
      <c r="AJ39" s="80"/>
      <c r="AK39" s="81"/>
      <c r="AL39" s="82"/>
      <c r="AM39" s="83"/>
      <c r="AN39" s="80"/>
      <c r="AO39" s="81"/>
      <c r="AP39" s="82"/>
      <c r="AR39" s="295">
        <f t="shared" si="0"/>
        <v>0</v>
      </c>
      <c r="AS39" s="298">
        <f t="shared" si="1"/>
        <v>0</v>
      </c>
      <c r="AT39" s="256">
        <v>6800</v>
      </c>
    </row>
    <row r="40" spans="2:46" hidden="1" x14ac:dyDescent="0.3">
      <c r="B40" s="6">
        <v>6820</v>
      </c>
      <c r="C40" s="7" t="s">
        <v>23</v>
      </c>
      <c r="D40" s="80"/>
      <c r="E40" s="93"/>
      <c r="F40" s="82"/>
      <c r="G40" s="83"/>
      <c r="H40" s="80"/>
      <c r="I40" s="81"/>
      <c r="J40" s="82"/>
      <c r="K40" s="83"/>
      <c r="L40" s="80"/>
      <c r="M40" s="81"/>
      <c r="N40" s="82"/>
      <c r="O40" s="83"/>
      <c r="P40" s="80"/>
      <c r="Q40" s="93"/>
      <c r="R40" s="82"/>
      <c r="S40" s="83"/>
      <c r="T40" s="80"/>
      <c r="U40" s="81"/>
      <c r="V40" s="82"/>
      <c r="W40" s="83"/>
      <c r="X40" s="80"/>
      <c r="Y40" s="81"/>
      <c r="Z40" s="82"/>
      <c r="AA40" s="83"/>
      <c r="AB40" s="80"/>
      <c r="AC40" s="81"/>
      <c r="AD40" s="82"/>
      <c r="AE40" s="83"/>
      <c r="AF40" s="80"/>
      <c r="AG40" s="81"/>
      <c r="AH40" s="82"/>
      <c r="AI40" s="83"/>
      <c r="AJ40" s="80"/>
      <c r="AK40" s="81"/>
      <c r="AL40" s="82"/>
      <c r="AM40" s="83"/>
      <c r="AN40" s="80"/>
      <c r="AO40" s="81"/>
      <c r="AP40" s="82"/>
      <c r="AR40" s="295">
        <f t="shared" si="0"/>
        <v>0</v>
      </c>
      <c r="AS40" s="298">
        <f t="shared" si="1"/>
        <v>0</v>
      </c>
      <c r="AT40" s="256">
        <v>6820</v>
      </c>
    </row>
    <row r="41" spans="2:46" hidden="1" x14ac:dyDescent="0.3">
      <c r="B41" s="6">
        <v>6840</v>
      </c>
      <c r="C41" s="7" t="s">
        <v>24</v>
      </c>
      <c r="D41" s="80"/>
      <c r="E41" s="93"/>
      <c r="F41" s="82"/>
      <c r="G41" s="83"/>
      <c r="H41" s="80"/>
      <c r="I41" s="81"/>
      <c r="J41" s="82"/>
      <c r="K41" s="83"/>
      <c r="L41" s="80"/>
      <c r="M41" s="81"/>
      <c r="N41" s="82"/>
      <c r="O41" s="83"/>
      <c r="P41" s="80"/>
      <c r="Q41" s="93"/>
      <c r="R41" s="82"/>
      <c r="S41" s="83"/>
      <c r="T41" s="80"/>
      <c r="U41" s="81"/>
      <c r="V41" s="82"/>
      <c r="W41" s="83"/>
      <c r="X41" s="80"/>
      <c r="Y41" s="81"/>
      <c r="Z41" s="82"/>
      <c r="AA41" s="83"/>
      <c r="AB41" s="80"/>
      <c r="AC41" s="81"/>
      <c r="AD41" s="82"/>
      <c r="AE41" s="83"/>
      <c r="AF41" s="80"/>
      <c r="AG41" s="81"/>
      <c r="AH41" s="82"/>
      <c r="AI41" s="83"/>
      <c r="AJ41" s="80"/>
      <c r="AK41" s="81"/>
      <c r="AL41" s="82"/>
      <c r="AM41" s="83"/>
      <c r="AN41" s="80"/>
      <c r="AO41" s="81"/>
      <c r="AP41" s="82"/>
      <c r="AR41" s="295">
        <f t="shared" si="0"/>
        <v>0</v>
      </c>
      <c r="AS41" s="298">
        <f t="shared" si="1"/>
        <v>0</v>
      </c>
      <c r="AT41" s="256">
        <v>6840</v>
      </c>
    </row>
    <row r="42" spans="2:46" hidden="1" x14ac:dyDescent="0.3">
      <c r="B42" s="6">
        <v>6860</v>
      </c>
      <c r="C42" s="7" t="s">
        <v>25</v>
      </c>
      <c r="D42" s="80"/>
      <c r="E42" s="93"/>
      <c r="F42" s="82"/>
      <c r="G42" s="83"/>
      <c r="H42" s="80"/>
      <c r="I42" s="81"/>
      <c r="J42" s="82"/>
      <c r="K42" s="83"/>
      <c r="L42" s="80"/>
      <c r="M42" s="81"/>
      <c r="N42" s="82"/>
      <c r="O42" s="83"/>
      <c r="P42" s="80"/>
      <c r="Q42" s="93"/>
      <c r="R42" s="82"/>
      <c r="S42" s="83"/>
      <c r="T42" s="80"/>
      <c r="U42" s="81"/>
      <c r="V42" s="82"/>
      <c r="W42" s="83"/>
      <c r="X42" s="80"/>
      <c r="Y42" s="81"/>
      <c r="Z42" s="82"/>
      <c r="AA42" s="83"/>
      <c r="AB42" s="80"/>
      <c r="AC42" s="81"/>
      <c r="AD42" s="82"/>
      <c r="AE42" s="83"/>
      <c r="AF42" s="80"/>
      <c r="AG42" s="81"/>
      <c r="AH42" s="82"/>
      <c r="AI42" s="83"/>
      <c r="AJ42" s="80"/>
      <c r="AK42" s="81"/>
      <c r="AL42" s="82"/>
      <c r="AM42" s="83"/>
      <c r="AN42" s="80"/>
      <c r="AO42" s="81"/>
      <c r="AP42" s="82"/>
      <c r="AR42" s="295">
        <f t="shared" si="0"/>
        <v>0</v>
      </c>
      <c r="AS42" s="298">
        <f t="shared" si="1"/>
        <v>0</v>
      </c>
      <c r="AT42" s="256">
        <v>6860</v>
      </c>
    </row>
    <row r="43" spans="2:46" x14ac:dyDescent="0.3">
      <c r="B43" s="6">
        <v>6820</v>
      </c>
      <c r="C43" s="7" t="s">
        <v>23</v>
      </c>
      <c r="D43" s="80"/>
      <c r="E43" s="93"/>
      <c r="F43" s="82"/>
      <c r="G43" s="83"/>
      <c r="H43" s="80"/>
      <c r="I43" s="81"/>
      <c r="J43" s="82"/>
      <c r="K43" s="83"/>
      <c r="L43" s="80"/>
      <c r="M43" s="81"/>
      <c r="N43" s="82"/>
      <c r="O43" s="83"/>
      <c r="P43" s="80"/>
      <c r="Q43" s="93"/>
      <c r="R43" s="82"/>
      <c r="S43" s="83"/>
      <c r="T43" s="80"/>
      <c r="U43" s="81"/>
      <c r="V43" s="82"/>
      <c r="W43" s="83"/>
      <c r="X43" s="80"/>
      <c r="Y43" s="81"/>
      <c r="Z43" s="82"/>
      <c r="AA43" s="83"/>
      <c r="AB43" s="80"/>
      <c r="AC43" s="81"/>
      <c r="AD43" s="82"/>
      <c r="AE43" s="83"/>
      <c r="AF43" s="80"/>
      <c r="AG43" s="81"/>
      <c r="AH43" s="82"/>
      <c r="AI43" s="83"/>
      <c r="AJ43" s="80"/>
      <c r="AK43" s="81"/>
      <c r="AL43" s="82"/>
      <c r="AM43" s="83"/>
      <c r="AN43" s="80"/>
      <c r="AO43" s="81"/>
      <c r="AP43" s="82"/>
      <c r="AR43" s="296">
        <f t="shared" si="0"/>
        <v>0</v>
      </c>
      <c r="AS43" s="298">
        <f t="shared" si="1"/>
        <v>0</v>
      </c>
      <c r="AT43" s="256">
        <v>6820</v>
      </c>
    </row>
    <row r="44" spans="2:46" x14ac:dyDescent="0.3">
      <c r="B44" s="6">
        <v>6910</v>
      </c>
      <c r="C44" s="7" t="s">
        <v>26</v>
      </c>
      <c r="D44" s="80"/>
      <c r="E44" s="93"/>
      <c r="F44" s="82"/>
      <c r="G44" s="83"/>
      <c r="H44" s="80">
        <v>5000</v>
      </c>
      <c r="I44" s="81" t="s">
        <v>248</v>
      </c>
      <c r="J44" s="82"/>
      <c r="K44" s="83"/>
      <c r="L44" s="80"/>
      <c r="M44" s="81"/>
      <c r="N44" s="82"/>
      <c r="O44" s="83"/>
      <c r="P44" s="80"/>
      <c r="Q44" s="93"/>
      <c r="R44" s="82"/>
      <c r="S44" s="83"/>
      <c r="T44" s="80"/>
      <c r="U44" s="81"/>
      <c r="V44" s="82"/>
      <c r="W44" s="83"/>
      <c r="X44" s="80"/>
      <c r="Y44" s="81"/>
      <c r="Z44" s="82"/>
      <c r="AA44" s="83"/>
      <c r="AB44" s="80"/>
      <c r="AC44" s="81"/>
      <c r="AD44" s="82"/>
      <c r="AE44" s="83"/>
      <c r="AF44" s="80"/>
      <c r="AG44" s="81"/>
      <c r="AH44" s="82"/>
      <c r="AI44" s="83"/>
      <c r="AJ44" s="80"/>
      <c r="AK44" s="81"/>
      <c r="AL44" s="82"/>
      <c r="AM44" s="83"/>
      <c r="AN44" s="80"/>
      <c r="AO44" s="81"/>
      <c r="AP44" s="82"/>
      <c r="AR44" s="295">
        <f t="shared" si="0"/>
        <v>0</v>
      </c>
      <c r="AS44" s="298">
        <f t="shared" si="1"/>
        <v>5000</v>
      </c>
      <c r="AT44" s="256">
        <v>6910</v>
      </c>
    </row>
    <row r="45" spans="2:46" x14ac:dyDescent="0.3">
      <c r="B45" s="6">
        <v>6940</v>
      </c>
      <c r="C45" s="7" t="s">
        <v>49</v>
      </c>
      <c r="D45" s="80"/>
      <c r="E45" s="93"/>
      <c r="F45" s="82"/>
      <c r="G45" s="83"/>
      <c r="H45" s="80">
        <v>2000</v>
      </c>
      <c r="I45" s="81" t="s">
        <v>249</v>
      </c>
      <c r="J45" s="82"/>
      <c r="K45" s="83"/>
      <c r="L45" s="80"/>
      <c r="M45" s="81"/>
      <c r="N45" s="82"/>
      <c r="O45" s="83"/>
      <c r="P45" s="80"/>
      <c r="Q45" s="93"/>
      <c r="R45" s="82"/>
      <c r="S45" s="83"/>
      <c r="T45" s="80"/>
      <c r="U45" s="81"/>
      <c r="V45" s="82"/>
      <c r="W45" s="83"/>
      <c r="X45" s="80"/>
      <c r="Y45" s="81"/>
      <c r="Z45" s="82"/>
      <c r="AA45" s="83"/>
      <c r="AB45" s="80"/>
      <c r="AC45" s="81"/>
      <c r="AD45" s="82"/>
      <c r="AE45" s="83"/>
      <c r="AF45" s="80"/>
      <c r="AG45" s="81"/>
      <c r="AH45" s="82"/>
      <c r="AI45" s="83"/>
      <c r="AJ45" s="80"/>
      <c r="AK45" s="81"/>
      <c r="AL45" s="82"/>
      <c r="AM45" s="83"/>
      <c r="AN45" s="80"/>
      <c r="AO45" s="81"/>
      <c r="AP45" s="82"/>
      <c r="AR45" s="295">
        <f t="shared" si="0"/>
        <v>0</v>
      </c>
      <c r="AS45" s="298">
        <f t="shared" si="1"/>
        <v>2000</v>
      </c>
      <c r="AT45" s="256">
        <v>6940</v>
      </c>
    </row>
    <row r="46" spans="2:46" x14ac:dyDescent="0.3">
      <c r="B46" s="6">
        <v>7000</v>
      </c>
      <c r="C46" s="7" t="s">
        <v>27</v>
      </c>
      <c r="D46" s="80"/>
      <c r="E46" s="93"/>
      <c r="F46" s="82"/>
      <c r="G46" s="83"/>
      <c r="H46" s="80"/>
      <c r="I46" s="81"/>
      <c r="J46" s="82"/>
      <c r="K46" s="83"/>
      <c r="L46" s="80"/>
      <c r="M46" s="81"/>
      <c r="N46" s="82"/>
      <c r="O46" s="83"/>
      <c r="P46" s="80"/>
      <c r="Q46" s="93"/>
      <c r="R46" s="82"/>
      <c r="S46" s="83"/>
      <c r="T46" s="80"/>
      <c r="U46" s="81"/>
      <c r="V46" s="82"/>
      <c r="W46" s="83"/>
      <c r="X46" s="80"/>
      <c r="Y46" s="81"/>
      <c r="Z46" s="82"/>
      <c r="AA46" s="83"/>
      <c r="AB46" s="80"/>
      <c r="AC46" s="81"/>
      <c r="AD46" s="82"/>
      <c r="AE46" s="83"/>
      <c r="AF46" s="80"/>
      <c r="AG46" s="81"/>
      <c r="AH46" s="82"/>
      <c r="AI46" s="83"/>
      <c r="AJ46" s="80"/>
      <c r="AK46" s="81"/>
      <c r="AL46" s="82"/>
      <c r="AM46" s="83"/>
      <c r="AN46" s="80"/>
      <c r="AO46" s="81"/>
      <c r="AP46" s="82"/>
      <c r="AR46" s="295">
        <f t="shared" si="0"/>
        <v>0</v>
      </c>
      <c r="AS46" s="298">
        <f t="shared" si="1"/>
        <v>0</v>
      </c>
      <c r="AT46" s="256">
        <v>7000</v>
      </c>
    </row>
    <row r="47" spans="2:46" x14ac:dyDescent="0.3">
      <c r="B47" s="6">
        <v>7100</v>
      </c>
      <c r="C47" s="7" t="s">
        <v>28</v>
      </c>
      <c r="D47" s="80"/>
      <c r="E47" s="93"/>
      <c r="F47" s="82"/>
      <c r="G47" s="83"/>
      <c r="H47" s="80">
        <v>10000</v>
      </c>
      <c r="I47" s="81" t="s">
        <v>250</v>
      </c>
      <c r="J47" s="82"/>
      <c r="K47" s="83"/>
      <c r="L47" s="80"/>
      <c r="M47" s="81"/>
      <c r="N47" s="82"/>
      <c r="O47" s="83"/>
      <c r="P47" s="80"/>
      <c r="Q47" s="93"/>
      <c r="R47" s="82"/>
      <c r="S47" s="83"/>
      <c r="T47" s="80"/>
      <c r="U47" s="81"/>
      <c r="V47" s="82"/>
      <c r="W47" s="83"/>
      <c r="X47" s="80"/>
      <c r="Y47" s="81"/>
      <c r="Z47" s="82"/>
      <c r="AA47" s="83"/>
      <c r="AB47" s="80"/>
      <c r="AC47" s="81"/>
      <c r="AD47" s="82"/>
      <c r="AE47" s="83"/>
      <c r="AF47" s="80"/>
      <c r="AG47" s="81"/>
      <c r="AH47" s="82"/>
      <c r="AI47" s="83"/>
      <c r="AJ47" s="80"/>
      <c r="AK47" s="81"/>
      <c r="AL47" s="82"/>
      <c r="AM47" s="83"/>
      <c r="AN47" s="80"/>
      <c r="AO47" s="81"/>
      <c r="AP47" s="82"/>
      <c r="AR47" s="295">
        <f t="shared" si="0"/>
        <v>0</v>
      </c>
      <c r="AS47" s="298">
        <f t="shared" si="1"/>
        <v>10000</v>
      </c>
      <c r="AT47" s="256">
        <v>7100</v>
      </c>
    </row>
    <row r="48" spans="2:46" x14ac:dyDescent="0.3">
      <c r="B48" s="6">
        <v>7101</v>
      </c>
      <c r="C48" s="7" t="s">
        <v>29</v>
      </c>
      <c r="D48" s="80"/>
      <c r="E48" s="93"/>
      <c r="F48" s="82"/>
      <c r="G48" s="83"/>
      <c r="H48" s="80"/>
      <c r="I48" s="81"/>
      <c r="J48" s="82"/>
      <c r="K48" s="83"/>
      <c r="L48" s="80"/>
      <c r="M48" s="81"/>
      <c r="N48" s="82"/>
      <c r="O48" s="83"/>
      <c r="P48" s="80"/>
      <c r="Q48" s="93"/>
      <c r="R48" s="82"/>
      <c r="S48" s="83"/>
      <c r="T48" s="80"/>
      <c r="U48" s="81"/>
      <c r="V48" s="82"/>
      <c r="W48" s="83"/>
      <c r="X48" s="80"/>
      <c r="Y48" s="81"/>
      <c r="Z48" s="82"/>
      <c r="AA48" s="83"/>
      <c r="AB48" s="80"/>
      <c r="AC48" s="81"/>
      <c r="AD48" s="82"/>
      <c r="AE48" s="83"/>
      <c r="AF48" s="80"/>
      <c r="AG48" s="81"/>
      <c r="AH48" s="82"/>
      <c r="AI48" s="83"/>
      <c r="AJ48" s="80"/>
      <c r="AK48" s="81"/>
      <c r="AL48" s="82"/>
      <c r="AM48" s="83"/>
      <c r="AN48" s="80"/>
      <c r="AO48" s="81"/>
      <c r="AP48" s="82"/>
      <c r="AR48" s="295">
        <f t="shared" si="0"/>
        <v>0</v>
      </c>
      <c r="AS48" s="298">
        <f t="shared" si="1"/>
        <v>0</v>
      </c>
      <c r="AT48" s="256">
        <v>7101</v>
      </c>
    </row>
    <row r="49" spans="2:46" x14ac:dyDescent="0.3">
      <c r="B49" s="6">
        <v>7102</v>
      </c>
      <c r="C49" s="191" t="s">
        <v>29</v>
      </c>
      <c r="D49" s="80"/>
      <c r="E49" s="93"/>
      <c r="F49" s="82"/>
      <c r="G49" s="83"/>
      <c r="H49" s="80"/>
      <c r="I49" s="81"/>
      <c r="J49" s="82"/>
      <c r="K49" s="83"/>
      <c r="L49" s="80"/>
      <c r="M49" s="81"/>
      <c r="N49" s="82"/>
      <c r="O49" s="83"/>
      <c r="P49" s="80"/>
      <c r="Q49" s="93"/>
      <c r="R49" s="82"/>
      <c r="S49" s="83"/>
      <c r="T49" s="80"/>
      <c r="U49" s="81"/>
      <c r="V49" s="82"/>
      <c r="W49" s="83"/>
      <c r="X49" s="80"/>
      <c r="Y49" s="81"/>
      <c r="Z49" s="82"/>
      <c r="AA49" s="83"/>
      <c r="AB49" s="80"/>
      <c r="AC49" s="81"/>
      <c r="AD49" s="82"/>
      <c r="AE49" s="83"/>
      <c r="AF49" s="80"/>
      <c r="AG49" s="81"/>
      <c r="AH49" s="82"/>
      <c r="AI49" s="83"/>
      <c r="AJ49" s="80"/>
      <c r="AK49" s="81"/>
      <c r="AL49" s="82"/>
      <c r="AM49" s="83"/>
      <c r="AN49" s="80"/>
      <c r="AO49" s="81"/>
      <c r="AP49" s="82"/>
      <c r="AR49" s="296">
        <f t="shared" si="0"/>
        <v>0</v>
      </c>
      <c r="AS49" s="298">
        <f t="shared" si="1"/>
        <v>0</v>
      </c>
      <c r="AT49" s="256">
        <v>7102</v>
      </c>
    </row>
    <row r="50" spans="2:46" x14ac:dyDescent="0.3">
      <c r="B50" s="6">
        <v>7110</v>
      </c>
      <c r="C50" s="7" t="s">
        <v>30</v>
      </c>
      <c r="D50" s="80"/>
      <c r="E50" s="93"/>
      <c r="F50" s="82"/>
      <c r="G50" s="83"/>
      <c r="H50" s="80">
        <v>40000</v>
      </c>
      <c r="I50" s="81" t="s">
        <v>250</v>
      </c>
      <c r="J50" s="82"/>
      <c r="K50" s="83"/>
      <c r="L50" s="80"/>
      <c r="M50" s="81"/>
      <c r="N50" s="82"/>
      <c r="O50" s="83"/>
      <c r="P50" s="80"/>
      <c r="Q50" s="93"/>
      <c r="R50" s="82"/>
      <c r="S50" s="83"/>
      <c r="T50" s="80"/>
      <c r="U50" s="81"/>
      <c r="V50" s="82"/>
      <c r="W50" s="83"/>
      <c r="X50" s="80"/>
      <c r="Y50" s="81"/>
      <c r="Z50" s="82"/>
      <c r="AA50" s="83"/>
      <c r="AB50" s="80"/>
      <c r="AC50" s="81"/>
      <c r="AD50" s="82"/>
      <c r="AE50" s="83"/>
      <c r="AF50" s="80"/>
      <c r="AG50" s="81"/>
      <c r="AH50" s="82"/>
      <c r="AI50" s="83"/>
      <c r="AJ50" s="80"/>
      <c r="AK50" s="81"/>
      <c r="AL50" s="82"/>
      <c r="AM50" s="83"/>
      <c r="AN50" s="80"/>
      <c r="AO50" s="81"/>
      <c r="AP50" s="82"/>
      <c r="AR50" s="295">
        <f t="shared" si="0"/>
        <v>0</v>
      </c>
      <c r="AS50" s="298">
        <f t="shared" si="1"/>
        <v>40000</v>
      </c>
      <c r="AT50" s="256">
        <v>7110</v>
      </c>
    </row>
    <row r="51" spans="2:46" x14ac:dyDescent="0.3">
      <c r="B51" s="6">
        <v>7141</v>
      </c>
      <c r="C51" s="7" t="s">
        <v>31</v>
      </c>
      <c r="D51" s="80"/>
      <c r="E51" s="93"/>
      <c r="F51" s="82"/>
      <c r="G51" s="83"/>
      <c r="H51" s="80">
        <v>10000</v>
      </c>
      <c r="I51" s="81" t="s">
        <v>250</v>
      </c>
      <c r="J51" s="82"/>
      <c r="K51" s="83"/>
      <c r="L51" s="80"/>
      <c r="M51" s="81"/>
      <c r="N51" s="82"/>
      <c r="O51" s="83"/>
      <c r="P51" s="80"/>
      <c r="Q51" s="93"/>
      <c r="R51" s="82"/>
      <c r="S51" s="83"/>
      <c r="T51" s="80"/>
      <c r="U51" s="81"/>
      <c r="V51" s="82"/>
      <c r="W51" s="83"/>
      <c r="X51" s="80"/>
      <c r="Y51" s="81"/>
      <c r="Z51" s="82"/>
      <c r="AA51" s="83"/>
      <c r="AB51" s="80"/>
      <c r="AC51" s="81"/>
      <c r="AD51" s="82"/>
      <c r="AE51" s="83"/>
      <c r="AF51" s="80"/>
      <c r="AG51" s="81"/>
      <c r="AH51" s="82"/>
      <c r="AI51" s="83"/>
      <c r="AJ51" s="80"/>
      <c r="AK51" s="81"/>
      <c r="AL51" s="82"/>
      <c r="AM51" s="83"/>
      <c r="AN51" s="80"/>
      <c r="AO51" s="81"/>
      <c r="AP51" s="82"/>
      <c r="AR51" s="295">
        <f t="shared" si="0"/>
        <v>0</v>
      </c>
      <c r="AS51" s="298">
        <f t="shared" si="1"/>
        <v>10000</v>
      </c>
      <c r="AT51" s="256">
        <v>7141</v>
      </c>
    </row>
    <row r="52" spans="2:46" x14ac:dyDescent="0.3">
      <c r="B52" s="6">
        <v>7145</v>
      </c>
      <c r="C52" s="7" t="s">
        <v>32</v>
      </c>
      <c r="D52" s="80"/>
      <c r="E52" s="93"/>
      <c r="F52" s="82"/>
      <c r="G52" s="83"/>
      <c r="H52" s="80">
        <v>7000</v>
      </c>
      <c r="I52" s="81" t="s">
        <v>250</v>
      </c>
      <c r="J52" s="82"/>
      <c r="K52" s="83"/>
      <c r="L52" s="80"/>
      <c r="M52" s="81"/>
      <c r="N52" s="82"/>
      <c r="O52" s="83"/>
      <c r="P52" s="80"/>
      <c r="Q52" s="93"/>
      <c r="R52" s="82"/>
      <c r="S52" s="83"/>
      <c r="T52" s="80"/>
      <c r="U52" s="81"/>
      <c r="V52" s="82"/>
      <c r="W52" s="83"/>
      <c r="X52" s="80"/>
      <c r="Y52" s="81"/>
      <c r="Z52" s="82"/>
      <c r="AA52" s="83"/>
      <c r="AB52" s="80"/>
      <c r="AC52" s="81"/>
      <c r="AD52" s="82"/>
      <c r="AE52" s="83"/>
      <c r="AF52" s="80"/>
      <c r="AG52" s="81"/>
      <c r="AH52" s="82"/>
      <c r="AI52" s="83"/>
      <c r="AJ52" s="80"/>
      <c r="AK52" s="81"/>
      <c r="AL52" s="82"/>
      <c r="AM52" s="83"/>
      <c r="AN52" s="80"/>
      <c r="AO52" s="81"/>
      <c r="AP52" s="82"/>
      <c r="AR52" s="295">
        <f t="shared" si="0"/>
        <v>0</v>
      </c>
      <c r="AS52" s="298">
        <f t="shared" si="1"/>
        <v>7000</v>
      </c>
      <c r="AT52" s="256">
        <v>7145</v>
      </c>
    </row>
    <row r="53" spans="2:46" x14ac:dyDescent="0.3">
      <c r="B53" s="6">
        <v>7162</v>
      </c>
      <c r="C53" s="7" t="s">
        <v>33</v>
      </c>
      <c r="D53" s="80"/>
      <c r="E53" s="93"/>
      <c r="F53" s="82"/>
      <c r="G53" s="83"/>
      <c r="H53" s="80">
        <v>4000</v>
      </c>
      <c r="I53" s="81" t="s">
        <v>250</v>
      </c>
      <c r="J53" s="82"/>
      <c r="K53" s="83"/>
      <c r="L53" s="80"/>
      <c r="M53" s="81"/>
      <c r="N53" s="82"/>
      <c r="O53" s="83"/>
      <c r="P53" s="80"/>
      <c r="Q53" s="93"/>
      <c r="R53" s="82"/>
      <c r="S53" s="83"/>
      <c r="T53" s="80"/>
      <c r="U53" s="81"/>
      <c r="V53" s="82"/>
      <c r="W53" s="83"/>
      <c r="X53" s="80"/>
      <c r="Y53" s="81"/>
      <c r="Z53" s="82"/>
      <c r="AA53" s="83"/>
      <c r="AB53" s="80"/>
      <c r="AC53" s="81"/>
      <c r="AD53" s="82"/>
      <c r="AE53" s="83"/>
      <c r="AF53" s="80"/>
      <c r="AG53" s="81"/>
      <c r="AH53" s="82"/>
      <c r="AI53" s="83"/>
      <c r="AJ53" s="80"/>
      <c r="AK53" s="81"/>
      <c r="AL53" s="82"/>
      <c r="AM53" s="83"/>
      <c r="AN53" s="80"/>
      <c r="AO53" s="81"/>
      <c r="AP53" s="82"/>
      <c r="AR53" s="295">
        <f t="shared" si="0"/>
        <v>0</v>
      </c>
      <c r="AS53" s="298">
        <f t="shared" si="1"/>
        <v>4000</v>
      </c>
      <c r="AT53" s="256">
        <v>7162</v>
      </c>
    </row>
    <row r="54" spans="2:46" hidden="1" x14ac:dyDescent="0.3">
      <c r="B54" s="6">
        <v>7320</v>
      </c>
      <c r="C54" s="7" t="s">
        <v>34</v>
      </c>
      <c r="D54" s="80"/>
      <c r="E54" s="93"/>
      <c r="F54" s="82"/>
      <c r="G54" s="83"/>
      <c r="H54" s="80"/>
      <c r="I54" s="81"/>
      <c r="J54" s="82"/>
      <c r="K54" s="83"/>
      <c r="L54" s="80"/>
      <c r="M54" s="81"/>
      <c r="N54" s="82"/>
      <c r="O54" s="83"/>
      <c r="P54" s="80"/>
      <c r="Q54" s="93"/>
      <c r="R54" s="82"/>
      <c r="S54" s="83"/>
      <c r="T54" s="80"/>
      <c r="U54" s="81"/>
      <c r="V54" s="82"/>
      <c r="W54" s="83"/>
      <c r="X54" s="80"/>
      <c r="Y54" s="81"/>
      <c r="Z54" s="82"/>
      <c r="AA54" s="83"/>
      <c r="AB54" s="80"/>
      <c r="AC54" s="81"/>
      <c r="AD54" s="82"/>
      <c r="AE54" s="83"/>
      <c r="AF54" s="80"/>
      <c r="AG54" s="81"/>
      <c r="AH54" s="82"/>
      <c r="AI54" s="83"/>
      <c r="AJ54" s="80"/>
      <c r="AK54" s="81"/>
      <c r="AL54" s="82"/>
      <c r="AM54" s="83"/>
      <c r="AN54" s="80"/>
      <c r="AO54" s="81"/>
      <c r="AP54" s="82"/>
      <c r="AR54" s="295">
        <f t="shared" si="0"/>
        <v>0</v>
      </c>
      <c r="AS54" s="298">
        <f t="shared" si="1"/>
        <v>0</v>
      </c>
      <c r="AT54" s="256">
        <v>7320</v>
      </c>
    </row>
    <row r="55" spans="2:46" hidden="1" x14ac:dyDescent="0.3">
      <c r="B55" s="6">
        <v>7350</v>
      </c>
      <c r="C55" s="7" t="s">
        <v>35</v>
      </c>
      <c r="D55" s="80"/>
      <c r="E55" s="93"/>
      <c r="F55" s="82"/>
      <c r="G55" s="83"/>
      <c r="H55" s="80"/>
      <c r="I55" s="81"/>
      <c r="J55" s="82"/>
      <c r="K55" s="83"/>
      <c r="L55" s="80"/>
      <c r="M55" s="81"/>
      <c r="N55" s="82"/>
      <c r="O55" s="83"/>
      <c r="P55" s="80"/>
      <c r="Q55" s="93"/>
      <c r="R55" s="82"/>
      <c r="S55" s="83"/>
      <c r="T55" s="80"/>
      <c r="U55" s="81"/>
      <c r="V55" s="82"/>
      <c r="W55" s="83"/>
      <c r="X55" s="80"/>
      <c r="Y55" s="81"/>
      <c r="Z55" s="82"/>
      <c r="AA55" s="83"/>
      <c r="AB55" s="80"/>
      <c r="AC55" s="81"/>
      <c r="AD55" s="82"/>
      <c r="AE55" s="83"/>
      <c r="AF55" s="80"/>
      <c r="AG55" s="81"/>
      <c r="AH55" s="82"/>
      <c r="AI55" s="83"/>
      <c r="AJ55" s="80"/>
      <c r="AK55" s="81"/>
      <c r="AL55" s="82"/>
      <c r="AM55" s="83"/>
      <c r="AN55" s="80"/>
      <c r="AO55" s="81"/>
      <c r="AP55" s="82"/>
      <c r="AR55" s="295">
        <f t="shared" si="0"/>
        <v>0</v>
      </c>
      <c r="AS55" s="298">
        <f t="shared" si="1"/>
        <v>0</v>
      </c>
      <c r="AT55" s="256">
        <v>7350</v>
      </c>
    </row>
    <row r="56" spans="2:46" hidden="1" x14ac:dyDescent="0.3">
      <c r="B56" s="6">
        <v>7400</v>
      </c>
      <c r="C56" s="7" t="s">
        <v>36</v>
      </c>
      <c r="D56" s="80"/>
      <c r="E56" s="93"/>
      <c r="F56" s="82"/>
      <c r="G56" s="83"/>
      <c r="H56" s="80"/>
      <c r="I56" s="81"/>
      <c r="J56" s="82"/>
      <c r="K56" s="83"/>
      <c r="L56" s="80"/>
      <c r="M56" s="81"/>
      <c r="N56" s="82"/>
      <c r="O56" s="83"/>
      <c r="P56" s="80"/>
      <c r="Q56" s="93"/>
      <c r="R56" s="82"/>
      <c r="S56" s="83"/>
      <c r="T56" s="80"/>
      <c r="U56" s="81"/>
      <c r="V56" s="82"/>
      <c r="W56" s="83"/>
      <c r="X56" s="80"/>
      <c r="Y56" s="81"/>
      <c r="Z56" s="82"/>
      <c r="AA56" s="83"/>
      <c r="AB56" s="80"/>
      <c r="AC56" s="81"/>
      <c r="AD56" s="82"/>
      <c r="AE56" s="83"/>
      <c r="AF56" s="80"/>
      <c r="AG56" s="81"/>
      <c r="AH56" s="82"/>
      <c r="AI56" s="83"/>
      <c r="AJ56" s="80"/>
      <c r="AK56" s="81"/>
      <c r="AL56" s="82"/>
      <c r="AM56" s="83"/>
      <c r="AN56" s="80"/>
      <c r="AO56" s="81"/>
      <c r="AP56" s="82"/>
      <c r="AR56" s="295">
        <f t="shared" si="0"/>
        <v>0</v>
      </c>
      <c r="AS56" s="298">
        <f t="shared" si="1"/>
        <v>0</v>
      </c>
      <c r="AT56" s="256">
        <v>7400</v>
      </c>
    </row>
    <row r="57" spans="2:46" hidden="1" x14ac:dyDescent="0.3">
      <c r="B57" s="6">
        <v>7411</v>
      </c>
      <c r="C57" s="7" t="s">
        <v>37</v>
      </c>
      <c r="D57" s="80"/>
      <c r="E57" s="93"/>
      <c r="F57" s="82"/>
      <c r="G57" s="83"/>
      <c r="H57" s="80"/>
      <c r="I57" s="81"/>
      <c r="J57" s="82"/>
      <c r="K57" s="83"/>
      <c r="L57" s="80"/>
      <c r="M57" s="81"/>
      <c r="N57" s="82"/>
      <c r="O57" s="83"/>
      <c r="P57" s="80"/>
      <c r="Q57" s="93"/>
      <c r="R57" s="82"/>
      <c r="S57" s="83"/>
      <c r="T57" s="80"/>
      <c r="U57" s="81"/>
      <c r="V57" s="82"/>
      <c r="W57" s="83"/>
      <c r="X57" s="80"/>
      <c r="Y57" s="81"/>
      <c r="Z57" s="82"/>
      <c r="AA57" s="83"/>
      <c r="AB57" s="80"/>
      <c r="AC57" s="81"/>
      <c r="AD57" s="82"/>
      <c r="AE57" s="83"/>
      <c r="AF57" s="80"/>
      <c r="AG57" s="81"/>
      <c r="AH57" s="82"/>
      <c r="AI57" s="83"/>
      <c r="AJ57" s="80"/>
      <c r="AK57" s="81"/>
      <c r="AL57" s="82"/>
      <c r="AM57" s="83"/>
      <c r="AN57" s="80"/>
      <c r="AO57" s="81"/>
      <c r="AP57" s="82"/>
      <c r="AR57" s="295">
        <f t="shared" si="0"/>
        <v>0</v>
      </c>
      <c r="AS57" s="298">
        <f t="shared" si="1"/>
        <v>0</v>
      </c>
      <c r="AT57" s="256">
        <v>7411</v>
      </c>
    </row>
    <row r="58" spans="2:46" ht="28.8" x14ac:dyDescent="0.3">
      <c r="B58" s="6">
        <v>7420</v>
      </c>
      <c r="C58" s="7" t="s">
        <v>38</v>
      </c>
      <c r="D58" s="80"/>
      <c r="E58" s="93"/>
      <c r="F58" s="82"/>
      <c r="G58" s="83"/>
      <c r="H58" s="80"/>
      <c r="I58" s="81"/>
      <c r="J58" s="82"/>
      <c r="K58" s="83"/>
      <c r="L58" s="80"/>
      <c r="M58" s="81"/>
      <c r="N58" s="82"/>
      <c r="O58" s="83"/>
      <c r="P58" s="80"/>
      <c r="Q58" s="93"/>
      <c r="R58" s="82"/>
      <c r="S58" s="83"/>
      <c r="T58" s="80">
        <v>30000</v>
      </c>
      <c r="U58" s="231" t="s">
        <v>336</v>
      </c>
      <c r="V58" s="82"/>
      <c r="W58" s="83"/>
      <c r="X58" s="80"/>
      <c r="Y58" s="81"/>
      <c r="Z58" s="82"/>
      <c r="AA58" s="83"/>
      <c r="AB58" s="80">
        <v>10000</v>
      </c>
      <c r="AC58" s="81" t="s">
        <v>66</v>
      </c>
      <c r="AD58" s="82"/>
      <c r="AE58" s="83"/>
      <c r="AF58" s="80">
        <v>10000</v>
      </c>
      <c r="AG58" s="81"/>
      <c r="AH58" s="82"/>
      <c r="AI58" s="83"/>
      <c r="AJ58" s="80"/>
      <c r="AK58" s="81"/>
      <c r="AL58" s="82"/>
      <c r="AM58" s="83"/>
      <c r="AN58" s="80"/>
      <c r="AO58" s="81"/>
      <c r="AP58" s="82"/>
      <c r="AR58" s="295">
        <f t="shared" si="0"/>
        <v>0</v>
      </c>
      <c r="AS58" s="298">
        <f t="shared" si="1"/>
        <v>50000</v>
      </c>
      <c r="AT58" s="256">
        <v>7420</v>
      </c>
    </row>
    <row r="59" spans="2:46" hidden="1" x14ac:dyDescent="0.3">
      <c r="B59" s="6">
        <v>7425</v>
      </c>
      <c r="C59" s="7" t="s">
        <v>39</v>
      </c>
      <c r="D59" s="80"/>
      <c r="E59" s="93"/>
      <c r="F59" s="82"/>
      <c r="G59" s="83"/>
      <c r="H59" s="80"/>
      <c r="I59" s="81"/>
      <c r="J59" s="82"/>
      <c r="K59" s="83"/>
      <c r="L59" s="80"/>
      <c r="M59" s="81"/>
      <c r="N59" s="82"/>
      <c r="O59" s="83"/>
      <c r="P59" s="80"/>
      <c r="Q59" s="93"/>
      <c r="R59" s="82"/>
      <c r="S59" s="83"/>
      <c r="T59" s="80"/>
      <c r="U59" s="81"/>
      <c r="V59" s="82"/>
      <c r="W59" s="83"/>
      <c r="X59" s="80"/>
      <c r="Y59" s="81"/>
      <c r="Z59" s="82"/>
      <c r="AA59" s="83"/>
      <c r="AB59" s="80"/>
      <c r="AC59" s="81"/>
      <c r="AD59" s="82"/>
      <c r="AE59" s="83"/>
      <c r="AF59" s="80"/>
      <c r="AG59" s="81"/>
      <c r="AH59" s="82"/>
      <c r="AI59" s="83"/>
      <c r="AJ59" s="80"/>
      <c r="AK59" s="81"/>
      <c r="AL59" s="82"/>
      <c r="AM59" s="83"/>
      <c r="AN59" s="80"/>
      <c r="AO59" s="81"/>
      <c r="AP59" s="82"/>
      <c r="AR59" s="295">
        <f t="shared" si="0"/>
        <v>0</v>
      </c>
      <c r="AS59" s="298">
        <f t="shared" si="1"/>
        <v>0</v>
      </c>
      <c r="AT59" s="256">
        <v>7425</v>
      </c>
    </row>
    <row r="60" spans="2:46" x14ac:dyDescent="0.3">
      <c r="B60" s="6">
        <v>7430</v>
      </c>
      <c r="C60" s="7" t="s">
        <v>40</v>
      </c>
      <c r="D60" s="80"/>
      <c r="E60" s="93"/>
      <c r="F60" s="82"/>
      <c r="G60" s="83"/>
      <c r="H60" s="80"/>
      <c r="I60" s="81"/>
      <c r="J60" s="82"/>
      <c r="K60" s="83"/>
      <c r="L60" s="80"/>
      <c r="M60" s="81"/>
      <c r="N60" s="82"/>
      <c r="O60" s="83"/>
      <c r="P60" s="80"/>
      <c r="Q60" s="93"/>
      <c r="R60" s="82"/>
      <c r="S60" s="83"/>
      <c r="T60" s="80"/>
      <c r="U60" s="81"/>
      <c r="V60" s="82"/>
      <c r="W60" s="83"/>
      <c r="X60" s="80"/>
      <c r="Y60" s="81"/>
      <c r="Z60" s="82"/>
      <c r="AA60" s="83"/>
      <c r="AB60" s="80"/>
      <c r="AC60" s="81"/>
      <c r="AD60" s="82"/>
      <c r="AE60" s="83"/>
      <c r="AF60" s="80"/>
      <c r="AG60" s="81"/>
      <c r="AH60" s="82"/>
      <c r="AI60" s="83"/>
      <c r="AJ60" s="80"/>
      <c r="AK60" s="81"/>
      <c r="AL60" s="82"/>
      <c r="AM60" s="83"/>
      <c r="AN60" s="80"/>
      <c r="AO60" s="81"/>
      <c r="AP60" s="82"/>
      <c r="AR60" s="295">
        <f t="shared" si="0"/>
        <v>0</v>
      </c>
      <c r="AS60" s="298">
        <f t="shared" si="1"/>
        <v>0</v>
      </c>
      <c r="AT60" s="256">
        <v>7430</v>
      </c>
    </row>
    <row r="61" spans="2:46" x14ac:dyDescent="0.3">
      <c r="B61" s="6">
        <v>7425</v>
      </c>
      <c r="C61" s="191" t="s">
        <v>39</v>
      </c>
      <c r="D61" s="80"/>
      <c r="E61" s="93"/>
      <c r="F61" s="82"/>
      <c r="G61" s="83"/>
      <c r="H61" s="80">
        <v>15000</v>
      </c>
      <c r="I61" s="81"/>
      <c r="J61" s="82"/>
      <c r="K61" s="83"/>
      <c r="L61" s="80"/>
      <c r="M61" s="81"/>
      <c r="N61" s="82"/>
      <c r="O61" s="83"/>
      <c r="P61" s="80"/>
      <c r="Q61" s="93"/>
      <c r="R61" s="82"/>
      <c r="S61" s="83"/>
      <c r="T61" s="80">
        <v>5000</v>
      </c>
      <c r="U61" s="81"/>
      <c r="V61" s="82"/>
      <c r="W61" s="83"/>
      <c r="X61" s="80"/>
      <c r="Y61" s="81"/>
      <c r="Z61" s="82"/>
      <c r="AA61" s="83"/>
      <c r="AB61" s="80"/>
      <c r="AC61" s="81"/>
      <c r="AD61" s="82"/>
      <c r="AE61" s="83"/>
      <c r="AF61" s="80"/>
      <c r="AG61" s="81"/>
      <c r="AH61" s="82"/>
      <c r="AI61" s="83"/>
      <c r="AJ61" s="80"/>
      <c r="AK61" s="81"/>
      <c r="AL61" s="82"/>
      <c r="AM61" s="83"/>
      <c r="AN61" s="80"/>
      <c r="AO61" s="81"/>
      <c r="AP61" s="82"/>
      <c r="AR61" s="296">
        <f t="shared" si="0"/>
        <v>0</v>
      </c>
      <c r="AS61" s="298">
        <f t="shared" si="1"/>
        <v>20000</v>
      </c>
      <c r="AT61" s="256">
        <v>7425</v>
      </c>
    </row>
    <row r="62" spans="2:46" ht="28.8" x14ac:dyDescent="0.3">
      <c r="B62" s="6">
        <v>7500</v>
      </c>
      <c r="C62" s="7" t="s">
        <v>41</v>
      </c>
      <c r="D62" s="80">
        <f>3000+200*90</f>
        <v>21000</v>
      </c>
      <c r="E62" s="93" t="s">
        <v>325</v>
      </c>
      <c r="F62" s="82"/>
      <c r="G62" s="83"/>
      <c r="H62" s="80"/>
      <c r="I62" s="81"/>
      <c r="J62" s="82"/>
      <c r="K62" s="83"/>
      <c r="L62" s="80"/>
      <c r="M62" s="81"/>
      <c r="N62" s="82"/>
      <c r="O62" s="83"/>
      <c r="P62" s="80"/>
      <c r="Q62" s="93"/>
      <c r="R62" s="82"/>
      <c r="S62" s="83"/>
      <c r="T62" s="80"/>
      <c r="U62" s="81"/>
      <c r="V62" s="82"/>
      <c r="W62" s="83"/>
      <c r="X62" s="80"/>
      <c r="Y62" s="81"/>
      <c r="Z62" s="82"/>
      <c r="AA62" s="83"/>
      <c r="AB62" s="80"/>
      <c r="AC62" s="81"/>
      <c r="AD62" s="82"/>
      <c r="AE62" s="83"/>
      <c r="AF62" s="80"/>
      <c r="AG62" s="81"/>
      <c r="AH62" s="82"/>
      <c r="AI62" s="83"/>
      <c r="AJ62" s="80"/>
      <c r="AK62" s="81"/>
      <c r="AL62" s="82"/>
      <c r="AM62" s="83"/>
      <c r="AN62" s="188"/>
      <c r="AO62" s="81"/>
      <c r="AP62" s="82"/>
      <c r="AR62" s="295">
        <f t="shared" si="0"/>
        <v>0</v>
      </c>
      <c r="AS62" s="298">
        <f t="shared" si="1"/>
        <v>21000</v>
      </c>
      <c r="AT62" s="256">
        <v>7500</v>
      </c>
    </row>
    <row r="63" spans="2:46" hidden="1" x14ac:dyDescent="0.3">
      <c r="B63" s="6">
        <v>7746</v>
      </c>
      <c r="C63" s="7" t="s">
        <v>42</v>
      </c>
      <c r="D63" s="80"/>
      <c r="E63" s="93"/>
      <c r="F63" s="82"/>
      <c r="G63" s="83"/>
      <c r="H63" s="80"/>
      <c r="I63" s="81"/>
      <c r="J63" s="82"/>
      <c r="K63" s="83"/>
      <c r="L63" s="80"/>
      <c r="M63" s="81"/>
      <c r="N63" s="82"/>
      <c r="O63" s="83"/>
      <c r="P63" s="80"/>
      <c r="Q63" s="93"/>
      <c r="R63" s="82"/>
      <c r="S63" s="83"/>
      <c r="T63" s="80"/>
      <c r="U63" s="81"/>
      <c r="V63" s="82"/>
      <c r="W63" s="83"/>
      <c r="X63" s="80"/>
      <c r="Y63" s="81"/>
      <c r="Z63" s="82"/>
      <c r="AA63" s="83"/>
      <c r="AB63" s="80"/>
      <c r="AC63" s="81"/>
      <c r="AD63" s="82"/>
      <c r="AE63" s="83"/>
      <c r="AF63" s="80"/>
      <c r="AG63" s="81"/>
      <c r="AH63" s="82"/>
      <c r="AI63" s="83"/>
      <c r="AJ63" s="80"/>
      <c r="AK63" s="81"/>
      <c r="AL63" s="82"/>
      <c r="AM63" s="83"/>
      <c r="AN63" s="188"/>
      <c r="AO63" s="81"/>
      <c r="AP63" s="82"/>
      <c r="AR63" s="295">
        <f t="shared" si="0"/>
        <v>0</v>
      </c>
      <c r="AS63" s="298">
        <f t="shared" si="1"/>
        <v>0</v>
      </c>
      <c r="AT63" s="256">
        <v>7746</v>
      </c>
    </row>
    <row r="64" spans="2:46" hidden="1" x14ac:dyDescent="0.3">
      <c r="B64" s="6">
        <v>7770</v>
      </c>
      <c r="C64" s="7" t="s">
        <v>43</v>
      </c>
      <c r="D64" s="80"/>
      <c r="E64" s="93"/>
      <c r="F64" s="82"/>
      <c r="G64" s="83"/>
      <c r="H64" s="80"/>
      <c r="I64" s="81"/>
      <c r="J64" s="82"/>
      <c r="K64" s="83"/>
      <c r="L64" s="80"/>
      <c r="M64" s="81"/>
      <c r="N64" s="82"/>
      <c r="O64" s="83"/>
      <c r="P64" s="80"/>
      <c r="Q64" s="93"/>
      <c r="R64" s="82"/>
      <c r="S64" s="83"/>
      <c r="T64" s="80"/>
      <c r="U64" s="81"/>
      <c r="V64" s="82"/>
      <c r="W64" s="83"/>
      <c r="X64" s="80"/>
      <c r="Y64" s="81"/>
      <c r="Z64" s="82"/>
      <c r="AA64" s="83"/>
      <c r="AB64" s="80"/>
      <c r="AC64" s="81"/>
      <c r="AD64" s="82"/>
      <c r="AE64" s="83"/>
      <c r="AF64" s="80"/>
      <c r="AG64" s="81"/>
      <c r="AH64" s="82"/>
      <c r="AI64" s="83"/>
      <c r="AJ64" s="80"/>
      <c r="AK64" s="81"/>
      <c r="AL64" s="82"/>
      <c r="AM64" s="83"/>
      <c r="AN64" s="188"/>
      <c r="AO64" s="81"/>
      <c r="AP64" s="82"/>
      <c r="AR64" s="295">
        <f t="shared" si="0"/>
        <v>0</v>
      </c>
      <c r="AS64" s="298">
        <f t="shared" si="1"/>
        <v>0</v>
      </c>
      <c r="AT64" s="256">
        <v>7770</v>
      </c>
    </row>
    <row r="65" spans="2:47" ht="15" thickBot="1" x14ac:dyDescent="0.35">
      <c r="B65" s="193">
        <v>7775</v>
      </c>
      <c r="C65" s="212" t="s">
        <v>44</v>
      </c>
      <c r="D65" s="80"/>
      <c r="E65" s="93"/>
      <c r="F65" s="82"/>
      <c r="G65" s="83"/>
      <c r="H65" s="80"/>
      <c r="I65" s="81"/>
      <c r="J65" s="82"/>
      <c r="K65" s="83"/>
      <c r="L65" s="80"/>
      <c r="M65" s="81"/>
      <c r="N65" s="82"/>
      <c r="O65" s="83"/>
      <c r="P65" s="80"/>
      <c r="Q65" s="93"/>
      <c r="R65" s="82"/>
      <c r="S65" s="83"/>
      <c r="T65" s="80"/>
      <c r="U65" s="81"/>
      <c r="V65" s="82"/>
      <c r="W65" s="83"/>
      <c r="X65" s="80"/>
      <c r="Y65" s="81"/>
      <c r="Z65" s="82"/>
      <c r="AA65" s="83"/>
      <c r="AB65" s="80"/>
      <c r="AC65" s="81"/>
      <c r="AD65" s="82"/>
      <c r="AE65" s="83"/>
      <c r="AF65" s="80"/>
      <c r="AG65" s="81"/>
      <c r="AH65" s="82"/>
      <c r="AI65" s="83"/>
      <c r="AJ65" s="80"/>
      <c r="AK65" s="81"/>
      <c r="AL65" s="82"/>
      <c r="AM65" s="83"/>
      <c r="AN65" s="188"/>
      <c r="AO65" s="81"/>
      <c r="AP65" s="82"/>
      <c r="AR65" s="295">
        <f t="shared" si="0"/>
        <v>0</v>
      </c>
      <c r="AS65" s="298">
        <f t="shared" si="1"/>
        <v>0</v>
      </c>
      <c r="AT65" s="258">
        <v>7775</v>
      </c>
    </row>
    <row r="66" spans="2:47" ht="15" thickBot="1" x14ac:dyDescent="0.35">
      <c r="B66" s="179">
        <v>7775</v>
      </c>
      <c r="C66" s="7" t="s">
        <v>44</v>
      </c>
      <c r="D66" s="80"/>
      <c r="E66" s="93"/>
      <c r="F66" s="82"/>
      <c r="G66" s="83"/>
      <c r="H66" s="80">
        <v>500</v>
      </c>
      <c r="I66" s="81"/>
      <c r="J66" s="82"/>
      <c r="K66" s="83"/>
      <c r="L66" s="80"/>
      <c r="M66" s="81"/>
      <c r="N66" s="82"/>
      <c r="O66" s="83"/>
      <c r="P66" s="80"/>
      <c r="Q66" s="93"/>
      <c r="R66" s="82"/>
      <c r="S66" s="83"/>
      <c r="T66" s="80"/>
      <c r="U66" s="81"/>
      <c r="V66" s="82"/>
      <c r="W66" s="83"/>
      <c r="X66" s="80"/>
      <c r="Y66" s="81"/>
      <c r="Z66" s="82"/>
      <c r="AA66" s="83"/>
      <c r="AB66" s="80"/>
      <c r="AC66" s="81"/>
      <c r="AD66" s="82"/>
      <c r="AE66" s="83"/>
      <c r="AF66" s="80"/>
      <c r="AG66" s="81"/>
      <c r="AH66" s="82"/>
      <c r="AI66" s="83"/>
      <c r="AJ66" s="80"/>
      <c r="AK66" s="81"/>
      <c r="AL66" s="82"/>
      <c r="AM66" s="83"/>
      <c r="AN66" s="188"/>
      <c r="AO66" s="81"/>
      <c r="AP66" s="82"/>
      <c r="AR66" s="296">
        <f t="shared" si="0"/>
        <v>0</v>
      </c>
      <c r="AS66" s="298">
        <f t="shared" si="1"/>
        <v>500</v>
      </c>
      <c r="AT66" s="42">
        <v>7775</v>
      </c>
    </row>
    <row r="67" spans="2:47" ht="15" thickBot="1" x14ac:dyDescent="0.35">
      <c r="B67" s="179">
        <v>7830</v>
      </c>
      <c r="C67" s="7" t="s">
        <v>286</v>
      </c>
      <c r="D67" s="84"/>
      <c r="E67" s="141"/>
      <c r="F67" s="86"/>
      <c r="G67" s="83"/>
      <c r="H67" s="84"/>
      <c r="I67" s="85"/>
      <c r="J67" s="86"/>
      <c r="K67" s="83"/>
      <c r="L67" s="84"/>
      <c r="M67" s="85"/>
      <c r="N67" s="86"/>
      <c r="O67" s="83"/>
      <c r="P67" s="84"/>
      <c r="Q67" s="141"/>
      <c r="R67" s="86"/>
      <c r="S67" s="83"/>
      <c r="T67" s="84"/>
      <c r="U67" s="85"/>
      <c r="V67" s="86"/>
      <c r="W67" s="83"/>
      <c r="X67" s="84"/>
      <c r="Y67" s="85"/>
      <c r="Z67" s="86"/>
      <c r="AA67" s="83"/>
      <c r="AB67" s="84"/>
      <c r="AC67" s="85"/>
      <c r="AD67" s="86"/>
      <c r="AE67" s="83"/>
      <c r="AF67" s="84"/>
      <c r="AG67" s="85"/>
      <c r="AH67" s="86"/>
      <c r="AI67" s="83"/>
      <c r="AJ67" s="84"/>
      <c r="AK67" s="85"/>
      <c r="AL67" s="86"/>
      <c r="AM67" s="83"/>
      <c r="AN67" s="189"/>
      <c r="AO67" s="85"/>
      <c r="AP67" s="86"/>
      <c r="AR67" s="296">
        <f t="shared" si="0"/>
        <v>0</v>
      </c>
      <c r="AS67" s="298">
        <f t="shared" si="1"/>
        <v>0</v>
      </c>
      <c r="AT67" s="41">
        <v>7830</v>
      </c>
      <c r="AU67" s="229" t="s">
        <v>310</v>
      </c>
    </row>
    <row r="68" spans="2:47" ht="15" thickBot="1" x14ac:dyDescent="0.35">
      <c r="B68" s="13"/>
      <c r="C68" s="41" t="s">
        <v>74</v>
      </c>
      <c r="D68" s="207">
        <f>SUM(D19:D65)</f>
        <v>21000</v>
      </c>
      <c r="E68" s="208"/>
      <c r="F68" s="96">
        <f>SUM(F19:F66)</f>
        <v>0</v>
      </c>
      <c r="G68" s="83"/>
      <c r="H68" s="207">
        <f>SUM(H19:H67)</f>
        <v>226013.22836600002</v>
      </c>
      <c r="I68" s="207"/>
      <c r="J68" s="96">
        <f>SUM(J19:J66)</f>
        <v>0</v>
      </c>
      <c r="K68" s="83"/>
      <c r="L68" s="207">
        <f t="shared" ref="L68" si="2">SUM(L19:L65)</f>
        <v>41838.0625</v>
      </c>
      <c r="M68" s="207"/>
      <c r="N68" s="96">
        <f>SUM(N19:N67)</f>
        <v>0</v>
      </c>
      <c r="O68" s="83"/>
      <c r="P68" s="207">
        <f t="shared" ref="P68" si="3">SUM(P19:P65)</f>
        <v>22044.305</v>
      </c>
      <c r="Q68" s="208"/>
      <c r="R68" s="96">
        <f>SUM(R19:R67)</f>
        <v>0</v>
      </c>
      <c r="S68" s="83"/>
      <c r="T68" s="207">
        <f t="shared" ref="T68:V68" si="4">SUM(T19:T65)</f>
        <v>41846</v>
      </c>
      <c r="U68" s="207"/>
      <c r="V68" s="96">
        <f t="shared" si="4"/>
        <v>0</v>
      </c>
      <c r="W68" s="83"/>
      <c r="X68" s="207">
        <f t="shared" ref="X68" si="5">SUM(X19:X65)</f>
        <v>0</v>
      </c>
      <c r="Y68" s="207"/>
      <c r="Z68" s="96">
        <f>SUM(Z19:Z67)</f>
        <v>0</v>
      </c>
      <c r="AA68" s="83"/>
      <c r="AB68" s="207">
        <f t="shared" ref="AB68" si="6">SUM(AB19:AB65)</f>
        <v>16603</v>
      </c>
      <c r="AC68" s="207"/>
      <c r="AD68" s="96">
        <f>SUM(AD19:AD67)</f>
        <v>0</v>
      </c>
      <c r="AE68" s="83"/>
      <c r="AF68" s="207">
        <f t="shared" ref="AF68" si="7">SUM(AF19:AF65)</f>
        <v>15705</v>
      </c>
      <c r="AG68" s="207"/>
      <c r="AH68" s="96">
        <f>SUM(AH19:AH66)</f>
        <v>0</v>
      </c>
      <c r="AI68" s="83"/>
      <c r="AJ68" s="207">
        <f t="shared" ref="AJ68:AL68" si="8">SUM(AJ19:AJ65)</f>
        <v>0</v>
      </c>
      <c r="AK68" s="207"/>
      <c r="AL68" s="96">
        <f t="shared" si="8"/>
        <v>0</v>
      </c>
      <c r="AM68" s="83"/>
      <c r="AN68" s="207">
        <f>SUM(AN19:AN65)</f>
        <v>0</v>
      </c>
      <c r="AO68" s="207"/>
      <c r="AP68" s="96"/>
      <c r="AR68" s="92">
        <f t="shared" si="0"/>
        <v>0</v>
      </c>
      <c r="AS68" s="180">
        <f>SUM(AS19:AS67)</f>
        <v>385049.59586600005</v>
      </c>
      <c r="AT68" s="27"/>
      <c r="AU68" s="224">
        <f>SUM(D68+H68+L68+P68+T68+AB68+AF68+AJ68+AN68)</f>
        <v>385049.59586599999</v>
      </c>
    </row>
    <row r="69" spans="2:47" ht="15" thickBot="1" x14ac:dyDescent="0.35">
      <c r="C69" s="13" t="s">
        <v>373</v>
      </c>
      <c r="D69" s="310">
        <f>D18-D68</f>
        <v>5000</v>
      </c>
      <c r="E69" s="312"/>
      <c r="F69" s="310">
        <f t="shared" ref="F69" si="9">F18-F68</f>
        <v>0</v>
      </c>
      <c r="G69" s="313"/>
      <c r="H69" s="310">
        <f t="shared" ref="H69" si="10">H18-H68</f>
        <v>-168913.22836600002</v>
      </c>
      <c r="I69" s="310"/>
      <c r="J69" s="310">
        <f t="shared" ref="J69:AP69" si="11">J18-J68</f>
        <v>0</v>
      </c>
      <c r="K69" s="313"/>
      <c r="L69" s="310">
        <f t="shared" ref="L69" si="12">L18-L68</f>
        <v>-16838.0625</v>
      </c>
      <c r="M69" s="310"/>
      <c r="N69" s="310">
        <f t="shared" si="11"/>
        <v>0</v>
      </c>
      <c r="O69" s="313"/>
      <c r="P69" s="310">
        <f t="shared" ref="P69" si="13">P18-P68</f>
        <v>-14044.305</v>
      </c>
      <c r="Q69" s="312"/>
      <c r="R69" s="310">
        <f t="shared" si="11"/>
        <v>0</v>
      </c>
      <c r="S69" s="313"/>
      <c r="T69" s="310">
        <f t="shared" ref="T69" si="14">T18-T68</f>
        <v>-33346</v>
      </c>
      <c r="U69" s="310"/>
      <c r="V69" s="310">
        <f t="shared" si="11"/>
        <v>0</v>
      </c>
      <c r="W69" s="313"/>
      <c r="X69" s="310">
        <f t="shared" ref="X69" si="15">X18-X68</f>
        <v>0</v>
      </c>
      <c r="Y69" s="310"/>
      <c r="Z69" s="310">
        <f t="shared" ref="Z69" si="16">Z18-Z68</f>
        <v>0</v>
      </c>
      <c r="AA69" s="313"/>
      <c r="AB69" s="310">
        <f t="shared" ref="AB69" si="17">AB18-AB68</f>
        <v>-16603</v>
      </c>
      <c r="AC69" s="310"/>
      <c r="AD69" s="310">
        <f t="shared" si="11"/>
        <v>0</v>
      </c>
      <c r="AE69" s="313"/>
      <c r="AF69" s="310">
        <f t="shared" ref="AF69" si="18">AF18-AF68</f>
        <v>-15705</v>
      </c>
      <c r="AG69" s="310"/>
      <c r="AH69" s="310">
        <f t="shared" si="11"/>
        <v>0</v>
      </c>
      <c r="AI69" s="313"/>
      <c r="AJ69" s="310">
        <f t="shared" ref="AJ69" si="19">AJ18-AJ68</f>
        <v>0</v>
      </c>
      <c r="AK69" s="310"/>
      <c r="AL69" s="310">
        <f t="shared" si="11"/>
        <v>0</v>
      </c>
      <c r="AM69" s="313"/>
      <c r="AN69" s="310">
        <f t="shared" ref="AN69" si="20">AN18-AN68</f>
        <v>0</v>
      </c>
      <c r="AO69" s="310"/>
      <c r="AP69" s="310">
        <f t="shared" si="11"/>
        <v>0</v>
      </c>
      <c r="AQ69" s="313"/>
      <c r="AR69" s="321">
        <f t="shared" ref="AR69" si="21">SUM(F69+J69+N69+R69+V69+Z69+AD69+AH69+AL69+AP69)</f>
        <v>0</v>
      </c>
      <c r="AS69" s="322">
        <f>SUM(AS18-AS68)</f>
        <v>-260449.59586600005</v>
      </c>
      <c r="AT69" s="42"/>
    </row>
    <row r="71" spans="2:47" ht="14.4" customHeight="1" x14ac:dyDescent="0.3">
      <c r="D71" s="346" t="s">
        <v>326</v>
      </c>
      <c r="E71" s="346"/>
      <c r="F71" s="346"/>
      <c r="H71" s="346" t="s">
        <v>171</v>
      </c>
      <c r="I71" s="346"/>
      <c r="J71" s="346"/>
      <c r="L71" s="346"/>
      <c r="M71" s="346"/>
      <c r="N71" s="346"/>
      <c r="P71" s="346" t="s">
        <v>207</v>
      </c>
      <c r="Q71" s="346"/>
      <c r="R71" s="346"/>
      <c r="T71" s="346"/>
      <c r="U71" s="346"/>
      <c r="V71" s="346"/>
      <c r="X71" s="346"/>
      <c r="Y71" s="346"/>
      <c r="Z71" s="346"/>
      <c r="AB71" s="346" t="s">
        <v>362</v>
      </c>
      <c r="AC71" s="346"/>
      <c r="AD71" s="346"/>
      <c r="AF71" s="346" t="s">
        <v>361</v>
      </c>
      <c r="AG71" s="346"/>
      <c r="AH71" s="346"/>
      <c r="AJ71" s="346" t="s">
        <v>360</v>
      </c>
      <c r="AK71" s="346"/>
      <c r="AL71" s="346"/>
      <c r="AN71" s="346"/>
      <c r="AO71" s="346"/>
      <c r="AP71" s="346"/>
    </row>
    <row r="72" spans="2:47" x14ac:dyDescent="0.3">
      <c r="D72" s="346"/>
      <c r="E72" s="346"/>
      <c r="F72" s="346"/>
      <c r="H72" s="346"/>
      <c r="I72" s="346"/>
      <c r="J72" s="346"/>
      <c r="L72" s="346"/>
      <c r="M72" s="346"/>
      <c r="N72" s="346"/>
      <c r="P72" s="346"/>
      <c r="Q72" s="346"/>
      <c r="R72" s="346"/>
      <c r="T72" s="346"/>
      <c r="U72" s="346"/>
      <c r="V72" s="346"/>
      <c r="X72" s="346"/>
      <c r="Y72" s="346"/>
      <c r="Z72" s="346"/>
      <c r="AB72" s="346"/>
      <c r="AC72" s="346"/>
      <c r="AD72" s="346"/>
      <c r="AF72" s="346"/>
      <c r="AG72" s="346"/>
      <c r="AH72" s="346"/>
      <c r="AJ72" s="346"/>
      <c r="AK72" s="346"/>
      <c r="AL72" s="346"/>
      <c r="AN72" s="346"/>
      <c r="AO72" s="346"/>
      <c r="AP72" s="346"/>
    </row>
    <row r="73" spans="2:47" x14ac:dyDescent="0.3">
      <c r="D73" s="346"/>
      <c r="E73" s="346"/>
      <c r="F73" s="346"/>
      <c r="H73" s="346"/>
      <c r="I73" s="346"/>
      <c r="J73" s="346"/>
      <c r="L73" s="346"/>
      <c r="M73" s="346"/>
      <c r="N73" s="346"/>
      <c r="P73" s="346"/>
      <c r="Q73" s="346"/>
      <c r="R73" s="346"/>
      <c r="T73" s="346"/>
      <c r="U73" s="346"/>
      <c r="V73" s="346"/>
      <c r="X73" s="346"/>
      <c r="Y73" s="346"/>
      <c r="Z73" s="346"/>
      <c r="AB73" s="346"/>
      <c r="AC73" s="346"/>
      <c r="AD73" s="346"/>
      <c r="AF73" s="346"/>
      <c r="AG73" s="346"/>
      <c r="AH73" s="346"/>
      <c r="AJ73" s="346"/>
      <c r="AK73" s="346"/>
      <c r="AL73" s="346"/>
      <c r="AN73" s="346"/>
      <c r="AO73" s="346"/>
      <c r="AP73" s="346"/>
    </row>
    <row r="74" spans="2:47" x14ac:dyDescent="0.3">
      <c r="D74" s="346"/>
      <c r="E74" s="346"/>
      <c r="F74" s="346"/>
      <c r="H74" s="346"/>
      <c r="I74" s="346"/>
      <c r="J74" s="346"/>
      <c r="L74" s="346"/>
      <c r="M74" s="346"/>
      <c r="N74" s="346"/>
      <c r="P74" s="346"/>
      <c r="Q74" s="346"/>
      <c r="R74" s="346"/>
      <c r="T74" s="346"/>
      <c r="U74" s="346"/>
      <c r="V74" s="346"/>
      <c r="X74" s="346"/>
      <c r="Y74" s="346"/>
      <c r="Z74" s="346"/>
      <c r="AB74" s="346"/>
      <c r="AC74" s="346"/>
      <c r="AD74" s="346"/>
      <c r="AF74" s="346"/>
      <c r="AG74" s="346"/>
      <c r="AH74" s="346"/>
      <c r="AJ74" s="346"/>
      <c r="AK74" s="346"/>
      <c r="AL74" s="346"/>
      <c r="AN74" s="346"/>
      <c r="AO74" s="346"/>
      <c r="AP74" s="346"/>
    </row>
    <row r="75" spans="2:47" x14ac:dyDescent="0.3">
      <c r="D75" s="346"/>
      <c r="E75" s="346"/>
      <c r="F75" s="346"/>
      <c r="H75" s="346"/>
      <c r="I75" s="346"/>
      <c r="J75" s="346"/>
      <c r="L75" s="346"/>
      <c r="M75" s="346"/>
      <c r="N75" s="346"/>
      <c r="P75" s="346"/>
      <c r="Q75" s="346"/>
      <c r="R75" s="346"/>
      <c r="T75" s="346"/>
      <c r="U75" s="346"/>
      <c r="V75" s="346"/>
      <c r="X75" s="346"/>
      <c r="Y75" s="346"/>
      <c r="Z75" s="346"/>
      <c r="AB75" s="346"/>
      <c r="AC75" s="346"/>
      <c r="AD75" s="346"/>
      <c r="AF75" s="346"/>
      <c r="AG75" s="346"/>
      <c r="AH75" s="346"/>
      <c r="AJ75" s="346"/>
      <c r="AK75" s="346"/>
      <c r="AL75" s="346"/>
      <c r="AN75" s="346"/>
      <c r="AO75" s="346"/>
      <c r="AP75" s="346"/>
    </row>
  </sheetData>
  <sheetProtection algorithmName="SHA-512" hashValue="ybQIYF7dx0DrRMuqjnyHXtgti4XJxzUmjeRWLABgbM/8rp4dQsisj7Ylq79pd54yRkq5koP/4YOFTRJ9vvsAKA==" saltValue="2T0BqTAt32Krz0Fn4dTqtw==" spinCount="100000" sheet="1" selectLockedCells="1"/>
  <protectedRanges>
    <protectedRange sqref="D28 I28 L28:M28 P28:Q28 T28:U28 AB28:AC28 AF28:AG28 AJ28:AK28 AN28:AO28 X28:Y28" name="Område2_2_1"/>
    <protectedRange password="8B3B" sqref="D30 I30 L30:M30 P30:Q30 T30:U30 AB30:AC30 AJ30:AK30 AN30:AO30 AF30:AG30 X30:Y30" name="Område1_2_1"/>
  </protectedRanges>
  <mergeCells count="22">
    <mergeCell ref="L71:N75"/>
    <mergeCell ref="H71:J75"/>
    <mergeCell ref="D71:F75"/>
    <mergeCell ref="AJ71:AL75"/>
    <mergeCell ref="AO1:AP1"/>
    <mergeCell ref="AC1:AD1"/>
    <mergeCell ref="AG1:AH1"/>
    <mergeCell ref="AK1:AL1"/>
    <mergeCell ref="AF71:AH75"/>
    <mergeCell ref="AB71:AD75"/>
    <mergeCell ref="T71:V75"/>
    <mergeCell ref="P71:R75"/>
    <mergeCell ref="AN71:AP75"/>
    <mergeCell ref="Y1:Z1"/>
    <mergeCell ref="X71:Z75"/>
    <mergeCell ref="B2:C2"/>
    <mergeCell ref="E1:F1"/>
    <mergeCell ref="I1:J1"/>
    <mergeCell ref="Q1:R1"/>
    <mergeCell ref="U1:V1"/>
    <mergeCell ref="B1:C1"/>
    <mergeCell ref="M1:N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F99"/>
  <sheetViews>
    <sheetView zoomScale="70" zoomScaleNormal="70" zoomScalePageLayoutView="90" workbookViewId="0">
      <pane xSplit="3" topLeftCell="AE1" activePane="topRight" state="frozen"/>
      <selection pane="topRight" activeCell="AR2" sqref="AR2"/>
    </sheetView>
  </sheetViews>
  <sheetFormatPr baseColWidth="10" defaultColWidth="11.44140625" defaultRowHeight="14.4" x14ac:dyDescent="0.3"/>
  <cols>
    <col min="1" max="1" width="9.44140625" bestFit="1" customWidth="1"/>
    <col min="2" max="2" width="6.44140625" bestFit="1" customWidth="1"/>
    <col min="3" max="3" width="37.5546875" bestFit="1" customWidth="1"/>
    <col min="4" max="4" width="17.109375" bestFit="1" customWidth="1"/>
    <col min="5" max="5" width="21.88671875" customWidth="1"/>
    <col min="6" max="6" width="19.109375" bestFit="1" customWidth="1"/>
    <col min="7" max="7" width="3" customWidth="1"/>
    <col min="8" max="8" width="17.109375" bestFit="1" customWidth="1"/>
    <col min="9" max="9" width="16.44140625" bestFit="1" customWidth="1"/>
    <col min="10" max="10" width="19.109375" bestFit="1" customWidth="1"/>
    <col min="11" max="11" width="8.88671875" customWidth="1"/>
    <col min="12" max="12" width="17.109375" customWidth="1"/>
    <col min="13" max="13" width="29.44140625" style="104" customWidth="1"/>
    <col min="14" max="14" width="19.109375" customWidth="1"/>
    <col min="15" max="15" width="4.5546875" customWidth="1"/>
    <col min="16" max="16" width="17.109375" bestFit="1" customWidth="1"/>
    <col min="17" max="17" width="32.109375" customWidth="1"/>
    <col min="18" max="18" width="19.109375" bestFit="1" customWidth="1"/>
    <col min="19" max="19" width="4.5546875" customWidth="1"/>
    <col min="20" max="20" width="17.109375" bestFit="1" customWidth="1"/>
    <col min="21" max="21" width="31.88671875" style="104" customWidth="1"/>
    <col min="22" max="22" width="19.109375" bestFit="1" customWidth="1"/>
    <col min="23" max="23" width="3.5546875" customWidth="1"/>
    <col min="24" max="24" width="17.109375" bestFit="1" customWidth="1"/>
    <col min="25" max="25" width="16.44140625" bestFit="1" customWidth="1"/>
    <col min="26" max="26" width="19.109375" bestFit="1" customWidth="1"/>
    <col min="27" max="27" width="4" customWidth="1"/>
    <col min="28" max="28" width="17.109375" bestFit="1" customWidth="1"/>
    <col min="29" max="29" width="16.44140625" bestFit="1" customWidth="1"/>
    <col min="30" max="30" width="19.109375" bestFit="1" customWidth="1"/>
    <col min="31" max="31" width="4.5546875" customWidth="1"/>
    <col min="32" max="32" width="12.44140625" bestFit="1" customWidth="1"/>
    <col min="33" max="33" width="12" bestFit="1" customWidth="1"/>
    <col min="34" max="34" width="19.109375" bestFit="1" customWidth="1"/>
    <col min="35" max="35" width="4" customWidth="1"/>
    <col min="36" max="36" width="12.44140625" bestFit="1" customWidth="1"/>
    <col min="37" max="37" width="12" bestFit="1" customWidth="1"/>
    <col min="38" max="38" width="13.5546875" bestFit="1" customWidth="1"/>
    <col min="39" max="39" width="3.5546875" customWidth="1"/>
    <col min="40" max="40" width="12.44140625" bestFit="1" customWidth="1"/>
    <col min="41" max="41" width="11.5546875" bestFit="1" customWidth="1"/>
    <col min="42" max="42" width="19.109375" bestFit="1" customWidth="1"/>
    <col min="43" max="43" width="4.5546875" customWidth="1"/>
    <col min="44" max="44" width="16.5546875" bestFit="1" customWidth="1"/>
    <col min="45" max="45" width="16.5546875" customWidth="1"/>
    <col min="46" max="46" width="8.5546875" bestFit="1" customWidth="1"/>
    <col min="47" max="47" width="14.44140625" bestFit="1" customWidth="1"/>
    <col min="48" max="58" width="4.5546875" customWidth="1"/>
  </cols>
  <sheetData>
    <row r="1" spans="1:58" ht="15" thickBot="1" x14ac:dyDescent="0.35">
      <c r="A1" s="33"/>
      <c r="B1" s="341" t="s">
        <v>76</v>
      </c>
      <c r="C1" s="341"/>
      <c r="D1" s="19">
        <v>80000</v>
      </c>
      <c r="E1" s="344" t="s">
        <v>53</v>
      </c>
      <c r="F1" s="345"/>
      <c r="G1" s="1"/>
      <c r="H1" s="19">
        <v>81000</v>
      </c>
      <c r="I1" s="344" t="s">
        <v>82</v>
      </c>
      <c r="J1" s="345" t="s">
        <v>54</v>
      </c>
      <c r="K1" s="1"/>
      <c r="L1" s="19">
        <v>81100</v>
      </c>
      <c r="M1" s="344" t="s">
        <v>231</v>
      </c>
      <c r="N1" s="345" t="s">
        <v>54</v>
      </c>
      <c r="O1" s="1"/>
      <c r="P1" s="19">
        <v>82000</v>
      </c>
      <c r="Q1" s="344" t="s">
        <v>83</v>
      </c>
      <c r="R1" s="345" t="s">
        <v>54</v>
      </c>
      <c r="S1" s="1"/>
      <c r="T1" s="19">
        <v>82100</v>
      </c>
      <c r="U1" s="344" t="s">
        <v>67</v>
      </c>
      <c r="V1" s="345"/>
      <c r="W1" s="1"/>
      <c r="X1" s="19">
        <v>82200</v>
      </c>
      <c r="Y1" s="344" t="s">
        <v>363</v>
      </c>
      <c r="Z1" s="345"/>
      <c r="AA1" s="1"/>
      <c r="AB1" s="19"/>
      <c r="AC1" s="344"/>
      <c r="AD1" s="345"/>
      <c r="AE1" s="1"/>
      <c r="AF1" s="19"/>
      <c r="AG1" s="344"/>
      <c r="AH1" s="345"/>
      <c r="AI1" s="1"/>
      <c r="AJ1" s="19"/>
      <c r="AK1" s="344"/>
      <c r="AL1" s="345"/>
      <c r="AN1" s="19"/>
      <c r="AO1" s="344"/>
      <c r="AP1" s="345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thickBot="1" x14ac:dyDescent="0.35">
      <c r="A2" s="32"/>
      <c r="B2" s="341" t="s">
        <v>75</v>
      </c>
      <c r="C2" s="341"/>
      <c r="D2" s="14"/>
      <c r="E2" s="15"/>
      <c r="F2" s="16"/>
      <c r="G2" s="2"/>
      <c r="H2" s="14"/>
      <c r="I2" s="15"/>
      <c r="J2" s="16"/>
      <c r="K2" s="2"/>
      <c r="L2" s="14"/>
      <c r="M2" s="138"/>
      <c r="N2" s="16"/>
      <c r="O2" s="2"/>
      <c r="P2" s="14"/>
      <c r="Q2" s="15"/>
      <c r="R2" s="16"/>
      <c r="S2" s="2"/>
      <c r="T2" s="14"/>
      <c r="U2" s="138"/>
      <c r="V2" s="16"/>
      <c r="W2" s="2"/>
      <c r="X2" s="14"/>
      <c r="Y2" s="15"/>
      <c r="Z2" s="16"/>
      <c r="AA2" s="2"/>
      <c r="AB2" s="14"/>
      <c r="AC2" s="15"/>
      <c r="AD2" s="16"/>
      <c r="AE2" s="2"/>
      <c r="AF2" s="14"/>
      <c r="AG2" s="15"/>
      <c r="AH2" s="16"/>
      <c r="AI2" s="2"/>
      <c r="AJ2" s="14"/>
      <c r="AK2" s="15"/>
      <c r="AL2" s="16"/>
      <c r="AN2" s="14"/>
      <c r="AO2" s="15"/>
      <c r="AP2" s="16"/>
      <c r="AR2" s="254" t="s">
        <v>52</v>
      </c>
      <c r="AS2" s="254" t="s">
        <v>52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" thickBot="1" x14ac:dyDescent="0.35">
      <c r="B3" s="3" t="s">
        <v>0</v>
      </c>
      <c r="C3" s="18" t="s">
        <v>47</v>
      </c>
      <c r="D3" s="29" t="s">
        <v>344</v>
      </c>
      <c r="E3" s="30" t="s">
        <v>70</v>
      </c>
      <c r="F3" s="31" t="s">
        <v>343</v>
      </c>
      <c r="G3" s="4"/>
      <c r="H3" s="29" t="s">
        <v>344</v>
      </c>
      <c r="I3" s="30" t="s">
        <v>70</v>
      </c>
      <c r="J3" s="31" t="s">
        <v>343</v>
      </c>
      <c r="K3" s="4"/>
      <c r="L3" s="29" t="s">
        <v>344</v>
      </c>
      <c r="M3" s="139" t="s">
        <v>70</v>
      </c>
      <c r="N3" s="31" t="s">
        <v>343</v>
      </c>
      <c r="O3" s="4"/>
      <c r="P3" s="29" t="s">
        <v>344</v>
      </c>
      <c r="Q3" s="30" t="s">
        <v>70</v>
      </c>
      <c r="R3" s="31" t="s">
        <v>343</v>
      </c>
      <c r="S3" s="4"/>
      <c r="T3" s="29" t="s">
        <v>344</v>
      </c>
      <c r="U3" s="139" t="s">
        <v>70</v>
      </c>
      <c r="V3" s="31" t="s">
        <v>343</v>
      </c>
      <c r="W3" s="4"/>
      <c r="X3" s="29" t="s">
        <v>344</v>
      </c>
      <c r="Y3" s="30" t="s">
        <v>70</v>
      </c>
      <c r="Z3" s="31" t="s">
        <v>343</v>
      </c>
      <c r="AA3" s="4"/>
      <c r="AB3" s="29" t="s">
        <v>305</v>
      </c>
      <c r="AC3" s="30" t="s">
        <v>70</v>
      </c>
      <c r="AD3" s="31" t="s">
        <v>283</v>
      </c>
      <c r="AE3" s="4"/>
      <c r="AF3" s="29" t="s">
        <v>305</v>
      </c>
      <c r="AG3" s="30" t="s">
        <v>70</v>
      </c>
      <c r="AH3" s="31" t="s">
        <v>283</v>
      </c>
      <c r="AI3" s="4"/>
      <c r="AJ3" s="29" t="s">
        <v>305</v>
      </c>
      <c r="AK3" s="30" t="s">
        <v>70</v>
      </c>
      <c r="AL3" s="31" t="s">
        <v>283</v>
      </c>
      <c r="AN3" s="29" t="s">
        <v>305</v>
      </c>
      <c r="AO3" s="30" t="s">
        <v>70</v>
      </c>
      <c r="AP3" s="31" t="s">
        <v>283</v>
      </c>
      <c r="AR3" s="109" t="s">
        <v>367</v>
      </c>
      <c r="AS3" s="109" t="s">
        <v>368</v>
      </c>
      <c r="AT3" s="263" t="s">
        <v>0</v>
      </c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5" thickBot="1" x14ac:dyDescent="0.35">
      <c r="A4" s="5" t="s">
        <v>45</v>
      </c>
      <c r="B4" s="6">
        <v>3100</v>
      </c>
      <c r="C4" s="17" t="s">
        <v>3</v>
      </c>
      <c r="D4" s="80"/>
      <c r="E4" s="81"/>
      <c r="F4" s="82"/>
      <c r="G4" s="83"/>
      <c r="H4" s="80"/>
      <c r="I4" s="81"/>
      <c r="J4" s="82"/>
      <c r="K4" s="83"/>
      <c r="L4" s="80"/>
      <c r="M4" s="93"/>
      <c r="N4" s="82"/>
      <c r="O4" s="83"/>
      <c r="P4" s="80"/>
      <c r="Q4" s="81"/>
      <c r="R4" s="82"/>
      <c r="S4" s="83"/>
      <c r="T4" s="80"/>
      <c r="U4" s="93"/>
      <c r="V4" s="82"/>
      <c r="W4" s="83"/>
      <c r="X4" s="80"/>
      <c r="Y4" s="81"/>
      <c r="Z4" s="82"/>
      <c r="AA4" s="83"/>
      <c r="AB4" s="80"/>
      <c r="AC4" s="81"/>
      <c r="AD4" s="82"/>
      <c r="AE4" s="83"/>
      <c r="AF4" s="80"/>
      <c r="AG4" s="81"/>
      <c r="AH4" s="82"/>
      <c r="AI4" s="83"/>
      <c r="AJ4" s="80"/>
      <c r="AK4" s="81"/>
      <c r="AL4" s="82"/>
      <c r="AM4" s="83"/>
      <c r="AN4" s="80"/>
      <c r="AO4" s="81"/>
      <c r="AP4" s="82"/>
      <c r="AR4" s="288">
        <f>SUM(F4+J4+N4+R4+V4+Z4+AD4+AH4+AL4+AP4)</f>
        <v>0</v>
      </c>
      <c r="AS4" s="288">
        <f>SUM(D4+H4+L4+P4+T4+X4+AB4+AB4+AF4+AJ4+AN4)</f>
        <v>0</v>
      </c>
      <c r="AT4" s="256">
        <v>3100</v>
      </c>
    </row>
    <row r="5" spans="1:58" x14ac:dyDescent="0.3">
      <c r="B5" s="6">
        <v>3120</v>
      </c>
      <c r="C5" s="7" t="s">
        <v>4</v>
      </c>
      <c r="D5" s="80"/>
      <c r="E5" s="81"/>
      <c r="F5" s="82"/>
      <c r="G5" s="83"/>
      <c r="H5" s="80"/>
      <c r="I5" s="81"/>
      <c r="J5" s="82"/>
      <c r="K5" s="83"/>
      <c r="L5" s="80"/>
      <c r="M5" s="93"/>
      <c r="N5" s="82"/>
      <c r="O5" s="83"/>
      <c r="P5" s="80"/>
      <c r="Q5" s="81"/>
      <c r="R5" s="82"/>
      <c r="S5" s="83"/>
      <c r="T5" s="80"/>
      <c r="U5" s="93"/>
      <c r="V5" s="82"/>
      <c r="W5" s="83"/>
      <c r="X5" s="80"/>
      <c r="Y5" s="81"/>
      <c r="Z5" s="82"/>
      <c r="AA5" s="83"/>
      <c r="AB5" s="80"/>
      <c r="AC5" s="81"/>
      <c r="AD5" s="82"/>
      <c r="AE5" s="83"/>
      <c r="AF5" s="80"/>
      <c r="AG5" s="81"/>
      <c r="AH5" s="82"/>
      <c r="AI5" s="83"/>
      <c r="AJ5" s="80"/>
      <c r="AK5" s="81"/>
      <c r="AL5" s="82"/>
      <c r="AM5" s="83"/>
      <c r="AN5" s="80"/>
      <c r="AO5" s="81"/>
      <c r="AP5" s="82"/>
      <c r="AR5" s="288">
        <f t="shared" ref="AR5:AR59" si="0">SUM(F5+J5+N5+R5+V5+Z5+AD5+AH5+AL5+AP5)</f>
        <v>0</v>
      </c>
      <c r="AS5" s="288">
        <f t="shared" ref="AS5:AS59" si="1">SUM(D5+H5+L5+P5+T5+X5+AB5+AB5+AF5+AJ5+AN5)</f>
        <v>0</v>
      </c>
      <c r="AT5" s="256">
        <v>3120</v>
      </c>
    </row>
    <row r="6" spans="1:58" hidden="1" x14ac:dyDescent="0.3">
      <c r="B6" s="6">
        <v>3400</v>
      </c>
      <c r="C6" s="7" t="s">
        <v>5</v>
      </c>
      <c r="D6" s="80"/>
      <c r="E6" s="81"/>
      <c r="F6" s="82"/>
      <c r="G6" s="83"/>
      <c r="H6" s="80"/>
      <c r="I6" s="81"/>
      <c r="J6" s="82"/>
      <c r="K6" s="83"/>
      <c r="L6" s="80"/>
      <c r="M6" s="93"/>
      <c r="N6" s="82"/>
      <c r="O6" s="83"/>
      <c r="P6" s="80"/>
      <c r="Q6" s="81"/>
      <c r="R6" s="82"/>
      <c r="S6" s="83"/>
      <c r="T6" s="80"/>
      <c r="U6" s="93"/>
      <c r="V6" s="82"/>
      <c r="W6" s="83"/>
      <c r="X6" s="80"/>
      <c r="Y6" s="81"/>
      <c r="Z6" s="82"/>
      <c r="AA6" s="83"/>
      <c r="AB6" s="80"/>
      <c r="AC6" s="81"/>
      <c r="AD6" s="82"/>
      <c r="AE6" s="83"/>
      <c r="AF6" s="80"/>
      <c r="AG6" s="81"/>
      <c r="AH6" s="82"/>
      <c r="AI6" s="83"/>
      <c r="AJ6" s="80"/>
      <c r="AK6" s="81"/>
      <c r="AL6" s="82"/>
      <c r="AM6" s="83"/>
      <c r="AN6" s="80"/>
      <c r="AO6" s="81"/>
      <c r="AP6" s="82"/>
      <c r="AR6" s="288">
        <f t="shared" si="0"/>
        <v>0</v>
      </c>
      <c r="AS6" s="288">
        <f t="shared" si="1"/>
        <v>0</v>
      </c>
      <c r="AT6" s="256">
        <v>3400</v>
      </c>
    </row>
    <row r="7" spans="1:58" hidden="1" x14ac:dyDescent="0.3">
      <c r="B7" s="6">
        <v>3410</v>
      </c>
      <c r="C7" s="7" t="s">
        <v>6</v>
      </c>
      <c r="D7" s="80"/>
      <c r="E7" s="81"/>
      <c r="F7" s="82"/>
      <c r="G7" s="83"/>
      <c r="H7" s="80"/>
      <c r="I7" s="81"/>
      <c r="J7" s="82"/>
      <c r="K7" s="83"/>
      <c r="L7" s="80"/>
      <c r="M7" s="93"/>
      <c r="N7" s="82"/>
      <c r="O7" s="83"/>
      <c r="P7" s="80"/>
      <c r="Q7" s="81"/>
      <c r="R7" s="82"/>
      <c r="S7" s="83"/>
      <c r="T7" s="80"/>
      <c r="U7" s="93"/>
      <c r="V7" s="82"/>
      <c r="W7" s="83"/>
      <c r="X7" s="80"/>
      <c r="Y7" s="81"/>
      <c r="Z7" s="82"/>
      <c r="AA7" s="83"/>
      <c r="AB7" s="80"/>
      <c r="AC7" s="81"/>
      <c r="AD7" s="82"/>
      <c r="AE7" s="83"/>
      <c r="AF7" s="80"/>
      <c r="AG7" s="81"/>
      <c r="AH7" s="82"/>
      <c r="AI7" s="83"/>
      <c r="AJ7" s="80"/>
      <c r="AK7" s="81"/>
      <c r="AL7" s="82"/>
      <c r="AM7" s="83"/>
      <c r="AN7" s="80"/>
      <c r="AO7" s="81"/>
      <c r="AP7" s="82"/>
      <c r="AR7" s="288">
        <f t="shared" si="0"/>
        <v>0</v>
      </c>
      <c r="AS7" s="288">
        <f t="shared" si="1"/>
        <v>0</v>
      </c>
      <c r="AT7" s="256">
        <v>3410</v>
      </c>
    </row>
    <row r="8" spans="1:58" hidden="1" x14ac:dyDescent="0.3">
      <c r="B8" s="6">
        <v>3900</v>
      </c>
      <c r="C8" s="7" t="s">
        <v>7</v>
      </c>
      <c r="D8" s="80"/>
      <c r="E8" s="81"/>
      <c r="F8" s="82"/>
      <c r="G8" s="83"/>
      <c r="H8" s="80"/>
      <c r="I8" s="81"/>
      <c r="J8" s="82"/>
      <c r="K8" s="83"/>
      <c r="L8" s="80"/>
      <c r="M8" s="93"/>
      <c r="N8" s="82"/>
      <c r="O8" s="83"/>
      <c r="P8" s="80"/>
      <c r="Q8" s="81"/>
      <c r="R8" s="82"/>
      <c r="S8" s="83"/>
      <c r="T8" s="80"/>
      <c r="U8" s="93"/>
      <c r="V8" s="82"/>
      <c r="W8" s="83"/>
      <c r="X8" s="80"/>
      <c r="Y8" s="81"/>
      <c r="Z8" s="82"/>
      <c r="AA8" s="83"/>
      <c r="AB8" s="80"/>
      <c r="AC8" s="81"/>
      <c r="AD8" s="82"/>
      <c r="AE8" s="83"/>
      <c r="AF8" s="80"/>
      <c r="AG8" s="81"/>
      <c r="AH8" s="82"/>
      <c r="AI8" s="83"/>
      <c r="AJ8" s="80"/>
      <c r="AK8" s="81"/>
      <c r="AL8" s="82"/>
      <c r="AM8" s="83"/>
      <c r="AN8" s="80"/>
      <c r="AO8" s="81"/>
      <c r="AP8" s="82"/>
      <c r="AR8" s="288">
        <f t="shared" si="0"/>
        <v>0</v>
      </c>
      <c r="AS8" s="288">
        <f t="shared" si="1"/>
        <v>0</v>
      </c>
      <c r="AT8" s="256">
        <v>3900</v>
      </c>
    </row>
    <row r="9" spans="1:58" ht="15" thickBot="1" x14ac:dyDescent="0.35">
      <c r="B9" s="6">
        <v>3910</v>
      </c>
      <c r="C9" s="7" t="s">
        <v>8</v>
      </c>
      <c r="D9" s="80"/>
      <c r="E9" s="81"/>
      <c r="F9" s="82"/>
      <c r="G9" s="83"/>
      <c r="H9" s="80">
        <f>SUM(500*36)</f>
        <v>18000</v>
      </c>
      <c r="I9" s="81" t="s">
        <v>328</v>
      </c>
      <c r="J9" s="82"/>
      <c r="K9" s="83"/>
      <c r="L9" s="80">
        <v>15000</v>
      </c>
      <c r="M9" s="93"/>
      <c r="N9" s="82"/>
      <c r="O9" s="83"/>
      <c r="P9" s="80">
        <f>SUM(1000*10)</f>
        <v>10000</v>
      </c>
      <c r="Q9" s="93" t="s">
        <v>364</v>
      </c>
      <c r="R9" s="82"/>
      <c r="S9" s="83"/>
      <c r="T9" s="80">
        <v>5000</v>
      </c>
      <c r="U9" s="93" t="s">
        <v>333</v>
      </c>
      <c r="V9" s="82"/>
      <c r="W9" s="83"/>
      <c r="X9" s="80"/>
      <c r="Y9" s="81"/>
      <c r="Z9" s="82"/>
      <c r="AA9" s="83"/>
      <c r="AB9" s="80"/>
      <c r="AC9" s="81"/>
      <c r="AD9" s="82"/>
      <c r="AE9" s="83"/>
      <c r="AF9" s="80"/>
      <c r="AG9" s="81"/>
      <c r="AH9" s="82"/>
      <c r="AI9" s="83"/>
      <c r="AJ9" s="80"/>
      <c r="AK9" s="81"/>
      <c r="AL9" s="82"/>
      <c r="AM9" s="83"/>
      <c r="AN9" s="80"/>
      <c r="AO9" s="81"/>
      <c r="AP9" s="82"/>
      <c r="AR9" s="288">
        <f t="shared" si="0"/>
        <v>0</v>
      </c>
      <c r="AS9" s="288">
        <f t="shared" si="1"/>
        <v>48000</v>
      </c>
      <c r="AT9" s="256">
        <v>3910</v>
      </c>
    </row>
    <row r="10" spans="1:58" ht="15" hidden="1" thickBot="1" x14ac:dyDescent="0.35">
      <c r="B10" s="8">
        <v>3950</v>
      </c>
      <c r="C10" s="9" t="s">
        <v>9</v>
      </c>
      <c r="D10" s="84"/>
      <c r="E10" s="85"/>
      <c r="F10" s="86"/>
      <c r="G10" s="83"/>
      <c r="H10" s="84"/>
      <c r="I10" s="85"/>
      <c r="J10" s="86"/>
      <c r="K10" s="83"/>
      <c r="L10" s="84"/>
      <c r="M10" s="141"/>
      <c r="N10" s="86"/>
      <c r="O10" s="83"/>
      <c r="P10" s="84"/>
      <c r="Q10" s="85"/>
      <c r="R10" s="86"/>
      <c r="S10" s="83"/>
      <c r="T10" s="84"/>
      <c r="U10" s="141"/>
      <c r="V10" s="86"/>
      <c r="W10" s="83"/>
      <c r="X10" s="84"/>
      <c r="Y10" s="85"/>
      <c r="Z10" s="86"/>
      <c r="AA10" s="83"/>
      <c r="AB10" s="84"/>
      <c r="AC10" s="85"/>
      <c r="AD10" s="86"/>
      <c r="AE10" s="83"/>
      <c r="AF10" s="84"/>
      <c r="AG10" s="85"/>
      <c r="AH10" s="86"/>
      <c r="AI10" s="83"/>
      <c r="AJ10" s="84"/>
      <c r="AK10" s="85"/>
      <c r="AL10" s="86"/>
      <c r="AM10" s="83"/>
      <c r="AN10" s="84"/>
      <c r="AO10" s="85"/>
      <c r="AP10" s="86"/>
      <c r="AR10" s="288">
        <f t="shared" si="0"/>
        <v>0</v>
      </c>
      <c r="AS10" s="288">
        <f t="shared" si="1"/>
        <v>0</v>
      </c>
      <c r="AT10" s="258">
        <v>3950</v>
      </c>
    </row>
    <row r="11" spans="1:58" ht="15" thickBot="1" x14ac:dyDescent="0.35">
      <c r="B11" s="24"/>
      <c r="C11" s="25" t="s">
        <v>73</v>
      </c>
      <c r="D11" s="87">
        <f>SUM(D4:D10)</f>
        <v>0</v>
      </c>
      <c r="E11" s="87"/>
      <c r="F11" s="87">
        <f t="shared" ref="F11" si="2">SUM(F4:F10)</f>
        <v>0</v>
      </c>
      <c r="G11" s="83"/>
      <c r="H11" s="87">
        <f>SUM(H4:H10)</f>
        <v>18000</v>
      </c>
      <c r="I11" s="87"/>
      <c r="J11" s="87">
        <f>SUM(J4:J9)</f>
        <v>0</v>
      </c>
      <c r="K11" s="83"/>
      <c r="L11" s="87">
        <f>SUM(L4:L10)</f>
        <v>15000</v>
      </c>
      <c r="M11" s="140"/>
      <c r="N11" s="87">
        <f>SUM(N4:N9)</f>
        <v>0</v>
      </c>
      <c r="O11" s="83"/>
      <c r="P11" s="87">
        <f>SUM(P4:P10)</f>
        <v>10000</v>
      </c>
      <c r="Q11" s="87"/>
      <c r="R11" s="87">
        <f>SUM(R3:R9)</f>
        <v>0</v>
      </c>
      <c r="S11" s="83"/>
      <c r="T11" s="87">
        <f>SUM(T4:T10)</f>
        <v>5000</v>
      </c>
      <c r="U11" s="140"/>
      <c r="V11" s="87">
        <f t="shared" ref="V11" si="3">SUM(V4:V10)</f>
        <v>0</v>
      </c>
      <c r="W11" s="83"/>
      <c r="X11" s="87">
        <f>SUM(X4:X10)</f>
        <v>0</v>
      </c>
      <c r="Y11" s="87"/>
      <c r="Z11" s="87">
        <f t="shared" ref="Z11" si="4">SUM(Z4:Z10)</f>
        <v>0</v>
      </c>
      <c r="AA11" s="83"/>
      <c r="AB11" s="87"/>
      <c r="AC11" s="88"/>
      <c r="AD11" s="89"/>
      <c r="AE11" s="83"/>
      <c r="AF11" s="87"/>
      <c r="AG11" s="88"/>
      <c r="AH11" s="89"/>
      <c r="AI11" s="83"/>
      <c r="AJ11" s="87"/>
      <c r="AK11" s="88"/>
      <c r="AL11" s="89"/>
      <c r="AM11" s="83"/>
      <c r="AN11" s="87"/>
      <c r="AO11" s="88"/>
      <c r="AP11" s="89"/>
      <c r="AR11" s="95">
        <f t="shared" si="0"/>
        <v>0</v>
      </c>
      <c r="AS11" s="95">
        <f t="shared" si="1"/>
        <v>48000</v>
      </c>
      <c r="AT11" s="257"/>
    </row>
    <row r="12" spans="1:58" ht="15" thickBot="1" x14ac:dyDescent="0.35">
      <c r="A12" s="21" t="s">
        <v>46</v>
      </c>
      <c r="B12" s="181">
        <v>5000</v>
      </c>
      <c r="C12" s="190" t="s">
        <v>10</v>
      </c>
      <c r="D12" s="187"/>
      <c r="E12" s="204"/>
      <c r="F12" s="185"/>
      <c r="G12" s="83"/>
      <c r="H12" s="187">
        <f>Lønnsmatrise!P59</f>
        <v>81000</v>
      </c>
      <c r="I12" s="204"/>
      <c r="J12" s="185"/>
      <c r="K12" s="83"/>
      <c r="L12" s="187"/>
      <c r="M12" s="184"/>
      <c r="N12" s="185"/>
      <c r="O12" s="83"/>
      <c r="P12" s="187">
        <f>Lønnsmatrise!R59</f>
        <v>35000</v>
      </c>
      <c r="Q12" s="204"/>
      <c r="R12" s="185"/>
      <c r="S12" s="83"/>
      <c r="T12" s="187"/>
      <c r="U12" s="184"/>
      <c r="V12" s="185"/>
      <c r="W12" s="83"/>
      <c r="X12" s="187"/>
      <c r="Y12" s="204"/>
      <c r="Z12" s="185"/>
      <c r="AA12" s="83"/>
      <c r="AB12" s="187"/>
      <c r="AC12" s="204"/>
      <c r="AD12" s="185"/>
      <c r="AE12" s="83"/>
      <c r="AF12" s="187"/>
      <c r="AG12" s="204"/>
      <c r="AH12" s="185"/>
      <c r="AI12" s="83"/>
      <c r="AJ12" s="187"/>
      <c r="AK12" s="204"/>
      <c r="AL12" s="185"/>
      <c r="AM12" s="83"/>
      <c r="AN12" s="187"/>
      <c r="AO12" s="204"/>
      <c r="AP12" s="185"/>
      <c r="AR12" s="288">
        <f t="shared" si="0"/>
        <v>0</v>
      </c>
      <c r="AS12" s="288">
        <f t="shared" si="1"/>
        <v>116000</v>
      </c>
      <c r="AT12" s="50">
        <v>5000</v>
      </c>
    </row>
    <row r="13" spans="1:58" hidden="1" x14ac:dyDescent="0.3">
      <c r="B13" s="6">
        <v>5001</v>
      </c>
      <c r="C13" s="7" t="s">
        <v>11</v>
      </c>
      <c r="D13" s="90"/>
      <c r="E13" s="81"/>
      <c r="F13" s="82"/>
      <c r="G13" s="83"/>
      <c r="H13" s="90">
        <f>Lønnsmatrise!P60</f>
        <v>0</v>
      </c>
      <c r="I13" s="81"/>
      <c r="J13" s="82"/>
      <c r="K13" s="83"/>
      <c r="L13" s="90"/>
      <c r="M13" s="93"/>
      <c r="N13" s="82"/>
      <c r="O13" s="83"/>
      <c r="P13" s="90">
        <f>Lønnsmatrise!R60</f>
        <v>0</v>
      </c>
      <c r="Q13" s="81"/>
      <c r="R13" s="82"/>
      <c r="S13" s="83"/>
      <c r="T13" s="90"/>
      <c r="U13" s="93"/>
      <c r="V13" s="82"/>
      <c r="W13" s="83"/>
      <c r="X13" s="90"/>
      <c r="Y13" s="81"/>
      <c r="Z13" s="82"/>
      <c r="AA13" s="83"/>
      <c r="AB13" s="90"/>
      <c r="AC13" s="81"/>
      <c r="AD13" s="82"/>
      <c r="AE13" s="83"/>
      <c r="AF13" s="90"/>
      <c r="AG13" s="81"/>
      <c r="AH13" s="82"/>
      <c r="AI13" s="83"/>
      <c r="AJ13" s="90"/>
      <c r="AK13" s="81"/>
      <c r="AL13" s="82"/>
      <c r="AM13" s="83"/>
      <c r="AN13" s="90"/>
      <c r="AO13" s="81"/>
      <c r="AP13" s="82"/>
      <c r="AR13" s="288">
        <f t="shared" si="0"/>
        <v>0</v>
      </c>
      <c r="AS13" s="288">
        <f t="shared" si="1"/>
        <v>0</v>
      </c>
      <c r="AT13" s="256">
        <v>5001</v>
      </c>
    </row>
    <row r="14" spans="1:58" hidden="1" x14ac:dyDescent="0.3">
      <c r="B14" s="6">
        <v>5004</v>
      </c>
      <c r="C14" s="7" t="s">
        <v>12</v>
      </c>
      <c r="D14" s="90"/>
      <c r="E14" s="81"/>
      <c r="F14" s="82"/>
      <c r="G14" s="83"/>
      <c r="H14" s="90">
        <f>Lønnsmatrise!P61</f>
        <v>0</v>
      </c>
      <c r="I14" s="81"/>
      <c r="J14" s="82"/>
      <c r="K14" s="83"/>
      <c r="L14" s="90"/>
      <c r="M14" s="93"/>
      <c r="N14" s="82"/>
      <c r="O14" s="83"/>
      <c r="P14" s="90">
        <f>Lønnsmatrise!R61</f>
        <v>0</v>
      </c>
      <c r="Q14" s="81"/>
      <c r="R14" s="82"/>
      <c r="S14" s="83"/>
      <c r="T14" s="90"/>
      <c r="U14" s="93"/>
      <c r="V14" s="82"/>
      <c r="W14" s="83"/>
      <c r="X14" s="90"/>
      <c r="Y14" s="81"/>
      <c r="Z14" s="82"/>
      <c r="AA14" s="83"/>
      <c r="AB14" s="90"/>
      <c r="AC14" s="81"/>
      <c r="AD14" s="82"/>
      <c r="AE14" s="83"/>
      <c r="AF14" s="90"/>
      <c r="AG14" s="81"/>
      <c r="AH14" s="82"/>
      <c r="AI14" s="83"/>
      <c r="AJ14" s="90"/>
      <c r="AK14" s="81"/>
      <c r="AL14" s="82"/>
      <c r="AM14" s="83"/>
      <c r="AN14" s="90"/>
      <c r="AO14" s="81"/>
      <c r="AP14" s="82"/>
      <c r="AR14" s="288">
        <f t="shared" si="0"/>
        <v>0</v>
      </c>
      <c r="AS14" s="288">
        <f t="shared" si="1"/>
        <v>0</v>
      </c>
      <c r="AT14" s="256">
        <v>5004</v>
      </c>
    </row>
    <row r="15" spans="1:58" x14ac:dyDescent="0.3">
      <c r="B15" s="6">
        <v>5001</v>
      </c>
      <c r="C15" s="191" t="s">
        <v>11</v>
      </c>
      <c r="D15" s="90"/>
      <c r="E15" s="81"/>
      <c r="F15" s="82"/>
      <c r="G15" s="83"/>
      <c r="H15" s="90"/>
      <c r="I15" s="81"/>
      <c r="J15" s="82"/>
      <c r="K15" s="83"/>
      <c r="L15" s="90"/>
      <c r="M15" s="93"/>
      <c r="N15" s="82"/>
      <c r="O15" s="83"/>
      <c r="P15" s="90"/>
      <c r="Q15" s="81"/>
      <c r="R15" s="82"/>
      <c r="S15" s="83"/>
      <c r="T15" s="90"/>
      <c r="U15" s="93"/>
      <c r="V15" s="82"/>
      <c r="W15" s="83"/>
      <c r="X15" s="90"/>
      <c r="Y15" s="81"/>
      <c r="Z15" s="82"/>
      <c r="AA15" s="83"/>
      <c r="AB15" s="90"/>
      <c r="AC15" s="81"/>
      <c r="AD15" s="82"/>
      <c r="AE15" s="83"/>
      <c r="AF15" s="90"/>
      <c r="AG15" s="81"/>
      <c r="AH15" s="82"/>
      <c r="AI15" s="83"/>
      <c r="AJ15" s="90"/>
      <c r="AK15" s="81"/>
      <c r="AL15" s="82"/>
      <c r="AM15" s="83"/>
      <c r="AN15" s="90"/>
      <c r="AO15" s="81"/>
      <c r="AP15" s="82"/>
      <c r="AR15" s="289">
        <f t="shared" si="0"/>
        <v>0</v>
      </c>
      <c r="AS15" s="288">
        <f t="shared" si="1"/>
        <v>0</v>
      </c>
      <c r="AT15" s="256">
        <v>5001</v>
      </c>
    </row>
    <row r="16" spans="1:58" x14ac:dyDescent="0.3">
      <c r="B16" s="6">
        <v>5004</v>
      </c>
      <c r="C16" s="191" t="s">
        <v>12</v>
      </c>
      <c r="D16" s="90"/>
      <c r="E16" s="81"/>
      <c r="F16" s="82"/>
      <c r="G16" s="83"/>
      <c r="H16" s="90"/>
      <c r="I16" s="81"/>
      <c r="J16" s="82"/>
      <c r="K16" s="83"/>
      <c r="L16" s="90"/>
      <c r="M16" s="93"/>
      <c r="N16" s="82"/>
      <c r="O16" s="83"/>
      <c r="P16" s="90"/>
      <c r="Q16" s="81"/>
      <c r="R16" s="82"/>
      <c r="S16" s="83"/>
      <c r="T16" s="90"/>
      <c r="U16" s="93"/>
      <c r="V16" s="82"/>
      <c r="W16" s="83"/>
      <c r="X16" s="90"/>
      <c r="Y16" s="81"/>
      <c r="Z16" s="82"/>
      <c r="AA16" s="83"/>
      <c r="AB16" s="90"/>
      <c r="AC16" s="81"/>
      <c r="AD16" s="82"/>
      <c r="AE16" s="83"/>
      <c r="AF16" s="90"/>
      <c r="AG16" s="81"/>
      <c r="AH16" s="82"/>
      <c r="AI16" s="83"/>
      <c r="AJ16" s="90"/>
      <c r="AK16" s="81"/>
      <c r="AL16" s="82"/>
      <c r="AM16" s="83"/>
      <c r="AN16" s="90"/>
      <c r="AO16" s="81"/>
      <c r="AP16" s="82"/>
      <c r="AR16" s="289">
        <f t="shared" si="0"/>
        <v>0</v>
      </c>
      <c r="AS16" s="288">
        <f t="shared" si="1"/>
        <v>0</v>
      </c>
      <c r="AT16" s="256">
        <v>5004</v>
      </c>
    </row>
    <row r="17" spans="1:46" x14ac:dyDescent="0.3">
      <c r="A17" s="10"/>
      <c r="B17" s="6">
        <v>5180</v>
      </c>
      <c r="C17" s="7" t="s">
        <v>13</v>
      </c>
      <c r="D17" s="90"/>
      <c r="E17" s="81"/>
      <c r="F17" s="82"/>
      <c r="G17" s="83"/>
      <c r="H17" s="90">
        <f>Lønnsmatrise!P62</f>
        <v>9720</v>
      </c>
      <c r="I17" s="81"/>
      <c r="J17" s="82"/>
      <c r="K17" s="83"/>
      <c r="L17" s="90"/>
      <c r="M17" s="93"/>
      <c r="N17" s="82"/>
      <c r="O17" s="83"/>
      <c r="P17" s="90">
        <f>Lønnsmatrise!R62</f>
        <v>4200</v>
      </c>
      <c r="Q17" s="81"/>
      <c r="R17" s="82"/>
      <c r="S17" s="83"/>
      <c r="T17" s="90">
        <f>SUM(T12*0.12)</f>
        <v>0</v>
      </c>
      <c r="U17" s="93"/>
      <c r="V17" s="82"/>
      <c r="W17" s="83"/>
      <c r="X17" s="90">
        <f>SUM(X12*0.12)</f>
        <v>0</v>
      </c>
      <c r="Y17" s="81"/>
      <c r="Z17" s="82"/>
      <c r="AA17" s="83"/>
      <c r="AB17" s="90">
        <f>SUM(AB12*0.12)</f>
        <v>0</v>
      </c>
      <c r="AC17" s="81"/>
      <c r="AD17" s="82"/>
      <c r="AE17" s="83"/>
      <c r="AF17" s="90">
        <f>SUM(AF12*0.12)</f>
        <v>0</v>
      </c>
      <c r="AG17" s="81"/>
      <c r="AH17" s="82"/>
      <c r="AI17" s="83"/>
      <c r="AJ17" s="90">
        <f>SUM(AJ12*0.12)</f>
        <v>0</v>
      </c>
      <c r="AK17" s="81"/>
      <c r="AL17" s="82"/>
      <c r="AM17" s="83"/>
      <c r="AN17" s="90">
        <f>SUM(AN12*0.12)</f>
        <v>0</v>
      </c>
      <c r="AO17" s="81"/>
      <c r="AP17" s="82"/>
      <c r="AR17" s="288">
        <f t="shared" si="0"/>
        <v>0</v>
      </c>
      <c r="AS17" s="288">
        <f t="shared" si="1"/>
        <v>13920</v>
      </c>
      <c r="AT17" s="256">
        <v>5180</v>
      </c>
    </row>
    <row r="18" spans="1:46" x14ac:dyDescent="0.3">
      <c r="A18" s="10"/>
      <c r="B18" s="6">
        <v>5182</v>
      </c>
      <c r="C18" s="7" t="s">
        <v>14</v>
      </c>
      <c r="D18" s="90"/>
      <c r="E18" s="81"/>
      <c r="F18" s="82"/>
      <c r="G18" s="83"/>
      <c r="H18" s="90">
        <f>Lønnsmatrise!P63</f>
        <v>1370.5199999999998</v>
      </c>
      <c r="I18" s="81"/>
      <c r="J18" s="82"/>
      <c r="K18" s="83"/>
      <c r="L18" s="90">
        <f>SUM(L37*14.1%)</f>
        <v>1128</v>
      </c>
      <c r="M18" s="93"/>
      <c r="N18" s="82"/>
      <c r="O18" s="83"/>
      <c r="P18" s="90">
        <f>Lønnsmatrise!R63</f>
        <v>592.19999999999993</v>
      </c>
      <c r="Q18" s="81"/>
      <c r="R18" s="82"/>
      <c r="S18" s="83"/>
      <c r="T18" s="90">
        <f>SUM(T17*0.141)</f>
        <v>0</v>
      </c>
      <c r="U18" s="93"/>
      <c r="V18" s="82"/>
      <c r="W18" s="83"/>
      <c r="X18" s="90">
        <f>SUM(X17*0.141)</f>
        <v>0</v>
      </c>
      <c r="Y18" s="81"/>
      <c r="Z18" s="82"/>
      <c r="AA18" s="83"/>
      <c r="AB18" s="90">
        <f>SUM(AB17*0.141)</f>
        <v>0</v>
      </c>
      <c r="AC18" s="81"/>
      <c r="AD18" s="82"/>
      <c r="AE18" s="83"/>
      <c r="AF18" s="90">
        <f>SUM(AF17*0.141)</f>
        <v>0</v>
      </c>
      <c r="AG18" s="81"/>
      <c r="AH18" s="82"/>
      <c r="AI18" s="83"/>
      <c r="AJ18" s="90">
        <f>SUM(AJ17*0.141)</f>
        <v>0</v>
      </c>
      <c r="AK18" s="81"/>
      <c r="AL18" s="82"/>
      <c r="AM18" s="83"/>
      <c r="AN18" s="90">
        <f>SUM(AN17*0.141)</f>
        <v>0</v>
      </c>
      <c r="AO18" s="81"/>
      <c r="AP18" s="82"/>
      <c r="AR18" s="288">
        <f t="shared" si="0"/>
        <v>0</v>
      </c>
      <c r="AS18" s="288">
        <f t="shared" si="1"/>
        <v>3090.7199999999993</v>
      </c>
      <c r="AT18" s="256">
        <v>5182</v>
      </c>
    </row>
    <row r="19" spans="1:46" hidden="1" x14ac:dyDescent="0.3">
      <c r="A19" s="10"/>
      <c r="B19" s="6">
        <v>5211</v>
      </c>
      <c r="C19" s="7" t="s">
        <v>15</v>
      </c>
      <c r="D19" s="80"/>
      <c r="E19" s="81"/>
      <c r="F19" s="82"/>
      <c r="G19" s="83"/>
      <c r="H19" s="90"/>
      <c r="I19" s="81"/>
      <c r="J19" s="82"/>
      <c r="K19" s="83"/>
      <c r="L19" s="80"/>
      <c r="M19" s="93"/>
      <c r="N19" s="82"/>
      <c r="O19" s="83"/>
      <c r="P19" s="80"/>
      <c r="Q19" s="81"/>
      <c r="R19" s="82"/>
      <c r="S19" s="83"/>
      <c r="T19" s="80"/>
      <c r="U19" s="93"/>
      <c r="V19" s="82"/>
      <c r="W19" s="83"/>
      <c r="X19" s="80"/>
      <c r="Y19" s="81"/>
      <c r="Z19" s="82"/>
      <c r="AA19" s="83"/>
      <c r="AB19" s="80"/>
      <c r="AC19" s="81"/>
      <c r="AD19" s="82"/>
      <c r="AE19" s="83"/>
      <c r="AF19" s="80"/>
      <c r="AG19" s="81"/>
      <c r="AH19" s="82"/>
      <c r="AI19" s="83"/>
      <c r="AJ19" s="80"/>
      <c r="AK19" s="81"/>
      <c r="AL19" s="82"/>
      <c r="AM19" s="83"/>
      <c r="AN19" s="80"/>
      <c r="AO19" s="81"/>
      <c r="AP19" s="82"/>
      <c r="AR19" s="288">
        <f t="shared" si="0"/>
        <v>0</v>
      </c>
      <c r="AS19" s="288">
        <f t="shared" si="1"/>
        <v>0</v>
      </c>
      <c r="AT19" s="256">
        <v>5211</v>
      </c>
    </row>
    <row r="20" spans="1:46" hidden="1" x14ac:dyDescent="0.3">
      <c r="A20" s="10"/>
      <c r="B20" s="6">
        <v>5230</v>
      </c>
      <c r="C20" s="7" t="s">
        <v>16</v>
      </c>
      <c r="D20" s="80"/>
      <c r="E20" s="81"/>
      <c r="F20" s="82"/>
      <c r="G20" s="83"/>
      <c r="H20" s="80"/>
      <c r="I20" s="81"/>
      <c r="J20" s="82"/>
      <c r="K20" s="83"/>
      <c r="L20" s="80"/>
      <c r="M20" s="93"/>
      <c r="N20" s="82"/>
      <c r="O20" s="83"/>
      <c r="P20" s="80"/>
      <c r="Q20" s="81"/>
      <c r="R20" s="82"/>
      <c r="S20" s="83"/>
      <c r="T20" s="80"/>
      <c r="U20" s="93"/>
      <c r="V20" s="82"/>
      <c r="W20" s="83"/>
      <c r="X20" s="80"/>
      <c r="Y20" s="81"/>
      <c r="Z20" s="82"/>
      <c r="AA20" s="83"/>
      <c r="AB20" s="80"/>
      <c r="AC20" s="81"/>
      <c r="AD20" s="82"/>
      <c r="AE20" s="83"/>
      <c r="AF20" s="80"/>
      <c r="AG20" s="81"/>
      <c r="AH20" s="82"/>
      <c r="AI20" s="83"/>
      <c r="AJ20" s="80"/>
      <c r="AK20" s="81"/>
      <c r="AL20" s="82"/>
      <c r="AM20" s="83"/>
      <c r="AN20" s="80"/>
      <c r="AO20" s="81"/>
      <c r="AP20" s="82"/>
      <c r="AR20" s="288">
        <f t="shared" si="0"/>
        <v>0</v>
      </c>
      <c r="AS20" s="288">
        <f t="shared" si="1"/>
        <v>0</v>
      </c>
      <c r="AT20" s="256">
        <v>5230</v>
      </c>
    </row>
    <row r="21" spans="1:46" x14ac:dyDescent="0.3">
      <c r="A21" s="10"/>
      <c r="B21" s="6">
        <v>5400</v>
      </c>
      <c r="C21" s="7" t="s">
        <v>48</v>
      </c>
      <c r="D21" s="90"/>
      <c r="E21" s="81"/>
      <c r="F21" s="82"/>
      <c r="G21" s="83"/>
      <c r="H21" s="90">
        <f>Lønnsmatrise!P65+H37*14.1%</f>
        <v>12125.999999999998</v>
      </c>
      <c r="I21" s="81"/>
      <c r="J21" s="82"/>
      <c r="K21" s="83"/>
      <c r="L21" s="90"/>
      <c r="M21" s="93"/>
      <c r="N21" s="82"/>
      <c r="O21" s="83"/>
      <c r="P21" s="90">
        <f>Lønnsmatrise!R65</f>
        <v>4934.9999999999991</v>
      </c>
      <c r="Q21" s="81"/>
      <c r="R21" s="82"/>
      <c r="S21" s="83"/>
      <c r="T21" s="90">
        <f>SUM(T37*14.1%)</f>
        <v>282</v>
      </c>
      <c r="U21" s="93"/>
      <c r="V21" s="82"/>
      <c r="W21" s="83"/>
      <c r="X21" s="90">
        <f>SUM((X12+X13+X14+X19+X20)*0.141)</f>
        <v>0</v>
      </c>
      <c r="Y21" s="81"/>
      <c r="Z21" s="82"/>
      <c r="AA21" s="83"/>
      <c r="AB21" s="90">
        <f>SUM((AB12+AB13+AB14+AB19+AB20)*0.141)</f>
        <v>0</v>
      </c>
      <c r="AC21" s="81"/>
      <c r="AD21" s="82"/>
      <c r="AE21" s="83"/>
      <c r="AF21" s="90">
        <f>SUM((AF12+AF13+AF14+AF19+AF20)*0.141)</f>
        <v>0</v>
      </c>
      <c r="AG21" s="81"/>
      <c r="AH21" s="82"/>
      <c r="AI21" s="83"/>
      <c r="AJ21" s="90">
        <f>SUM((AJ12+AJ13+AJ14+AJ19+AJ20)*0.141)</f>
        <v>0</v>
      </c>
      <c r="AK21" s="81"/>
      <c r="AL21" s="82"/>
      <c r="AM21" s="83"/>
      <c r="AN21" s="90">
        <f>SUM((AN12+AN13+AN14+AN19+AN20)*0.141)</f>
        <v>0</v>
      </c>
      <c r="AO21" s="81"/>
      <c r="AP21" s="82"/>
      <c r="AR21" s="288">
        <f t="shared" si="0"/>
        <v>0</v>
      </c>
      <c r="AS21" s="288">
        <f t="shared" si="1"/>
        <v>17342.999999999996</v>
      </c>
      <c r="AT21" s="256">
        <v>5400</v>
      </c>
    </row>
    <row r="22" spans="1:46" hidden="1" x14ac:dyDescent="0.3">
      <c r="B22" s="6">
        <v>5990</v>
      </c>
      <c r="C22" s="7" t="s">
        <v>17</v>
      </c>
      <c r="D22" s="80"/>
      <c r="E22" s="81"/>
      <c r="F22" s="82"/>
      <c r="G22" s="83"/>
      <c r="H22" s="90">
        <f>Lønnsmatrise!P66</f>
        <v>0</v>
      </c>
      <c r="I22" s="81"/>
      <c r="J22" s="82"/>
      <c r="K22" s="83"/>
      <c r="L22" s="80"/>
      <c r="M22" s="93"/>
      <c r="N22" s="82"/>
      <c r="O22" s="83"/>
      <c r="P22" s="80">
        <f>Lønnsmatrise!R66</f>
        <v>0</v>
      </c>
      <c r="Q22" s="81"/>
      <c r="R22" s="82"/>
      <c r="S22" s="83"/>
      <c r="T22" s="80"/>
      <c r="U22" s="93"/>
      <c r="V22" s="82"/>
      <c r="W22" s="83"/>
      <c r="X22" s="80"/>
      <c r="Y22" s="81"/>
      <c r="Z22" s="82"/>
      <c r="AA22" s="83"/>
      <c r="AB22" s="80"/>
      <c r="AC22" s="81"/>
      <c r="AD22" s="82"/>
      <c r="AE22" s="83"/>
      <c r="AF22" s="80"/>
      <c r="AG22" s="81"/>
      <c r="AH22" s="82"/>
      <c r="AI22" s="83"/>
      <c r="AJ22" s="80"/>
      <c r="AK22" s="81"/>
      <c r="AL22" s="82"/>
      <c r="AM22" s="83"/>
      <c r="AN22" s="80"/>
      <c r="AO22" s="81"/>
      <c r="AP22" s="82"/>
      <c r="AR22" s="288">
        <f t="shared" si="0"/>
        <v>0</v>
      </c>
      <c r="AS22" s="288">
        <f t="shared" si="1"/>
        <v>0</v>
      </c>
      <c r="AT22" s="256">
        <v>5990</v>
      </c>
    </row>
    <row r="23" spans="1:46" hidden="1" x14ac:dyDescent="0.3">
      <c r="B23" s="6">
        <v>6110</v>
      </c>
      <c r="C23" s="7" t="s">
        <v>50</v>
      </c>
      <c r="D23" s="80"/>
      <c r="E23" s="81"/>
      <c r="F23" s="82"/>
      <c r="G23" s="83"/>
      <c r="H23" s="80"/>
      <c r="I23" s="81"/>
      <c r="J23" s="82"/>
      <c r="K23" s="83"/>
      <c r="L23" s="80"/>
      <c r="M23" s="93"/>
      <c r="N23" s="82"/>
      <c r="O23" s="83"/>
      <c r="P23" s="80"/>
      <c r="Q23" s="81"/>
      <c r="R23" s="82"/>
      <c r="S23" s="83"/>
      <c r="T23" s="80"/>
      <c r="U23" s="93"/>
      <c r="V23" s="82"/>
      <c r="W23" s="83"/>
      <c r="X23" s="80"/>
      <c r="Y23" s="81"/>
      <c r="Z23" s="82"/>
      <c r="AA23" s="83"/>
      <c r="AB23" s="80"/>
      <c r="AC23" s="81"/>
      <c r="AD23" s="82"/>
      <c r="AE23" s="83"/>
      <c r="AF23" s="80"/>
      <c r="AG23" s="81"/>
      <c r="AH23" s="82"/>
      <c r="AI23" s="83"/>
      <c r="AJ23" s="80"/>
      <c r="AK23" s="81"/>
      <c r="AL23" s="82"/>
      <c r="AM23" s="83"/>
      <c r="AN23" s="80"/>
      <c r="AO23" s="81"/>
      <c r="AP23" s="82"/>
      <c r="AR23" s="288">
        <f t="shared" si="0"/>
        <v>0</v>
      </c>
      <c r="AS23" s="288">
        <f t="shared" si="1"/>
        <v>0</v>
      </c>
      <c r="AT23" s="256">
        <v>6110</v>
      </c>
    </row>
    <row r="24" spans="1:46" ht="28.8" x14ac:dyDescent="0.3">
      <c r="B24" s="6">
        <v>6300</v>
      </c>
      <c r="C24" s="7" t="s">
        <v>18</v>
      </c>
      <c r="D24" s="80"/>
      <c r="E24" s="81"/>
      <c r="F24" s="82"/>
      <c r="G24" s="83"/>
      <c r="H24" s="80">
        <v>29000</v>
      </c>
      <c r="I24" s="81"/>
      <c r="J24" s="82"/>
      <c r="K24" s="83"/>
      <c r="L24" s="80">
        <v>2000</v>
      </c>
      <c r="M24" s="93" t="s">
        <v>282</v>
      </c>
      <c r="N24" s="82"/>
      <c r="O24" s="83"/>
      <c r="P24" s="80"/>
      <c r="Q24" s="81"/>
      <c r="R24" s="82"/>
      <c r="S24" s="83"/>
      <c r="T24" s="80"/>
      <c r="U24" s="93"/>
      <c r="V24" s="82"/>
      <c r="W24" s="83"/>
      <c r="X24" s="80"/>
      <c r="Y24" s="81"/>
      <c r="Z24" s="82"/>
      <c r="AA24" s="83"/>
      <c r="AB24" s="80"/>
      <c r="AC24" s="81"/>
      <c r="AD24" s="82"/>
      <c r="AE24" s="83"/>
      <c r="AF24" s="80"/>
      <c r="AG24" s="81"/>
      <c r="AH24" s="82"/>
      <c r="AI24" s="83"/>
      <c r="AJ24" s="80"/>
      <c r="AK24" s="81"/>
      <c r="AL24" s="82"/>
      <c r="AM24" s="83"/>
      <c r="AN24" s="80"/>
      <c r="AO24" s="81"/>
      <c r="AP24" s="82"/>
      <c r="AR24" s="288">
        <f t="shared" si="0"/>
        <v>0</v>
      </c>
      <c r="AS24" s="288">
        <f t="shared" si="1"/>
        <v>31000</v>
      </c>
      <c r="AT24" s="256">
        <v>6300</v>
      </c>
    </row>
    <row r="25" spans="1:46" x14ac:dyDescent="0.3">
      <c r="B25" s="6">
        <v>6440</v>
      </c>
      <c r="C25" s="7" t="s">
        <v>19</v>
      </c>
      <c r="D25" s="80"/>
      <c r="E25" s="81"/>
      <c r="F25" s="82"/>
      <c r="G25" s="83"/>
      <c r="H25" s="80"/>
      <c r="I25" s="81"/>
      <c r="J25" s="82"/>
      <c r="K25" s="83"/>
      <c r="L25" s="80"/>
      <c r="M25" s="93"/>
      <c r="N25" s="82"/>
      <c r="O25" s="83"/>
      <c r="P25" s="80"/>
      <c r="Q25" s="81"/>
      <c r="R25" s="82"/>
      <c r="S25" s="83"/>
      <c r="T25" s="80"/>
      <c r="U25" s="93"/>
      <c r="V25" s="82"/>
      <c r="W25" s="83"/>
      <c r="X25" s="80"/>
      <c r="Y25" s="93"/>
      <c r="Z25" s="82"/>
      <c r="AA25" s="83"/>
      <c r="AB25" s="80"/>
      <c r="AC25" s="81"/>
      <c r="AD25" s="82"/>
      <c r="AE25" s="83"/>
      <c r="AF25" s="80"/>
      <c r="AG25" s="81"/>
      <c r="AH25" s="82"/>
      <c r="AI25" s="83"/>
      <c r="AJ25" s="80"/>
      <c r="AK25" s="81"/>
      <c r="AL25" s="82"/>
      <c r="AM25" s="83"/>
      <c r="AN25" s="80"/>
      <c r="AO25" s="81"/>
      <c r="AP25" s="82"/>
      <c r="AR25" s="288">
        <f t="shared" si="0"/>
        <v>0</v>
      </c>
      <c r="AS25" s="288">
        <f t="shared" si="1"/>
        <v>0</v>
      </c>
      <c r="AT25" s="256">
        <v>6440</v>
      </c>
    </row>
    <row r="26" spans="1:46" hidden="1" x14ac:dyDescent="0.3">
      <c r="B26" s="6">
        <v>6550</v>
      </c>
      <c r="C26" s="7" t="s">
        <v>20</v>
      </c>
      <c r="D26" s="80"/>
      <c r="E26" s="81"/>
      <c r="F26" s="82"/>
      <c r="G26" s="83"/>
      <c r="H26" s="80"/>
      <c r="I26" s="81"/>
      <c r="J26" s="82"/>
      <c r="K26" s="83"/>
      <c r="L26" s="80"/>
      <c r="M26" s="93"/>
      <c r="N26" s="82"/>
      <c r="O26" s="83"/>
      <c r="P26" s="80"/>
      <c r="Q26" s="81"/>
      <c r="R26" s="82"/>
      <c r="S26" s="83"/>
      <c r="T26" s="80"/>
      <c r="U26" s="93"/>
      <c r="V26" s="82"/>
      <c r="W26" s="83"/>
      <c r="X26" s="80"/>
      <c r="Y26" s="81"/>
      <c r="Z26" s="82"/>
      <c r="AA26" s="83"/>
      <c r="AB26" s="80"/>
      <c r="AC26" s="81"/>
      <c r="AD26" s="82"/>
      <c r="AE26" s="83"/>
      <c r="AF26" s="80"/>
      <c r="AG26" s="81"/>
      <c r="AH26" s="82"/>
      <c r="AI26" s="83"/>
      <c r="AJ26" s="80"/>
      <c r="AK26" s="81"/>
      <c r="AL26" s="82"/>
      <c r="AM26" s="83"/>
      <c r="AN26" s="80"/>
      <c r="AO26" s="81"/>
      <c r="AP26" s="82"/>
      <c r="AR26" s="288">
        <f t="shared" si="0"/>
        <v>0</v>
      </c>
      <c r="AS26" s="288">
        <f t="shared" si="1"/>
        <v>0</v>
      </c>
      <c r="AT26" s="256">
        <v>6550</v>
      </c>
    </row>
    <row r="27" spans="1:46" hidden="1" x14ac:dyDescent="0.3">
      <c r="B27" s="6">
        <v>6560</v>
      </c>
      <c r="C27" s="7" t="s">
        <v>21</v>
      </c>
      <c r="D27" s="80"/>
      <c r="E27" s="81"/>
      <c r="F27" s="82"/>
      <c r="G27" s="83"/>
      <c r="H27" s="80"/>
      <c r="I27" s="81"/>
      <c r="J27" s="82"/>
      <c r="K27" s="83"/>
      <c r="L27" s="80"/>
      <c r="M27" s="93"/>
      <c r="N27" s="82"/>
      <c r="O27" s="83"/>
      <c r="P27" s="80"/>
      <c r="Q27" s="81"/>
      <c r="R27" s="82"/>
      <c r="S27" s="83"/>
      <c r="T27" s="80"/>
      <c r="U27" s="93"/>
      <c r="V27" s="82"/>
      <c r="W27" s="83"/>
      <c r="X27" s="80"/>
      <c r="Y27" s="81"/>
      <c r="Z27" s="82"/>
      <c r="AA27" s="83"/>
      <c r="AB27" s="80"/>
      <c r="AC27" s="81"/>
      <c r="AD27" s="82"/>
      <c r="AE27" s="83"/>
      <c r="AF27" s="80"/>
      <c r="AG27" s="81"/>
      <c r="AH27" s="82"/>
      <c r="AI27" s="83"/>
      <c r="AJ27" s="80"/>
      <c r="AK27" s="81"/>
      <c r="AL27" s="82"/>
      <c r="AM27" s="83"/>
      <c r="AN27" s="80"/>
      <c r="AO27" s="81"/>
      <c r="AP27" s="82"/>
      <c r="AR27" s="288">
        <f t="shared" si="0"/>
        <v>0</v>
      </c>
      <c r="AS27" s="288">
        <f t="shared" si="1"/>
        <v>0</v>
      </c>
      <c r="AT27" s="256">
        <v>6560</v>
      </c>
    </row>
    <row r="28" spans="1:46" x14ac:dyDescent="0.3">
      <c r="B28" s="6">
        <v>6580</v>
      </c>
      <c r="C28" s="7" t="s">
        <v>2</v>
      </c>
      <c r="D28" s="80"/>
      <c r="E28" s="81"/>
      <c r="F28" s="82"/>
      <c r="G28" s="83"/>
      <c r="H28" s="80">
        <v>30000</v>
      </c>
      <c r="I28" s="81" t="s">
        <v>329</v>
      </c>
      <c r="J28" s="82"/>
      <c r="K28" s="83"/>
      <c r="L28" s="80"/>
      <c r="M28" s="93"/>
      <c r="N28" s="82"/>
      <c r="O28" s="83"/>
      <c r="P28" s="80"/>
      <c r="Q28" s="81"/>
      <c r="R28" s="82"/>
      <c r="S28" s="83"/>
      <c r="T28" s="80"/>
      <c r="U28" s="93"/>
      <c r="V28" s="82"/>
      <c r="W28" s="83"/>
      <c r="X28" s="80"/>
      <c r="Y28" s="81"/>
      <c r="Z28" s="82"/>
      <c r="AA28" s="83"/>
      <c r="AB28" s="80"/>
      <c r="AC28" s="81"/>
      <c r="AD28" s="82"/>
      <c r="AE28" s="83"/>
      <c r="AF28" s="80"/>
      <c r="AG28" s="81"/>
      <c r="AH28" s="82"/>
      <c r="AI28" s="83"/>
      <c r="AJ28" s="80"/>
      <c r="AK28" s="81"/>
      <c r="AL28" s="82"/>
      <c r="AM28" s="83"/>
      <c r="AN28" s="80"/>
      <c r="AO28" s="81"/>
      <c r="AP28" s="82"/>
      <c r="AR28" s="288">
        <f t="shared" si="0"/>
        <v>0</v>
      </c>
      <c r="AS28" s="288">
        <f t="shared" si="1"/>
        <v>30000</v>
      </c>
      <c r="AT28" s="256">
        <v>6580</v>
      </c>
    </row>
    <row r="29" spans="1:46" hidden="1" x14ac:dyDescent="0.3">
      <c r="B29" s="6">
        <v>6800</v>
      </c>
      <c r="C29" s="7" t="s">
        <v>22</v>
      </c>
      <c r="D29" s="80"/>
      <c r="E29" s="81"/>
      <c r="F29" s="82"/>
      <c r="G29" s="83"/>
      <c r="H29" s="80"/>
      <c r="I29" s="81"/>
      <c r="J29" s="82"/>
      <c r="K29" s="83"/>
      <c r="L29" s="80"/>
      <c r="M29" s="93"/>
      <c r="N29" s="82"/>
      <c r="O29" s="83"/>
      <c r="P29" s="80"/>
      <c r="Q29" s="81"/>
      <c r="R29" s="82"/>
      <c r="S29" s="83"/>
      <c r="T29" s="80"/>
      <c r="U29" s="93"/>
      <c r="V29" s="82"/>
      <c r="W29" s="83"/>
      <c r="X29" s="80"/>
      <c r="Y29" s="81"/>
      <c r="Z29" s="82"/>
      <c r="AA29" s="83"/>
      <c r="AB29" s="80"/>
      <c r="AC29" s="81"/>
      <c r="AD29" s="82"/>
      <c r="AE29" s="83"/>
      <c r="AF29" s="80"/>
      <c r="AG29" s="81"/>
      <c r="AH29" s="82"/>
      <c r="AI29" s="83"/>
      <c r="AJ29" s="80"/>
      <c r="AK29" s="81"/>
      <c r="AL29" s="82"/>
      <c r="AM29" s="83"/>
      <c r="AN29" s="80"/>
      <c r="AO29" s="81"/>
      <c r="AP29" s="82"/>
      <c r="AR29" s="288">
        <f t="shared" si="0"/>
        <v>0</v>
      </c>
      <c r="AS29" s="288">
        <f t="shared" si="1"/>
        <v>0</v>
      </c>
      <c r="AT29" s="256">
        <v>6800</v>
      </c>
    </row>
    <row r="30" spans="1:46" hidden="1" x14ac:dyDescent="0.3">
      <c r="B30" s="6">
        <v>6820</v>
      </c>
      <c r="C30" s="7" t="s">
        <v>23</v>
      </c>
      <c r="D30" s="80"/>
      <c r="E30" s="81"/>
      <c r="F30" s="82"/>
      <c r="G30" s="83"/>
      <c r="H30" s="80"/>
      <c r="I30" s="81"/>
      <c r="J30" s="82"/>
      <c r="K30" s="83"/>
      <c r="L30" s="80"/>
      <c r="M30" s="93"/>
      <c r="N30" s="82"/>
      <c r="O30" s="83"/>
      <c r="P30" s="80"/>
      <c r="Q30" s="81"/>
      <c r="R30" s="82"/>
      <c r="S30" s="83"/>
      <c r="T30" s="80"/>
      <c r="U30" s="93"/>
      <c r="V30" s="82"/>
      <c r="W30" s="83"/>
      <c r="X30" s="80"/>
      <c r="Y30" s="81"/>
      <c r="Z30" s="82"/>
      <c r="AA30" s="83"/>
      <c r="AB30" s="80"/>
      <c r="AC30" s="81"/>
      <c r="AD30" s="82"/>
      <c r="AE30" s="83"/>
      <c r="AF30" s="80"/>
      <c r="AG30" s="81"/>
      <c r="AH30" s="82"/>
      <c r="AI30" s="83"/>
      <c r="AJ30" s="80"/>
      <c r="AK30" s="81"/>
      <c r="AL30" s="82"/>
      <c r="AM30" s="83"/>
      <c r="AN30" s="80"/>
      <c r="AO30" s="81"/>
      <c r="AP30" s="82"/>
      <c r="AR30" s="288">
        <f t="shared" si="0"/>
        <v>0</v>
      </c>
      <c r="AS30" s="288">
        <f t="shared" si="1"/>
        <v>0</v>
      </c>
      <c r="AT30" s="256">
        <v>6820</v>
      </c>
    </row>
    <row r="31" spans="1:46" hidden="1" x14ac:dyDescent="0.3">
      <c r="B31" s="6">
        <v>6840</v>
      </c>
      <c r="C31" s="7" t="s">
        <v>24</v>
      </c>
      <c r="D31" s="80"/>
      <c r="E31" s="81"/>
      <c r="F31" s="82"/>
      <c r="G31" s="83"/>
      <c r="H31" s="80"/>
      <c r="I31" s="81"/>
      <c r="J31" s="82"/>
      <c r="K31" s="83"/>
      <c r="L31" s="80"/>
      <c r="M31" s="93"/>
      <c r="N31" s="82"/>
      <c r="O31" s="83"/>
      <c r="P31" s="80"/>
      <c r="Q31" s="81"/>
      <c r="R31" s="82"/>
      <c r="S31" s="83"/>
      <c r="T31" s="80"/>
      <c r="U31" s="93"/>
      <c r="V31" s="82"/>
      <c r="W31" s="83"/>
      <c r="X31" s="80"/>
      <c r="Y31" s="81"/>
      <c r="Z31" s="82"/>
      <c r="AA31" s="83"/>
      <c r="AB31" s="80"/>
      <c r="AC31" s="81"/>
      <c r="AD31" s="82"/>
      <c r="AE31" s="83"/>
      <c r="AF31" s="80"/>
      <c r="AG31" s="81"/>
      <c r="AH31" s="82"/>
      <c r="AI31" s="83"/>
      <c r="AJ31" s="80"/>
      <c r="AK31" s="81"/>
      <c r="AL31" s="82"/>
      <c r="AM31" s="83"/>
      <c r="AN31" s="80"/>
      <c r="AO31" s="81"/>
      <c r="AP31" s="82"/>
      <c r="AR31" s="288">
        <f t="shared" si="0"/>
        <v>0</v>
      </c>
      <c r="AS31" s="288">
        <f t="shared" si="1"/>
        <v>0</v>
      </c>
      <c r="AT31" s="256">
        <v>6840</v>
      </c>
    </row>
    <row r="32" spans="1:46" x14ac:dyDescent="0.3">
      <c r="B32" s="6">
        <v>6860</v>
      </c>
      <c r="C32" s="7" t="s">
        <v>25</v>
      </c>
      <c r="D32" s="80"/>
      <c r="E32" s="93"/>
      <c r="F32" s="82"/>
      <c r="G32" s="83"/>
      <c r="H32" s="80">
        <v>2000</v>
      </c>
      <c r="I32" s="81"/>
      <c r="J32" s="82"/>
      <c r="K32" s="83"/>
      <c r="L32" s="80"/>
      <c r="M32" s="93"/>
      <c r="N32" s="82"/>
      <c r="O32" s="83"/>
      <c r="P32" s="80"/>
      <c r="Q32" s="81"/>
      <c r="R32" s="82"/>
      <c r="S32" s="83"/>
      <c r="T32" s="80"/>
      <c r="U32" s="93"/>
      <c r="V32" s="82"/>
      <c r="W32" s="83"/>
      <c r="X32" s="80"/>
      <c r="Y32" s="81"/>
      <c r="Z32" s="82"/>
      <c r="AA32" s="83"/>
      <c r="AB32" s="80"/>
      <c r="AC32" s="81"/>
      <c r="AD32" s="82"/>
      <c r="AE32" s="83"/>
      <c r="AF32" s="80"/>
      <c r="AG32" s="81"/>
      <c r="AH32" s="82"/>
      <c r="AI32" s="83"/>
      <c r="AJ32" s="80"/>
      <c r="AK32" s="81"/>
      <c r="AL32" s="82"/>
      <c r="AM32" s="83"/>
      <c r="AN32" s="80"/>
      <c r="AO32" s="81"/>
      <c r="AP32" s="82"/>
      <c r="AR32" s="288">
        <f t="shared" si="0"/>
        <v>0</v>
      </c>
      <c r="AS32" s="288">
        <f t="shared" si="1"/>
        <v>2000</v>
      </c>
      <c r="AT32" s="256">
        <v>6860</v>
      </c>
    </row>
    <row r="33" spans="2:46" hidden="1" x14ac:dyDescent="0.3">
      <c r="B33" s="6">
        <v>6910</v>
      </c>
      <c r="C33" s="7" t="s">
        <v>26</v>
      </c>
      <c r="D33" s="80"/>
      <c r="E33" s="81"/>
      <c r="F33" s="82"/>
      <c r="G33" s="83"/>
      <c r="H33" s="80"/>
      <c r="I33" s="81"/>
      <c r="J33" s="82"/>
      <c r="K33" s="83"/>
      <c r="L33" s="80"/>
      <c r="M33" s="93"/>
      <c r="N33" s="82"/>
      <c r="O33" s="83"/>
      <c r="P33" s="80"/>
      <c r="Q33" s="81"/>
      <c r="R33" s="82"/>
      <c r="S33" s="83"/>
      <c r="T33" s="80"/>
      <c r="U33" s="93"/>
      <c r="V33" s="82"/>
      <c r="W33" s="83"/>
      <c r="X33" s="80"/>
      <c r="Y33" s="81"/>
      <c r="Z33" s="82"/>
      <c r="AA33" s="83"/>
      <c r="AB33" s="80"/>
      <c r="AC33" s="81"/>
      <c r="AD33" s="82"/>
      <c r="AE33" s="83"/>
      <c r="AF33" s="80"/>
      <c r="AG33" s="81"/>
      <c r="AH33" s="82"/>
      <c r="AI33" s="83"/>
      <c r="AJ33" s="80"/>
      <c r="AK33" s="81"/>
      <c r="AL33" s="82"/>
      <c r="AM33" s="83"/>
      <c r="AN33" s="80"/>
      <c r="AO33" s="81"/>
      <c r="AP33" s="82"/>
      <c r="AR33" s="288">
        <f t="shared" si="0"/>
        <v>0</v>
      </c>
      <c r="AS33" s="288">
        <f t="shared" si="1"/>
        <v>0</v>
      </c>
      <c r="AT33" s="256">
        <v>6910</v>
      </c>
    </row>
    <row r="34" spans="2:46" hidden="1" x14ac:dyDescent="0.3">
      <c r="B34" s="6">
        <v>6940</v>
      </c>
      <c r="C34" s="7" t="s">
        <v>49</v>
      </c>
      <c r="D34" s="80"/>
      <c r="E34" s="81"/>
      <c r="F34" s="82"/>
      <c r="G34" s="83"/>
      <c r="H34" s="80"/>
      <c r="I34" s="81"/>
      <c r="J34" s="82"/>
      <c r="K34" s="83"/>
      <c r="L34" s="80"/>
      <c r="M34" s="93"/>
      <c r="N34" s="82"/>
      <c r="O34" s="83"/>
      <c r="P34" s="80"/>
      <c r="Q34" s="81"/>
      <c r="R34" s="82"/>
      <c r="S34" s="83"/>
      <c r="T34" s="80"/>
      <c r="U34" s="93"/>
      <c r="V34" s="82"/>
      <c r="W34" s="83"/>
      <c r="X34" s="80"/>
      <c r="Y34" s="81"/>
      <c r="Z34" s="82"/>
      <c r="AA34" s="83"/>
      <c r="AB34" s="80"/>
      <c r="AC34" s="81"/>
      <c r="AD34" s="82"/>
      <c r="AE34" s="83"/>
      <c r="AF34" s="80"/>
      <c r="AG34" s="81"/>
      <c r="AH34" s="82"/>
      <c r="AI34" s="83"/>
      <c r="AJ34" s="80"/>
      <c r="AK34" s="81"/>
      <c r="AL34" s="82"/>
      <c r="AM34" s="83"/>
      <c r="AN34" s="80"/>
      <c r="AO34" s="81"/>
      <c r="AP34" s="82"/>
      <c r="AR34" s="288">
        <f t="shared" si="0"/>
        <v>0</v>
      </c>
      <c r="AS34" s="288">
        <f t="shared" si="1"/>
        <v>0</v>
      </c>
      <c r="AT34" s="256">
        <v>6940</v>
      </c>
    </row>
    <row r="35" spans="2:46" x14ac:dyDescent="0.3">
      <c r="B35" s="6">
        <v>6940</v>
      </c>
      <c r="C35" s="191" t="s">
        <v>49</v>
      </c>
      <c r="D35" s="80"/>
      <c r="E35" s="81"/>
      <c r="F35" s="82"/>
      <c r="G35" s="83"/>
      <c r="H35" s="80"/>
      <c r="I35" s="81"/>
      <c r="J35" s="82"/>
      <c r="K35" s="83"/>
      <c r="L35" s="80"/>
      <c r="M35" s="93"/>
      <c r="N35" s="82"/>
      <c r="O35" s="83"/>
      <c r="P35" s="80"/>
      <c r="Q35" s="81"/>
      <c r="R35" s="82"/>
      <c r="S35" s="83"/>
      <c r="T35" s="80"/>
      <c r="U35" s="93"/>
      <c r="V35" s="82"/>
      <c r="W35" s="83"/>
      <c r="X35" s="80"/>
      <c r="Y35" s="81"/>
      <c r="Z35" s="82"/>
      <c r="AA35" s="83"/>
      <c r="AB35" s="80"/>
      <c r="AC35" s="81"/>
      <c r="AD35" s="82"/>
      <c r="AE35" s="83"/>
      <c r="AF35" s="80"/>
      <c r="AG35" s="81"/>
      <c r="AH35" s="82"/>
      <c r="AI35" s="83"/>
      <c r="AJ35" s="80"/>
      <c r="AK35" s="81"/>
      <c r="AL35" s="82"/>
      <c r="AM35" s="83"/>
      <c r="AN35" s="80"/>
      <c r="AO35" s="81"/>
      <c r="AP35" s="82"/>
      <c r="AR35" s="289">
        <f t="shared" si="0"/>
        <v>0</v>
      </c>
      <c r="AS35" s="288">
        <f t="shared" si="1"/>
        <v>0</v>
      </c>
      <c r="AT35" s="256">
        <v>6940</v>
      </c>
    </row>
    <row r="36" spans="2:46" x14ac:dyDescent="0.3">
      <c r="B36" s="6">
        <v>7000</v>
      </c>
      <c r="C36" s="7" t="s">
        <v>27</v>
      </c>
      <c r="D36" s="80"/>
      <c r="E36" s="81"/>
      <c r="F36" s="82"/>
      <c r="G36" s="83"/>
      <c r="H36" s="80"/>
      <c r="I36" s="81"/>
      <c r="J36" s="82"/>
      <c r="K36" s="83"/>
      <c r="L36" s="80"/>
      <c r="M36" s="93"/>
      <c r="N36" s="82"/>
      <c r="O36" s="83"/>
      <c r="P36" s="80"/>
      <c r="Q36" s="81"/>
      <c r="R36" s="82"/>
      <c r="S36" s="83"/>
      <c r="T36" s="80"/>
      <c r="U36" s="93"/>
      <c r="V36" s="82"/>
      <c r="W36" s="83"/>
      <c r="X36" s="80"/>
      <c r="Y36" s="81"/>
      <c r="Z36" s="82"/>
      <c r="AA36" s="83"/>
      <c r="AB36" s="80"/>
      <c r="AC36" s="81"/>
      <c r="AD36" s="82"/>
      <c r="AE36" s="83"/>
      <c r="AF36" s="80"/>
      <c r="AG36" s="81"/>
      <c r="AH36" s="82"/>
      <c r="AI36" s="83"/>
      <c r="AJ36" s="80"/>
      <c r="AK36" s="81"/>
      <c r="AL36" s="82"/>
      <c r="AM36" s="83"/>
      <c r="AN36" s="80"/>
      <c r="AO36" s="81"/>
      <c r="AP36" s="82"/>
      <c r="AR36" s="288">
        <f t="shared" si="0"/>
        <v>0</v>
      </c>
      <c r="AS36" s="288">
        <f t="shared" si="1"/>
        <v>0</v>
      </c>
      <c r="AT36" s="256">
        <v>7000</v>
      </c>
    </row>
    <row r="37" spans="2:46" x14ac:dyDescent="0.3">
      <c r="B37" s="6">
        <v>7100</v>
      </c>
      <c r="C37" s="7" t="s">
        <v>28</v>
      </c>
      <c r="D37" s="80"/>
      <c r="E37" s="81"/>
      <c r="F37" s="82"/>
      <c r="G37" s="83"/>
      <c r="H37" s="80">
        <v>5000</v>
      </c>
      <c r="I37" s="81"/>
      <c r="J37" s="82"/>
      <c r="K37" s="83"/>
      <c r="L37" s="80">
        <v>8000</v>
      </c>
      <c r="M37" s="93" t="s">
        <v>330</v>
      </c>
      <c r="N37" s="82"/>
      <c r="O37" s="83"/>
      <c r="P37" s="80"/>
      <c r="Q37" s="81"/>
      <c r="R37" s="82"/>
      <c r="S37" s="83"/>
      <c r="T37" s="80">
        <v>2000</v>
      </c>
      <c r="U37" s="93"/>
      <c r="V37" s="82"/>
      <c r="W37" s="83"/>
      <c r="X37" s="80"/>
      <c r="Y37" s="81"/>
      <c r="Z37" s="82"/>
      <c r="AA37" s="83"/>
      <c r="AB37" s="80"/>
      <c r="AC37" s="81"/>
      <c r="AD37" s="82"/>
      <c r="AE37" s="83"/>
      <c r="AF37" s="80"/>
      <c r="AG37" s="81"/>
      <c r="AH37" s="82"/>
      <c r="AI37" s="83"/>
      <c r="AJ37" s="80"/>
      <c r="AK37" s="81"/>
      <c r="AL37" s="82"/>
      <c r="AM37" s="83"/>
      <c r="AN37" s="80"/>
      <c r="AO37" s="81"/>
      <c r="AP37" s="82"/>
      <c r="AR37" s="288">
        <f t="shared" si="0"/>
        <v>0</v>
      </c>
      <c r="AS37" s="288">
        <f t="shared" si="1"/>
        <v>15000</v>
      </c>
      <c r="AT37" s="256">
        <v>7100</v>
      </c>
    </row>
    <row r="38" spans="2:46" hidden="1" x14ac:dyDescent="0.3">
      <c r="B38" s="6">
        <v>7101</v>
      </c>
      <c r="C38" s="7" t="s">
        <v>29</v>
      </c>
      <c r="D38" s="80"/>
      <c r="E38" s="81"/>
      <c r="F38" s="82"/>
      <c r="G38" s="83"/>
      <c r="H38" s="80"/>
      <c r="I38" s="81"/>
      <c r="J38" s="82"/>
      <c r="K38" s="83"/>
      <c r="L38" s="80"/>
      <c r="M38" s="93"/>
      <c r="N38" s="82"/>
      <c r="O38" s="83"/>
      <c r="P38" s="80"/>
      <c r="Q38" s="81"/>
      <c r="R38" s="82"/>
      <c r="S38" s="83"/>
      <c r="T38" s="80"/>
      <c r="U38" s="93"/>
      <c r="V38" s="82"/>
      <c r="W38" s="83"/>
      <c r="X38" s="80"/>
      <c r="Y38" s="81"/>
      <c r="Z38" s="82"/>
      <c r="AA38" s="83"/>
      <c r="AB38" s="80"/>
      <c r="AC38" s="81"/>
      <c r="AD38" s="82"/>
      <c r="AE38" s="83"/>
      <c r="AF38" s="80"/>
      <c r="AG38" s="81"/>
      <c r="AH38" s="82"/>
      <c r="AI38" s="83"/>
      <c r="AJ38" s="80"/>
      <c r="AK38" s="81"/>
      <c r="AL38" s="82"/>
      <c r="AM38" s="83"/>
      <c r="AN38" s="80"/>
      <c r="AO38" s="81"/>
      <c r="AP38" s="82"/>
      <c r="AR38" s="288">
        <f t="shared" si="0"/>
        <v>0</v>
      </c>
      <c r="AS38" s="288">
        <f t="shared" si="1"/>
        <v>0</v>
      </c>
      <c r="AT38" s="256">
        <v>7101</v>
      </c>
    </row>
    <row r="39" spans="2:46" x14ac:dyDescent="0.3">
      <c r="B39" s="6">
        <v>7102</v>
      </c>
      <c r="C39" s="191" t="s">
        <v>29</v>
      </c>
      <c r="D39" s="80"/>
      <c r="E39" s="81"/>
      <c r="F39" s="82"/>
      <c r="G39" s="83"/>
      <c r="H39" s="80"/>
      <c r="I39" s="81"/>
      <c r="J39" s="82"/>
      <c r="K39" s="83"/>
      <c r="L39" s="80"/>
      <c r="M39" s="93"/>
      <c r="N39" s="82"/>
      <c r="O39" s="83"/>
      <c r="P39" s="80"/>
      <c r="Q39" s="81"/>
      <c r="R39" s="82"/>
      <c r="S39" s="83"/>
      <c r="T39" s="80"/>
      <c r="U39" s="93"/>
      <c r="V39" s="82"/>
      <c r="W39" s="83"/>
      <c r="X39" s="80"/>
      <c r="Y39" s="81"/>
      <c r="Z39" s="82"/>
      <c r="AA39" s="83"/>
      <c r="AB39" s="80"/>
      <c r="AC39" s="81"/>
      <c r="AD39" s="82"/>
      <c r="AE39" s="83"/>
      <c r="AF39" s="80"/>
      <c r="AG39" s="81"/>
      <c r="AH39" s="82"/>
      <c r="AI39" s="83"/>
      <c r="AJ39" s="80"/>
      <c r="AK39" s="81"/>
      <c r="AL39" s="82"/>
      <c r="AM39" s="83"/>
      <c r="AN39" s="80"/>
      <c r="AO39" s="81"/>
      <c r="AP39" s="82"/>
      <c r="AR39" s="289">
        <f t="shared" si="0"/>
        <v>0</v>
      </c>
      <c r="AS39" s="288">
        <f t="shared" si="1"/>
        <v>0</v>
      </c>
      <c r="AT39" s="256">
        <v>7102</v>
      </c>
    </row>
    <row r="40" spans="2:46" ht="28.8" x14ac:dyDescent="0.3">
      <c r="B40" s="6">
        <v>7110</v>
      </c>
      <c r="C40" s="7" t="s">
        <v>30</v>
      </c>
      <c r="D40" s="80"/>
      <c r="E40" s="81"/>
      <c r="F40" s="82"/>
      <c r="G40" s="83"/>
      <c r="H40" s="80">
        <v>6000</v>
      </c>
      <c r="I40" s="81"/>
      <c r="J40" s="82"/>
      <c r="K40" s="83"/>
      <c r="L40" s="80">
        <v>36000</v>
      </c>
      <c r="M40" s="93" t="s">
        <v>331</v>
      </c>
      <c r="N40" s="82"/>
      <c r="O40" s="83"/>
      <c r="P40" s="80"/>
      <c r="Q40" s="81"/>
      <c r="R40" s="82"/>
      <c r="S40" s="83"/>
      <c r="T40" s="80">
        <v>9000</v>
      </c>
      <c r="U40" s="93" t="s">
        <v>334</v>
      </c>
      <c r="V40" s="82"/>
      <c r="W40" s="83"/>
      <c r="X40" s="80"/>
      <c r="Y40" s="93"/>
      <c r="Z40" s="82"/>
      <c r="AA40" s="83"/>
      <c r="AB40" s="80"/>
      <c r="AC40" s="81"/>
      <c r="AD40" s="82"/>
      <c r="AE40" s="83"/>
      <c r="AF40" s="80"/>
      <c r="AG40" s="81"/>
      <c r="AH40" s="82"/>
      <c r="AI40" s="83"/>
      <c r="AJ40" s="80"/>
      <c r="AK40" s="81"/>
      <c r="AL40" s="82"/>
      <c r="AM40" s="83"/>
      <c r="AN40" s="80"/>
      <c r="AO40" s="81"/>
      <c r="AP40" s="82"/>
      <c r="AR40" s="288">
        <f t="shared" si="0"/>
        <v>0</v>
      </c>
      <c r="AS40" s="288">
        <f t="shared" si="1"/>
        <v>51000</v>
      </c>
      <c r="AT40" s="256">
        <v>7110</v>
      </c>
    </row>
    <row r="41" spans="2:46" x14ac:dyDescent="0.3">
      <c r="B41" s="6">
        <v>7141</v>
      </c>
      <c r="C41" s="7" t="s">
        <v>31</v>
      </c>
      <c r="D41" s="80"/>
      <c r="E41" s="81"/>
      <c r="F41" s="82"/>
      <c r="G41" s="83"/>
      <c r="H41" s="80">
        <v>10000</v>
      </c>
      <c r="I41" s="81"/>
      <c r="J41" s="82"/>
      <c r="K41" s="83"/>
      <c r="L41" s="80">
        <v>23960</v>
      </c>
      <c r="M41" s="93" t="s">
        <v>332</v>
      </c>
      <c r="N41" s="82"/>
      <c r="O41" s="83"/>
      <c r="P41" s="80"/>
      <c r="Q41" s="81"/>
      <c r="R41" s="82"/>
      <c r="S41" s="83"/>
      <c r="T41" s="80">
        <f>SUM(1198*2+1000*2+1000*2)</f>
        <v>6396</v>
      </c>
      <c r="U41" s="93" t="s">
        <v>335</v>
      </c>
      <c r="V41" s="82"/>
      <c r="W41" s="83"/>
      <c r="X41" s="80"/>
      <c r="Y41" s="81"/>
      <c r="Z41" s="82"/>
      <c r="AA41" s="83"/>
      <c r="AB41" s="80"/>
      <c r="AC41" s="81"/>
      <c r="AD41" s="82"/>
      <c r="AE41" s="83"/>
      <c r="AF41" s="80"/>
      <c r="AG41" s="81"/>
      <c r="AH41" s="82"/>
      <c r="AI41" s="83"/>
      <c r="AJ41" s="80"/>
      <c r="AK41" s="81"/>
      <c r="AL41" s="82"/>
      <c r="AM41" s="83"/>
      <c r="AN41" s="80"/>
      <c r="AO41" s="81"/>
      <c r="AP41" s="82"/>
      <c r="AR41" s="288">
        <f t="shared" si="0"/>
        <v>0</v>
      </c>
      <c r="AS41" s="288">
        <f t="shared" si="1"/>
        <v>40356</v>
      </c>
      <c r="AT41" s="256">
        <v>7141</v>
      </c>
    </row>
    <row r="42" spans="2:46" x14ac:dyDescent="0.3">
      <c r="B42" s="193">
        <v>7145</v>
      </c>
      <c r="C42" s="212" t="s">
        <v>32</v>
      </c>
      <c r="D42" s="80"/>
      <c r="E42" s="81"/>
      <c r="F42" s="82"/>
      <c r="G42" s="83"/>
      <c r="H42" s="188"/>
      <c r="I42" s="81"/>
      <c r="J42" s="82"/>
      <c r="K42" s="83"/>
      <c r="L42" s="80"/>
      <c r="M42" s="93"/>
      <c r="N42" s="82"/>
      <c r="O42" s="83"/>
      <c r="P42" s="80"/>
      <c r="Q42" s="81"/>
      <c r="R42" s="82"/>
      <c r="S42" s="83"/>
      <c r="T42" s="80"/>
      <c r="U42" s="93"/>
      <c r="V42" s="82"/>
      <c r="W42" s="83"/>
      <c r="X42" s="80"/>
      <c r="Y42" s="93"/>
      <c r="Z42" s="82"/>
      <c r="AA42" s="83"/>
      <c r="AB42" s="80"/>
      <c r="AC42" s="81"/>
      <c r="AD42" s="82"/>
      <c r="AE42" s="83"/>
      <c r="AF42" s="80"/>
      <c r="AG42" s="81"/>
      <c r="AH42" s="82"/>
      <c r="AI42" s="83"/>
      <c r="AJ42" s="80"/>
      <c r="AK42" s="81"/>
      <c r="AL42" s="82"/>
      <c r="AM42" s="83"/>
      <c r="AN42" s="80"/>
      <c r="AO42" s="81"/>
      <c r="AP42" s="82"/>
      <c r="AR42" s="288">
        <f t="shared" si="0"/>
        <v>0</v>
      </c>
      <c r="AS42" s="288">
        <f t="shared" si="1"/>
        <v>0</v>
      </c>
      <c r="AT42" s="256">
        <v>7145</v>
      </c>
    </row>
    <row r="43" spans="2:46" x14ac:dyDescent="0.3">
      <c r="B43" s="6">
        <v>7162</v>
      </c>
      <c r="C43" s="7" t="s">
        <v>33</v>
      </c>
      <c r="D43" s="188"/>
      <c r="E43" s="81"/>
      <c r="F43" s="82"/>
      <c r="G43" s="83"/>
      <c r="H43" s="188">
        <v>3000</v>
      </c>
      <c r="I43" s="81"/>
      <c r="J43" s="82"/>
      <c r="K43" s="83"/>
      <c r="L43" s="188">
        <v>2500</v>
      </c>
      <c r="M43" s="93"/>
      <c r="N43" s="82"/>
      <c r="O43" s="83"/>
      <c r="P43" s="188"/>
      <c r="Q43" s="81"/>
      <c r="R43" s="82"/>
      <c r="S43" s="83"/>
      <c r="T43" s="188"/>
      <c r="U43" s="93"/>
      <c r="V43" s="82"/>
      <c r="W43" s="83"/>
      <c r="X43" s="188"/>
      <c r="Y43" s="93"/>
      <c r="Z43" s="82"/>
      <c r="AA43" s="83"/>
      <c r="AB43" s="188"/>
      <c r="AC43" s="81"/>
      <c r="AD43" s="82"/>
      <c r="AE43" s="83"/>
      <c r="AF43" s="188"/>
      <c r="AG43" s="81"/>
      <c r="AH43" s="82"/>
      <c r="AI43" s="83"/>
      <c r="AJ43" s="188"/>
      <c r="AK43" s="205"/>
      <c r="AL43" s="82"/>
      <c r="AM43" s="83"/>
      <c r="AN43" s="188"/>
      <c r="AO43" s="81"/>
      <c r="AP43" s="82"/>
      <c r="AR43" s="288">
        <f t="shared" si="0"/>
        <v>0</v>
      </c>
      <c r="AS43" s="288">
        <f t="shared" si="1"/>
        <v>5500</v>
      </c>
      <c r="AT43" s="256">
        <v>7162</v>
      </c>
    </row>
    <row r="44" spans="2:46" hidden="1" x14ac:dyDescent="0.3">
      <c r="B44" s="6">
        <v>7320</v>
      </c>
      <c r="C44" s="7" t="s">
        <v>34</v>
      </c>
      <c r="D44" s="188"/>
      <c r="E44" s="81"/>
      <c r="F44" s="82"/>
      <c r="G44" s="83"/>
      <c r="H44" s="188"/>
      <c r="I44" s="81"/>
      <c r="J44" s="82"/>
      <c r="K44" s="83"/>
      <c r="L44" s="188"/>
      <c r="M44" s="93"/>
      <c r="N44" s="82"/>
      <c r="O44" s="83"/>
      <c r="P44" s="188"/>
      <c r="Q44" s="81"/>
      <c r="R44" s="82"/>
      <c r="S44" s="83"/>
      <c r="T44" s="188"/>
      <c r="U44" s="93"/>
      <c r="V44" s="82"/>
      <c r="W44" s="83"/>
      <c r="X44" s="188"/>
      <c r="Y44" s="81"/>
      <c r="Z44" s="82"/>
      <c r="AA44" s="83"/>
      <c r="AB44" s="188"/>
      <c r="AC44" s="81"/>
      <c r="AD44" s="82"/>
      <c r="AE44" s="83"/>
      <c r="AF44" s="188"/>
      <c r="AG44" s="81"/>
      <c r="AH44" s="82"/>
      <c r="AI44" s="83"/>
      <c r="AJ44" s="188"/>
      <c r="AK44" s="205"/>
      <c r="AL44" s="82"/>
      <c r="AM44" s="83"/>
      <c r="AN44" s="188"/>
      <c r="AO44" s="81"/>
      <c r="AP44" s="82"/>
      <c r="AR44" s="288">
        <f t="shared" si="0"/>
        <v>0</v>
      </c>
      <c r="AS44" s="288">
        <f t="shared" si="1"/>
        <v>0</v>
      </c>
      <c r="AT44" s="256">
        <v>7320</v>
      </c>
    </row>
    <row r="45" spans="2:46" hidden="1" x14ac:dyDescent="0.3">
      <c r="B45" s="6">
        <v>7350</v>
      </c>
      <c r="C45" s="7" t="s">
        <v>35</v>
      </c>
      <c r="D45" s="188"/>
      <c r="E45" s="81"/>
      <c r="F45" s="82"/>
      <c r="G45" s="83"/>
      <c r="H45" s="188"/>
      <c r="I45" s="81"/>
      <c r="J45" s="82"/>
      <c r="K45" s="83"/>
      <c r="L45" s="188"/>
      <c r="M45" s="93"/>
      <c r="N45" s="82"/>
      <c r="O45" s="83"/>
      <c r="P45" s="188"/>
      <c r="Q45" s="81"/>
      <c r="R45" s="82"/>
      <c r="S45" s="83"/>
      <c r="T45" s="188"/>
      <c r="U45" s="93"/>
      <c r="V45" s="82"/>
      <c r="W45" s="83"/>
      <c r="X45" s="188"/>
      <c r="Y45" s="81"/>
      <c r="Z45" s="82"/>
      <c r="AA45" s="83"/>
      <c r="AB45" s="188"/>
      <c r="AC45" s="81"/>
      <c r="AD45" s="82"/>
      <c r="AE45" s="83"/>
      <c r="AF45" s="188"/>
      <c r="AG45" s="81"/>
      <c r="AH45" s="82"/>
      <c r="AI45" s="83"/>
      <c r="AJ45" s="188"/>
      <c r="AK45" s="205"/>
      <c r="AL45" s="82"/>
      <c r="AM45" s="83"/>
      <c r="AN45" s="188"/>
      <c r="AO45" s="81"/>
      <c r="AP45" s="82"/>
      <c r="AR45" s="288">
        <f t="shared" si="0"/>
        <v>0</v>
      </c>
      <c r="AS45" s="288">
        <f t="shared" si="1"/>
        <v>0</v>
      </c>
      <c r="AT45" s="256">
        <v>7350</v>
      </c>
    </row>
    <row r="46" spans="2:46" hidden="1" x14ac:dyDescent="0.3">
      <c r="B46" s="6">
        <v>7400</v>
      </c>
      <c r="C46" s="7" t="s">
        <v>36</v>
      </c>
      <c r="D46" s="188"/>
      <c r="E46" s="81"/>
      <c r="F46" s="82"/>
      <c r="G46" s="83"/>
      <c r="H46" s="188"/>
      <c r="I46" s="81"/>
      <c r="J46" s="82"/>
      <c r="K46" s="83"/>
      <c r="L46" s="188"/>
      <c r="M46" s="93"/>
      <c r="N46" s="82"/>
      <c r="O46" s="83"/>
      <c r="P46" s="188"/>
      <c r="Q46" s="81"/>
      <c r="R46" s="82"/>
      <c r="S46" s="83"/>
      <c r="T46" s="188"/>
      <c r="U46" s="93"/>
      <c r="V46" s="82"/>
      <c r="W46" s="83"/>
      <c r="X46" s="188"/>
      <c r="Y46" s="81"/>
      <c r="Z46" s="82"/>
      <c r="AA46" s="83"/>
      <c r="AB46" s="188"/>
      <c r="AC46" s="81"/>
      <c r="AD46" s="82"/>
      <c r="AE46" s="83"/>
      <c r="AF46" s="188"/>
      <c r="AG46" s="81"/>
      <c r="AH46" s="82"/>
      <c r="AI46" s="83"/>
      <c r="AJ46" s="188"/>
      <c r="AK46" s="205"/>
      <c r="AL46" s="82"/>
      <c r="AM46" s="83"/>
      <c r="AN46" s="188"/>
      <c r="AO46" s="81"/>
      <c r="AP46" s="82"/>
      <c r="AR46" s="288">
        <f t="shared" si="0"/>
        <v>0</v>
      </c>
      <c r="AS46" s="288">
        <f t="shared" si="1"/>
        <v>0</v>
      </c>
      <c r="AT46" s="256">
        <v>7400</v>
      </c>
    </row>
    <row r="47" spans="2:46" hidden="1" x14ac:dyDescent="0.3">
      <c r="B47" s="6">
        <v>7411</v>
      </c>
      <c r="C47" s="7" t="s">
        <v>37</v>
      </c>
      <c r="D47" s="188"/>
      <c r="E47" s="81"/>
      <c r="F47" s="82"/>
      <c r="G47" s="83"/>
      <c r="H47" s="188"/>
      <c r="I47" s="81"/>
      <c r="J47" s="82"/>
      <c r="K47" s="83"/>
      <c r="L47" s="188"/>
      <c r="M47" s="93"/>
      <c r="N47" s="82"/>
      <c r="O47" s="83"/>
      <c r="P47" s="188"/>
      <c r="Q47" s="81"/>
      <c r="R47" s="82"/>
      <c r="S47" s="83"/>
      <c r="T47" s="188"/>
      <c r="U47" s="93"/>
      <c r="V47" s="82"/>
      <c r="W47" s="83"/>
      <c r="X47" s="188"/>
      <c r="Y47" s="81"/>
      <c r="Z47" s="82"/>
      <c r="AA47" s="83"/>
      <c r="AB47" s="188"/>
      <c r="AC47" s="81"/>
      <c r="AD47" s="82"/>
      <c r="AE47" s="83"/>
      <c r="AF47" s="188"/>
      <c r="AG47" s="81"/>
      <c r="AH47" s="82"/>
      <c r="AI47" s="83"/>
      <c r="AJ47" s="188"/>
      <c r="AK47" s="205"/>
      <c r="AL47" s="82"/>
      <c r="AM47" s="83"/>
      <c r="AN47" s="188"/>
      <c r="AO47" s="81"/>
      <c r="AP47" s="82"/>
      <c r="AR47" s="288">
        <f t="shared" si="0"/>
        <v>0</v>
      </c>
      <c r="AS47" s="288">
        <f t="shared" si="1"/>
        <v>0</v>
      </c>
      <c r="AT47" s="256">
        <v>7411</v>
      </c>
    </row>
    <row r="48" spans="2:46" hidden="1" x14ac:dyDescent="0.3">
      <c r="B48" s="6">
        <v>7420</v>
      </c>
      <c r="C48" s="7" t="s">
        <v>38</v>
      </c>
      <c r="D48" s="188"/>
      <c r="E48" s="81"/>
      <c r="F48" s="82"/>
      <c r="G48" s="83"/>
      <c r="H48" s="188"/>
      <c r="I48" s="81"/>
      <c r="J48" s="82"/>
      <c r="K48" s="83"/>
      <c r="L48" s="188"/>
      <c r="M48" s="93"/>
      <c r="N48" s="82"/>
      <c r="O48" s="83"/>
      <c r="P48" s="188"/>
      <c r="Q48" s="81"/>
      <c r="R48" s="82"/>
      <c r="S48" s="83"/>
      <c r="T48" s="188"/>
      <c r="U48" s="93"/>
      <c r="V48" s="82"/>
      <c r="W48" s="83"/>
      <c r="X48" s="188"/>
      <c r="Y48" s="81"/>
      <c r="Z48" s="82"/>
      <c r="AA48" s="83"/>
      <c r="AB48" s="188"/>
      <c r="AC48" s="81"/>
      <c r="AD48" s="82"/>
      <c r="AE48" s="83"/>
      <c r="AF48" s="188"/>
      <c r="AG48" s="81"/>
      <c r="AH48" s="82"/>
      <c r="AI48" s="83"/>
      <c r="AJ48" s="188"/>
      <c r="AK48" s="205"/>
      <c r="AL48" s="82"/>
      <c r="AM48" s="83"/>
      <c r="AN48" s="188"/>
      <c r="AO48" s="81"/>
      <c r="AP48" s="82"/>
      <c r="AR48" s="288">
        <f t="shared" si="0"/>
        <v>0</v>
      </c>
      <c r="AS48" s="288">
        <f t="shared" si="1"/>
        <v>0</v>
      </c>
      <c r="AT48" s="256">
        <v>7420</v>
      </c>
    </row>
    <row r="49" spans="2:47" hidden="1" x14ac:dyDescent="0.3">
      <c r="B49" s="6">
        <v>7425</v>
      </c>
      <c r="C49" s="7" t="s">
        <v>39</v>
      </c>
      <c r="D49" s="188"/>
      <c r="E49" s="81"/>
      <c r="F49" s="82"/>
      <c r="G49" s="83"/>
      <c r="H49" s="188"/>
      <c r="I49" s="81"/>
      <c r="J49" s="82"/>
      <c r="K49" s="83"/>
      <c r="L49" s="188"/>
      <c r="M49" s="93"/>
      <c r="N49" s="82"/>
      <c r="O49" s="83"/>
      <c r="P49" s="188"/>
      <c r="Q49" s="81"/>
      <c r="R49" s="82"/>
      <c r="S49" s="83"/>
      <c r="T49" s="188"/>
      <c r="U49" s="93"/>
      <c r="V49" s="82"/>
      <c r="W49" s="83"/>
      <c r="X49" s="188"/>
      <c r="Y49" s="81"/>
      <c r="Z49" s="82"/>
      <c r="AA49" s="83"/>
      <c r="AB49" s="188"/>
      <c r="AC49" s="81"/>
      <c r="AD49" s="82"/>
      <c r="AE49" s="83"/>
      <c r="AF49" s="188"/>
      <c r="AG49" s="81"/>
      <c r="AH49" s="82"/>
      <c r="AI49" s="83"/>
      <c r="AJ49" s="188"/>
      <c r="AK49" s="205"/>
      <c r="AL49" s="82"/>
      <c r="AM49" s="83"/>
      <c r="AN49" s="188"/>
      <c r="AO49" s="81"/>
      <c r="AP49" s="82"/>
      <c r="AR49" s="288">
        <f t="shared" si="0"/>
        <v>0</v>
      </c>
      <c r="AS49" s="288">
        <f t="shared" si="1"/>
        <v>0</v>
      </c>
      <c r="AT49" s="256">
        <v>7425</v>
      </c>
    </row>
    <row r="50" spans="2:47" hidden="1" x14ac:dyDescent="0.3">
      <c r="B50" s="6">
        <v>7430</v>
      </c>
      <c r="C50" s="7" t="s">
        <v>40</v>
      </c>
      <c r="D50" s="188"/>
      <c r="E50" s="81"/>
      <c r="F50" s="82"/>
      <c r="G50" s="83"/>
      <c r="H50" s="188"/>
      <c r="I50" s="81"/>
      <c r="J50" s="82"/>
      <c r="K50" s="83"/>
      <c r="L50" s="188"/>
      <c r="M50" s="93"/>
      <c r="N50" s="82"/>
      <c r="O50" s="83"/>
      <c r="P50" s="188"/>
      <c r="Q50" s="81"/>
      <c r="R50" s="82"/>
      <c r="S50" s="83"/>
      <c r="T50" s="188"/>
      <c r="U50" s="93"/>
      <c r="V50" s="82"/>
      <c r="W50" s="83"/>
      <c r="X50" s="188"/>
      <c r="Y50" s="81"/>
      <c r="Z50" s="82"/>
      <c r="AA50" s="83"/>
      <c r="AB50" s="188"/>
      <c r="AC50" s="81"/>
      <c r="AD50" s="82"/>
      <c r="AE50" s="83"/>
      <c r="AF50" s="188"/>
      <c r="AG50" s="81"/>
      <c r="AH50" s="82"/>
      <c r="AI50" s="83"/>
      <c r="AJ50" s="188"/>
      <c r="AK50" s="205"/>
      <c r="AL50" s="82"/>
      <c r="AM50" s="83"/>
      <c r="AN50" s="188"/>
      <c r="AO50" s="81"/>
      <c r="AP50" s="82"/>
      <c r="AR50" s="288">
        <f t="shared" si="0"/>
        <v>0</v>
      </c>
      <c r="AS50" s="288">
        <f t="shared" si="1"/>
        <v>0</v>
      </c>
      <c r="AT50" s="256">
        <v>7430</v>
      </c>
    </row>
    <row r="51" spans="2:47" hidden="1" x14ac:dyDescent="0.3">
      <c r="B51" s="6">
        <v>7500</v>
      </c>
      <c r="C51" s="7" t="s">
        <v>41</v>
      </c>
      <c r="D51" s="188"/>
      <c r="E51" s="81"/>
      <c r="F51" s="82"/>
      <c r="G51" s="83"/>
      <c r="H51" s="188"/>
      <c r="I51" s="81"/>
      <c r="J51" s="82"/>
      <c r="K51" s="83"/>
      <c r="L51" s="188"/>
      <c r="M51" s="93"/>
      <c r="N51" s="82"/>
      <c r="O51" s="83"/>
      <c r="P51" s="188"/>
      <c r="Q51" s="81"/>
      <c r="R51" s="82"/>
      <c r="S51" s="83"/>
      <c r="T51" s="188"/>
      <c r="U51" s="93"/>
      <c r="V51" s="82"/>
      <c r="W51" s="83"/>
      <c r="X51" s="188"/>
      <c r="Y51" s="81"/>
      <c r="Z51" s="82"/>
      <c r="AA51" s="83"/>
      <c r="AB51" s="188"/>
      <c r="AC51" s="81"/>
      <c r="AD51" s="82"/>
      <c r="AE51" s="83"/>
      <c r="AF51" s="188"/>
      <c r="AG51" s="81"/>
      <c r="AH51" s="82"/>
      <c r="AI51" s="83"/>
      <c r="AJ51" s="188"/>
      <c r="AK51" s="205"/>
      <c r="AL51" s="82"/>
      <c r="AM51" s="83"/>
      <c r="AN51" s="188"/>
      <c r="AO51" s="81"/>
      <c r="AP51" s="82"/>
      <c r="AR51" s="288">
        <f t="shared" si="0"/>
        <v>0</v>
      </c>
      <c r="AS51" s="288">
        <f t="shared" si="1"/>
        <v>0</v>
      </c>
      <c r="AT51" s="256">
        <v>7500</v>
      </c>
    </row>
    <row r="52" spans="2:47" hidden="1" x14ac:dyDescent="0.3">
      <c r="B52" s="6">
        <v>7746</v>
      </c>
      <c r="C52" s="7" t="s">
        <v>42</v>
      </c>
      <c r="D52" s="188"/>
      <c r="E52" s="81"/>
      <c r="F52" s="82"/>
      <c r="G52" s="83"/>
      <c r="H52" s="188"/>
      <c r="I52" s="81"/>
      <c r="J52" s="82"/>
      <c r="K52" s="83"/>
      <c r="L52" s="188"/>
      <c r="M52" s="93"/>
      <c r="N52" s="82"/>
      <c r="O52" s="83"/>
      <c r="P52" s="188"/>
      <c r="Q52" s="81"/>
      <c r="R52" s="82"/>
      <c r="S52" s="83"/>
      <c r="T52" s="188"/>
      <c r="U52" s="93"/>
      <c r="V52" s="82"/>
      <c r="W52" s="83"/>
      <c r="X52" s="188"/>
      <c r="Y52" s="81"/>
      <c r="Z52" s="82"/>
      <c r="AA52" s="83"/>
      <c r="AB52" s="188"/>
      <c r="AC52" s="81"/>
      <c r="AD52" s="82"/>
      <c r="AE52" s="83"/>
      <c r="AF52" s="188"/>
      <c r="AG52" s="81"/>
      <c r="AH52" s="82"/>
      <c r="AI52" s="83"/>
      <c r="AJ52" s="188"/>
      <c r="AK52" s="205"/>
      <c r="AL52" s="82"/>
      <c r="AM52" s="83"/>
      <c r="AN52" s="188"/>
      <c r="AO52" s="81"/>
      <c r="AP52" s="82"/>
      <c r="AR52" s="288">
        <f t="shared" si="0"/>
        <v>0</v>
      </c>
      <c r="AS52" s="288">
        <f t="shared" si="1"/>
        <v>0</v>
      </c>
      <c r="AT52" s="256">
        <v>7746</v>
      </c>
    </row>
    <row r="53" spans="2:47" hidden="1" x14ac:dyDescent="0.3">
      <c r="B53" s="6">
        <v>7770</v>
      </c>
      <c r="C53" s="7" t="s">
        <v>43</v>
      </c>
      <c r="D53" s="188"/>
      <c r="E53" s="81"/>
      <c r="F53" s="82"/>
      <c r="G53" s="83"/>
      <c r="H53" s="188"/>
      <c r="I53" s="81"/>
      <c r="J53" s="82"/>
      <c r="K53" s="83"/>
      <c r="L53" s="188"/>
      <c r="M53" s="93"/>
      <c r="N53" s="82"/>
      <c r="O53" s="83"/>
      <c r="P53" s="188"/>
      <c r="Q53" s="81"/>
      <c r="R53" s="82"/>
      <c r="S53" s="83"/>
      <c r="T53" s="188"/>
      <c r="U53" s="93"/>
      <c r="V53" s="82"/>
      <c r="W53" s="83"/>
      <c r="X53" s="188"/>
      <c r="Y53" s="81"/>
      <c r="Z53" s="82"/>
      <c r="AA53" s="83"/>
      <c r="AB53" s="188"/>
      <c r="AC53" s="81"/>
      <c r="AD53" s="82"/>
      <c r="AE53" s="83"/>
      <c r="AF53" s="188"/>
      <c r="AG53" s="81"/>
      <c r="AH53" s="82"/>
      <c r="AI53" s="83"/>
      <c r="AJ53" s="188"/>
      <c r="AK53" s="205"/>
      <c r="AL53" s="82"/>
      <c r="AM53" s="83"/>
      <c r="AN53" s="188"/>
      <c r="AO53" s="81"/>
      <c r="AP53" s="82"/>
      <c r="AR53" s="288">
        <f t="shared" si="0"/>
        <v>0</v>
      </c>
      <c r="AS53" s="288">
        <f t="shared" si="1"/>
        <v>0</v>
      </c>
      <c r="AT53" s="256">
        <v>7770</v>
      </c>
    </row>
    <row r="54" spans="2:47" ht="15" hidden="1" thickBot="1" x14ac:dyDescent="0.35">
      <c r="B54" s="6">
        <v>7775</v>
      </c>
      <c r="C54" s="7" t="s">
        <v>44</v>
      </c>
      <c r="D54" s="188"/>
      <c r="E54" s="81"/>
      <c r="F54" s="82"/>
      <c r="G54" s="83"/>
      <c r="H54" s="188"/>
      <c r="I54" s="81"/>
      <c r="J54" s="82"/>
      <c r="K54" s="83"/>
      <c r="L54" s="188"/>
      <c r="M54" s="93"/>
      <c r="N54" s="82"/>
      <c r="O54" s="83"/>
      <c r="P54" s="188"/>
      <c r="Q54" s="81"/>
      <c r="R54" s="82"/>
      <c r="S54" s="83"/>
      <c r="T54" s="188"/>
      <c r="U54" s="93"/>
      <c r="V54" s="82"/>
      <c r="W54" s="83"/>
      <c r="X54" s="188"/>
      <c r="Y54" s="81"/>
      <c r="Z54" s="82"/>
      <c r="AA54" s="83"/>
      <c r="AB54" s="188"/>
      <c r="AC54" s="81"/>
      <c r="AD54" s="82"/>
      <c r="AE54" s="83"/>
      <c r="AF54" s="188"/>
      <c r="AG54" s="81"/>
      <c r="AH54" s="82"/>
      <c r="AI54" s="83"/>
      <c r="AJ54" s="188"/>
      <c r="AK54" s="205"/>
      <c r="AL54" s="82"/>
      <c r="AM54" s="83"/>
      <c r="AN54" s="188"/>
      <c r="AO54" s="81"/>
      <c r="AP54" s="82"/>
      <c r="AR54" s="288">
        <f t="shared" si="0"/>
        <v>0</v>
      </c>
      <c r="AS54" s="288">
        <f t="shared" si="1"/>
        <v>0</v>
      </c>
      <c r="AT54" s="258">
        <v>7775</v>
      </c>
    </row>
    <row r="55" spans="2:47" x14ac:dyDescent="0.3">
      <c r="B55" s="6">
        <v>7320</v>
      </c>
      <c r="C55" s="191" t="s">
        <v>34</v>
      </c>
      <c r="D55" s="188"/>
      <c r="E55" s="81"/>
      <c r="F55" s="82"/>
      <c r="G55" s="83"/>
      <c r="H55" s="188"/>
      <c r="I55" s="81"/>
      <c r="J55" s="82"/>
      <c r="K55" s="83"/>
      <c r="L55" s="188"/>
      <c r="M55" s="93"/>
      <c r="N55" s="82"/>
      <c r="O55" s="83"/>
      <c r="P55" s="188"/>
      <c r="Q55" s="81"/>
      <c r="R55" s="82"/>
      <c r="S55" s="83"/>
      <c r="T55" s="188"/>
      <c r="U55" s="93"/>
      <c r="V55" s="82"/>
      <c r="W55" s="83"/>
      <c r="X55" s="188"/>
      <c r="Y55" s="81"/>
      <c r="Z55" s="82"/>
      <c r="AA55" s="83"/>
      <c r="AB55" s="188"/>
      <c r="AC55" s="81"/>
      <c r="AD55" s="82"/>
      <c r="AE55" s="83"/>
      <c r="AF55" s="188"/>
      <c r="AG55" s="81"/>
      <c r="AH55" s="82"/>
      <c r="AI55" s="83"/>
      <c r="AJ55" s="188"/>
      <c r="AK55" s="81"/>
      <c r="AL55" s="82"/>
      <c r="AM55" s="83"/>
      <c r="AN55" s="188"/>
      <c r="AO55" s="81"/>
      <c r="AP55" s="82"/>
      <c r="AR55" s="289">
        <f t="shared" si="0"/>
        <v>0</v>
      </c>
      <c r="AS55" s="288">
        <f t="shared" si="1"/>
        <v>0</v>
      </c>
      <c r="AT55" s="40">
        <v>7320</v>
      </c>
    </row>
    <row r="56" spans="2:47" ht="15" thickBot="1" x14ac:dyDescent="0.35">
      <c r="B56" s="6">
        <v>7775</v>
      </c>
      <c r="C56" s="191" t="s">
        <v>44</v>
      </c>
      <c r="D56" s="188"/>
      <c r="E56" s="81"/>
      <c r="F56" s="82"/>
      <c r="G56" s="83"/>
      <c r="H56" s="188"/>
      <c r="I56" s="81"/>
      <c r="J56" s="82"/>
      <c r="K56" s="83"/>
      <c r="L56" s="188"/>
      <c r="M56" s="93"/>
      <c r="N56" s="82"/>
      <c r="O56" s="83"/>
      <c r="P56" s="188"/>
      <c r="Q56" s="81"/>
      <c r="R56" s="82"/>
      <c r="S56" s="83"/>
      <c r="T56" s="188"/>
      <c r="U56" s="93"/>
      <c r="V56" s="82"/>
      <c r="W56" s="83"/>
      <c r="X56" s="188"/>
      <c r="Y56" s="81"/>
      <c r="Z56" s="82"/>
      <c r="AA56" s="83"/>
      <c r="AB56" s="188"/>
      <c r="AC56" s="81"/>
      <c r="AD56" s="82"/>
      <c r="AE56" s="83"/>
      <c r="AF56" s="188"/>
      <c r="AG56" s="81"/>
      <c r="AH56" s="82"/>
      <c r="AI56" s="83"/>
      <c r="AJ56" s="188"/>
      <c r="AK56" s="81"/>
      <c r="AL56" s="82"/>
      <c r="AM56" s="83"/>
      <c r="AN56" s="188"/>
      <c r="AO56" s="81"/>
      <c r="AP56" s="82"/>
      <c r="AR56" s="289">
        <f t="shared" si="0"/>
        <v>0</v>
      </c>
      <c r="AS56" s="288">
        <f t="shared" si="1"/>
        <v>0</v>
      </c>
      <c r="AT56" s="40">
        <v>7775</v>
      </c>
    </row>
    <row r="57" spans="2:47" ht="15" thickBot="1" x14ac:dyDescent="0.35">
      <c r="B57" s="193">
        <v>7830</v>
      </c>
      <c r="C57" s="214" t="s">
        <v>286</v>
      </c>
      <c r="D57" s="189"/>
      <c r="E57" s="85"/>
      <c r="F57" s="86"/>
      <c r="G57" s="83"/>
      <c r="H57" s="189"/>
      <c r="I57" s="85"/>
      <c r="J57" s="86"/>
      <c r="K57" s="83"/>
      <c r="L57" s="189"/>
      <c r="M57" s="141"/>
      <c r="N57" s="86"/>
      <c r="O57" s="83"/>
      <c r="P57" s="189"/>
      <c r="Q57" s="85"/>
      <c r="R57" s="86"/>
      <c r="S57" s="83"/>
      <c r="T57" s="189"/>
      <c r="U57" s="141"/>
      <c r="V57" s="86"/>
      <c r="W57" s="83"/>
      <c r="X57" s="189"/>
      <c r="Y57" s="85"/>
      <c r="Z57" s="86"/>
      <c r="AA57" s="83"/>
      <c r="AB57" s="189"/>
      <c r="AC57" s="85"/>
      <c r="AD57" s="86"/>
      <c r="AE57" s="83"/>
      <c r="AF57" s="189"/>
      <c r="AG57" s="85"/>
      <c r="AH57" s="86"/>
      <c r="AI57" s="83"/>
      <c r="AJ57" s="189"/>
      <c r="AK57" s="85"/>
      <c r="AL57" s="86"/>
      <c r="AM57" s="83"/>
      <c r="AN57" s="189"/>
      <c r="AO57" s="85"/>
      <c r="AP57" s="86"/>
      <c r="AR57" s="289">
        <f t="shared" si="0"/>
        <v>0</v>
      </c>
      <c r="AS57" s="288">
        <f t="shared" si="1"/>
        <v>0</v>
      </c>
      <c r="AT57">
        <v>7830</v>
      </c>
      <c r="AU57" s="229" t="s">
        <v>310</v>
      </c>
    </row>
    <row r="58" spans="2:47" ht="15" thickBot="1" x14ac:dyDescent="0.35">
      <c r="B58" s="24"/>
      <c r="C58" s="215" t="s">
        <v>74</v>
      </c>
      <c r="D58" s="183">
        <f>SUM(D12:D54)</f>
        <v>0</v>
      </c>
      <c r="E58" s="96"/>
      <c r="F58" s="96">
        <f>SUM(F12:F43)</f>
        <v>0</v>
      </c>
      <c r="G58" s="83"/>
      <c r="H58" s="96">
        <f>SUM(H12:H57)</f>
        <v>189216.52000000002</v>
      </c>
      <c r="I58" s="96"/>
      <c r="J58" s="96">
        <f>SUM(J12:J56)</f>
        <v>0</v>
      </c>
      <c r="K58" s="83"/>
      <c r="L58" s="96">
        <f>SUM(L12:L57)</f>
        <v>73588</v>
      </c>
      <c r="M58" s="150"/>
      <c r="N58" s="96">
        <f>SUM(N12:N56)</f>
        <v>0</v>
      </c>
      <c r="O58" s="83"/>
      <c r="P58" s="96">
        <f>SUM(P12:P57)</f>
        <v>44727.199999999997</v>
      </c>
      <c r="Q58" s="96"/>
      <c r="R58" s="96">
        <f>SUM(R12:R56)</f>
        <v>0</v>
      </c>
      <c r="S58" s="83"/>
      <c r="T58" s="96">
        <f>SUM(T12:T57)</f>
        <v>17678</v>
      </c>
      <c r="U58" s="150"/>
      <c r="V58" s="96">
        <f>SUM(V12:V57)</f>
        <v>0</v>
      </c>
      <c r="W58" s="83"/>
      <c r="X58" s="96">
        <f>SUM(X12:X57)</f>
        <v>0</v>
      </c>
      <c r="Y58" s="96"/>
      <c r="Z58" s="96">
        <f t="shared" ref="Z58" si="5">SUM(Z12:Z54)</f>
        <v>0</v>
      </c>
      <c r="AA58" s="83"/>
      <c r="AB58" s="96">
        <f t="shared" ref="AB58" si="6">SUM(AB12:AB54)</f>
        <v>0</v>
      </c>
      <c r="AC58" s="96"/>
      <c r="AD58" s="96"/>
      <c r="AE58" s="83"/>
      <c r="AF58" s="96">
        <f t="shared" ref="AF58" si="7">SUM(AF12:AF54)</f>
        <v>0</v>
      </c>
      <c r="AG58" s="96"/>
      <c r="AH58" s="96"/>
      <c r="AI58" s="83"/>
      <c r="AJ58" s="96">
        <f t="shared" ref="AJ58" si="8">SUM(AJ12:AJ54)</f>
        <v>0</v>
      </c>
      <c r="AK58" s="96"/>
      <c r="AL58" s="96"/>
      <c r="AM58" s="83"/>
      <c r="AN58" s="96">
        <f t="shared" ref="AN58" si="9">SUM(AN12:AN54)</f>
        <v>0</v>
      </c>
      <c r="AO58" s="96"/>
      <c r="AP58" s="96"/>
      <c r="AR58" s="95">
        <f t="shared" si="0"/>
        <v>0</v>
      </c>
      <c r="AS58" s="95">
        <f t="shared" si="1"/>
        <v>325209.72000000003</v>
      </c>
      <c r="AU58" s="224">
        <f>SUM(D58+H58+L58+P58+T58+X58+AB58+AF58+AJ58+AN58)</f>
        <v>325209.72000000003</v>
      </c>
    </row>
    <row r="59" spans="2:47" ht="15" thickBot="1" x14ac:dyDescent="0.35">
      <c r="C59" s="13" t="s">
        <v>51</v>
      </c>
      <c r="D59" s="323">
        <f>D11-D58</f>
        <v>0</v>
      </c>
      <c r="E59" s="323"/>
      <c r="F59" s="323">
        <f t="shared" ref="F59" si="10">F11-F58</f>
        <v>0</v>
      </c>
      <c r="G59" s="324"/>
      <c r="H59" s="323">
        <f>H11-H58</f>
        <v>-171216.52000000002</v>
      </c>
      <c r="I59" s="323"/>
      <c r="J59" s="323">
        <f t="shared" ref="J59" si="11">J11-J58</f>
        <v>0</v>
      </c>
      <c r="K59" s="324"/>
      <c r="L59" s="323">
        <f>L11-L58</f>
        <v>-58588</v>
      </c>
      <c r="M59" s="325"/>
      <c r="N59" s="323">
        <f t="shared" ref="N59" si="12">N11-N58</f>
        <v>0</v>
      </c>
      <c r="O59" s="324"/>
      <c r="P59" s="323">
        <f>P11-P58</f>
        <v>-34727.199999999997</v>
      </c>
      <c r="Q59" s="323"/>
      <c r="R59" s="323">
        <f t="shared" ref="R59" si="13">R11-R58</f>
        <v>0</v>
      </c>
      <c r="S59" s="324"/>
      <c r="T59" s="323">
        <f>T11-T58</f>
        <v>-12678</v>
      </c>
      <c r="U59" s="325"/>
      <c r="V59" s="323">
        <f t="shared" ref="V59" si="14">V11-V58</f>
        <v>0</v>
      </c>
      <c r="W59" s="324"/>
      <c r="X59" s="323">
        <f>X11-X58</f>
        <v>0</v>
      </c>
      <c r="Y59" s="323"/>
      <c r="Z59" s="323">
        <f t="shared" ref="Z59" si="15">Z11-Z58</f>
        <v>0</v>
      </c>
      <c r="AA59" s="324"/>
      <c r="AB59" s="323">
        <f t="shared" ref="AB59" si="16">AB11+AB58</f>
        <v>0</v>
      </c>
      <c r="AC59" s="323"/>
      <c r="AD59" s="323"/>
      <c r="AE59" s="324"/>
      <c r="AF59" s="323">
        <f t="shared" ref="AF59" si="17">AF11+AF58</f>
        <v>0</v>
      </c>
      <c r="AG59" s="323"/>
      <c r="AH59" s="323"/>
      <c r="AI59" s="324"/>
      <c r="AJ59" s="323">
        <f t="shared" ref="AJ59" si="18">AJ11+AJ58</f>
        <v>0</v>
      </c>
      <c r="AK59" s="323"/>
      <c r="AL59" s="323"/>
      <c r="AM59" s="324"/>
      <c r="AN59" s="323">
        <f>AN11+AN58</f>
        <v>0</v>
      </c>
      <c r="AO59" s="323"/>
      <c r="AP59" s="323"/>
      <c r="AQ59" s="324"/>
      <c r="AR59" s="326">
        <f t="shared" si="0"/>
        <v>0</v>
      </c>
      <c r="AS59" s="326">
        <f t="shared" si="1"/>
        <v>-277209.72000000003</v>
      </c>
      <c r="AT59" s="42"/>
    </row>
    <row r="61" spans="2:47" x14ac:dyDescent="0.3">
      <c r="H61" s="352" t="s">
        <v>252</v>
      </c>
      <c r="I61" s="352"/>
      <c r="J61" s="352"/>
      <c r="K61" s="65"/>
      <c r="L61" s="352" t="s">
        <v>253</v>
      </c>
      <c r="M61" s="352"/>
      <c r="N61" s="352"/>
      <c r="Y61" s="79"/>
    </row>
    <row r="62" spans="2:47" x14ac:dyDescent="0.3">
      <c r="H62" s="352"/>
      <c r="I62" s="352"/>
      <c r="J62" s="352"/>
      <c r="K62" s="65"/>
      <c r="L62" s="352"/>
      <c r="M62" s="352"/>
      <c r="N62" s="352"/>
    </row>
    <row r="63" spans="2:47" ht="15" thickBot="1" x14ac:dyDescent="0.35"/>
    <row r="64" spans="2:47" x14ac:dyDescent="0.3">
      <c r="H64" s="350"/>
      <c r="I64" s="351"/>
      <c r="J64" s="351"/>
      <c r="K64" s="351"/>
      <c r="L64" s="351"/>
      <c r="M64" s="151"/>
      <c r="N64" s="116"/>
      <c r="O64" s="116"/>
      <c r="P64" s="117"/>
      <c r="Q64" s="66"/>
    </row>
    <row r="65" spans="8:17" x14ac:dyDescent="0.3">
      <c r="H65" s="113"/>
      <c r="I65" s="66"/>
      <c r="J65" s="66"/>
      <c r="K65" s="66"/>
      <c r="L65" s="114"/>
      <c r="M65" s="152"/>
      <c r="P65" s="114"/>
      <c r="Q65" s="66"/>
    </row>
    <row r="66" spans="8:17" x14ac:dyDescent="0.3">
      <c r="H66" s="113"/>
      <c r="I66" s="66"/>
      <c r="J66" s="66"/>
      <c r="K66" s="66"/>
      <c r="L66" s="114"/>
      <c r="M66" s="152"/>
      <c r="P66" s="114"/>
      <c r="Q66" s="66"/>
    </row>
    <row r="67" spans="8:17" x14ac:dyDescent="0.3">
      <c r="H67" s="113"/>
      <c r="I67" s="66"/>
      <c r="J67" s="66"/>
      <c r="K67" s="66"/>
      <c r="L67" s="114"/>
      <c r="M67" s="152"/>
      <c r="P67" s="114"/>
      <c r="Q67" s="66"/>
    </row>
    <row r="68" spans="8:17" x14ac:dyDescent="0.3">
      <c r="H68" s="113"/>
      <c r="I68" s="66"/>
      <c r="J68" s="66"/>
      <c r="K68" s="66"/>
      <c r="L68" s="114"/>
      <c r="M68" s="152"/>
      <c r="P68" s="114"/>
      <c r="Q68" s="66"/>
    </row>
    <row r="69" spans="8:17" x14ac:dyDescent="0.3">
      <c r="H69" s="113"/>
      <c r="I69" s="66"/>
      <c r="J69" s="66"/>
      <c r="K69" s="66"/>
      <c r="L69" s="114"/>
      <c r="M69" s="152"/>
      <c r="P69" s="114"/>
      <c r="Q69" s="66"/>
    </row>
    <row r="70" spans="8:17" x14ac:dyDescent="0.3">
      <c r="H70" s="113"/>
      <c r="I70" s="66"/>
      <c r="J70" s="66"/>
      <c r="K70" s="66"/>
      <c r="L70" s="114"/>
      <c r="M70" s="152"/>
      <c r="P70" s="114"/>
      <c r="Q70" s="66"/>
    </row>
    <row r="71" spans="8:17" x14ac:dyDescent="0.3">
      <c r="H71" s="113"/>
      <c r="I71" s="66"/>
      <c r="J71" s="66"/>
      <c r="K71" s="66"/>
      <c r="L71" s="114"/>
      <c r="M71" s="152"/>
      <c r="P71" s="114"/>
      <c r="Q71" s="66"/>
    </row>
    <row r="72" spans="8:17" x14ac:dyDescent="0.3">
      <c r="H72" s="113"/>
      <c r="I72" s="66"/>
      <c r="J72" s="66"/>
      <c r="K72" s="66"/>
      <c r="L72" s="114"/>
      <c r="M72" s="152"/>
      <c r="P72" s="114"/>
      <c r="Q72" s="66"/>
    </row>
    <row r="73" spans="8:17" x14ac:dyDescent="0.3">
      <c r="H73" s="113"/>
      <c r="I73" s="66"/>
      <c r="J73" s="66"/>
      <c r="K73" s="66"/>
      <c r="L73" s="114"/>
      <c r="M73" s="152"/>
      <c r="P73" s="114"/>
      <c r="Q73" s="66"/>
    </row>
    <row r="74" spans="8:17" x14ac:dyDescent="0.3">
      <c r="H74" s="22"/>
      <c r="L74" s="40"/>
      <c r="P74" s="40"/>
    </row>
    <row r="75" spans="8:17" x14ac:dyDescent="0.3">
      <c r="H75" s="113"/>
      <c r="I75" s="66"/>
      <c r="J75" s="66"/>
      <c r="K75" s="66"/>
      <c r="L75" s="114"/>
      <c r="M75" s="152"/>
      <c r="P75" s="114"/>
      <c r="Q75" s="66"/>
    </row>
    <row r="76" spans="8:17" x14ac:dyDescent="0.3">
      <c r="H76" s="113"/>
      <c r="I76" s="66"/>
      <c r="J76" s="66"/>
      <c r="K76" s="66"/>
      <c r="L76" s="114"/>
      <c r="M76" s="152"/>
      <c r="P76" s="114"/>
      <c r="Q76" s="66"/>
    </row>
    <row r="77" spans="8:17" x14ac:dyDescent="0.3">
      <c r="H77" s="113"/>
      <c r="I77" s="66"/>
      <c r="J77" s="66"/>
      <c r="K77" s="66"/>
      <c r="L77" s="114"/>
      <c r="M77" s="152"/>
      <c r="P77" s="114"/>
      <c r="Q77" s="66"/>
    </row>
    <row r="78" spans="8:17" x14ac:dyDescent="0.3">
      <c r="H78" s="113"/>
      <c r="I78" s="66"/>
      <c r="J78" s="66"/>
      <c r="K78" s="66"/>
      <c r="L78" s="114"/>
      <c r="M78" s="152"/>
      <c r="P78" s="114"/>
      <c r="Q78" s="66"/>
    </row>
    <row r="79" spans="8:17" x14ac:dyDescent="0.3">
      <c r="H79" s="113"/>
      <c r="I79" s="66"/>
      <c r="J79" s="66"/>
      <c r="K79" s="66"/>
      <c r="L79" s="114"/>
      <c r="M79" s="152"/>
      <c r="P79" s="114"/>
      <c r="Q79" s="66"/>
    </row>
    <row r="80" spans="8:17" x14ac:dyDescent="0.3">
      <c r="H80" s="113"/>
      <c r="I80" s="66"/>
      <c r="J80" s="66"/>
      <c r="K80" s="66"/>
      <c r="L80" s="114"/>
      <c r="M80" s="152"/>
      <c r="P80" s="114"/>
      <c r="Q80" s="66"/>
    </row>
    <row r="81" spans="3:17" x14ac:dyDescent="0.3">
      <c r="H81" s="113"/>
      <c r="I81" s="66"/>
      <c r="J81" s="66"/>
      <c r="K81" s="66"/>
      <c r="L81" s="114"/>
      <c r="M81" s="152"/>
      <c r="P81" s="114"/>
      <c r="Q81" s="66"/>
    </row>
    <row r="82" spans="3:17" x14ac:dyDescent="0.3">
      <c r="H82" s="113"/>
      <c r="I82" s="66"/>
      <c r="J82" s="66"/>
      <c r="K82" s="66"/>
      <c r="L82" s="114"/>
      <c r="M82" s="152"/>
      <c r="P82" s="114"/>
      <c r="Q82" s="66"/>
    </row>
    <row r="83" spans="3:17" x14ac:dyDescent="0.3">
      <c r="H83" s="22"/>
      <c r="L83" s="40"/>
      <c r="P83" s="40"/>
    </row>
    <row r="84" spans="3:17" x14ac:dyDescent="0.3">
      <c r="F84" s="79"/>
      <c r="H84" s="113"/>
      <c r="I84" s="66"/>
      <c r="J84" s="66"/>
      <c r="K84" s="66"/>
      <c r="L84" s="114"/>
      <c r="M84" s="152"/>
      <c r="P84" s="114"/>
      <c r="Q84" s="66"/>
    </row>
    <row r="85" spans="3:17" x14ac:dyDescent="0.3">
      <c r="H85" s="113"/>
      <c r="I85" s="66"/>
      <c r="J85" s="66"/>
      <c r="K85" s="66"/>
      <c r="L85" s="114"/>
      <c r="M85" s="152"/>
      <c r="P85" s="114"/>
      <c r="Q85" s="66"/>
    </row>
    <row r="86" spans="3:17" x14ac:dyDescent="0.3">
      <c r="H86" s="113"/>
      <c r="I86" s="66"/>
      <c r="J86" s="66"/>
      <c r="K86" s="66"/>
      <c r="L86" s="114"/>
      <c r="M86" s="152"/>
      <c r="P86" s="114"/>
      <c r="Q86" s="66"/>
    </row>
    <row r="87" spans="3:17" x14ac:dyDescent="0.3">
      <c r="C87" s="67"/>
      <c r="D87" s="67"/>
      <c r="E87" s="67"/>
      <c r="H87" s="113"/>
      <c r="I87" s="66"/>
      <c r="J87" s="66"/>
      <c r="K87" s="66"/>
      <c r="L87" s="114"/>
      <c r="M87" s="152"/>
      <c r="P87" s="114"/>
      <c r="Q87" s="66"/>
    </row>
    <row r="88" spans="3:17" x14ac:dyDescent="0.3">
      <c r="H88" s="113"/>
      <c r="I88" s="66"/>
      <c r="J88" s="66"/>
      <c r="K88" s="66"/>
      <c r="L88" s="114"/>
      <c r="M88" s="152"/>
      <c r="P88" s="114"/>
      <c r="Q88" s="66"/>
    </row>
    <row r="89" spans="3:17" x14ac:dyDescent="0.3">
      <c r="H89" s="113"/>
      <c r="I89" s="66"/>
      <c r="J89" s="66"/>
      <c r="K89" s="66"/>
      <c r="L89" s="114"/>
      <c r="M89" s="152"/>
      <c r="P89" s="114"/>
      <c r="Q89" s="66"/>
    </row>
    <row r="90" spans="3:17" x14ac:dyDescent="0.3">
      <c r="H90" s="113"/>
      <c r="I90" s="66"/>
      <c r="J90" s="66"/>
      <c r="K90" s="66"/>
      <c r="L90" s="114"/>
      <c r="M90" s="152"/>
      <c r="P90" s="114"/>
      <c r="Q90" s="66"/>
    </row>
    <row r="91" spans="3:17" x14ac:dyDescent="0.3">
      <c r="H91" s="22"/>
      <c r="L91" s="40"/>
      <c r="P91" s="40"/>
    </row>
    <row r="92" spans="3:17" x14ac:dyDescent="0.3">
      <c r="H92" s="22"/>
      <c r="L92" s="40"/>
      <c r="P92" s="40"/>
    </row>
    <row r="93" spans="3:17" x14ac:dyDescent="0.3">
      <c r="H93" s="22"/>
      <c r="L93" s="40"/>
      <c r="P93" s="40"/>
    </row>
    <row r="94" spans="3:17" x14ac:dyDescent="0.3">
      <c r="H94" s="113"/>
      <c r="I94" s="66"/>
      <c r="J94" s="66"/>
      <c r="K94" s="66"/>
      <c r="L94" s="114"/>
      <c r="M94" s="152"/>
      <c r="P94" s="114"/>
      <c r="Q94" s="66"/>
    </row>
    <row r="95" spans="3:17" x14ac:dyDescent="0.3">
      <c r="H95" s="113"/>
      <c r="I95" s="66"/>
      <c r="J95" s="66"/>
      <c r="K95" s="66"/>
      <c r="L95" s="114"/>
      <c r="M95" s="152"/>
      <c r="P95" s="114"/>
      <c r="Q95" s="66"/>
    </row>
    <row r="96" spans="3:17" x14ac:dyDescent="0.3">
      <c r="H96" s="113"/>
      <c r="I96" s="66"/>
      <c r="J96" s="66"/>
      <c r="K96" s="66"/>
      <c r="L96" s="114"/>
      <c r="M96" s="152"/>
      <c r="P96" s="114"/>
      <c r="Q96" s="66"/>
    </row>
    <row r="97" spans="8:17" x14ac:dyDescent="0.3">
      <c r="H97" s="113"/>
      <c r="I97" s="66"/>
      <c r="J97" s="66"/>
      <c r="K97" s="66"/>
      <c r="L97" s="114"/>
      <c r="M97" s="152"/>
      <c r="P97" s="114"/>
      <c r="Q97" s="66"/>
    </row>
    <row r="98" spans="8:17" x14ac:dyDescent="0.3">
      <c r="H98" s="22"/>
      <c r="L98" s="40"/>
      <c r="P98" s="40"/>
    </row>
    <row r="99" spans="8:17" ht="15" thickBot="1" x14ac:dyDescent="0.35">
      <c r="H99" s="13"/>
      <c r="I99" s="41"/>
      <c r="J99" s="41"/>
      <c r="K99" s="41"/>
      <c r="L99" s="115"/>
      <c r="P99" s="115"/>
    </row>
  </sheetData>
  <sheetProtection algorithmName="SHA-512" hashValue="P+1rlKDtizlwFyD2AZgqfmL4yuL9dT8EnTsz3tO/OnRBlll+w7RLGA1rYr7bn8HfZS7J30aOgUB4GeARwvxLeg==" saltValue="a+j6zbaPTReWFLey9AaKBg==" spinCount="100000" sheet="1" selectLockedCells="1"/>
  <protectedRanges>
    <protectedRange sqref="D19 I19 Q19 T19:U19 X19:Y19 AB19:AC19 AF19:AG19 AJ19:AK19 AN19:AO19 M19" name="Område2_2_1"/>
    <protectedRange password="8B3B" sqref="D21 I21 Q21 T21:U21 X21:Y21 AB21:AC21 AF21:AG21 AJ21:AK21 AN21:AO21 M21" name="Område1_2_1"/>
  </protectedRanges>
  <mergeCells count="15">
    <mergeCell ref="B2:C2"/>
    <mergeCell ref="E1:F1"/>
    <mergeCell ref="I1:J1"/>
    <mergeCell ref="U1:V1"/>
    <mergeCell ref="Y1:Z1"/>
    <mergeCell ref="B1:C1"/>
    <mergeCell ref="Q1:R1"/>
    <mergeCell ref="H64:L64"/>
    <mergeCell ref="L61:N62"/>
    <mergeCell ref="H61:J62"/>
    <mergeCell ref="M1:N1"/>
    <mergeCell ref="AO1:AP1"/>
    <mergeCell ref="AC1:AD1"/>
    <mergeCell ref="AG1:AH1"/>
    <mergeCell ref="AK1:AL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B57"/>
  <sheetViews>
    <sheetView zoomScale="70" zoomScaleNormal="70" zoomScalePageLayoutView="90" workbookViewId="0">
      <pane xSplit="3" topLeftCell="D1" activePane="topRight" state="frozen"/>
      <selection pane="topRight" activeCell="X2" sqref="X2"/>
    </sheetView>
  </sheetViews>
  <sheetFormatPr baseColWidth="10" defaultColWidth="11.44140625" defaultRowHeight="14.4" x14ac:dyDescent="0.3"/>
  <cols>
    <col min="1" max="1" width="9.44140625" bestFit="1" customWidth="1"/>
    <col min="2" max="2" width="8.5546875" bestFit="1" customWidth="1"/>
    <col min="3" max="3" width="37.5546875" bestFit="1" customWidth="1"/>
    <col min="4" max="4" width="17.109375" bestFit="1" customWidth="1"/>
    <col min="5" max="5" width="16.44140625" bestFit="1" customWidth="1"/>
    <col min="6" max="6" width="19.109375" bestFit="1" customWidth="1"/>
    <col min="7" max="7" width="3.5546875" customWidth="1"/>
    <col min="8" max="8" width="17.109375" bestFit="1" customWidth="1"/>
    <col min="9" max="9" width="30.44140625" bestFit="1" customWidth="1"/>
    <col min="10" max="10" width="19.109375" bestFit="1" customWidth="1"/>
    <col min="11" max="11" width="4.5546875" customWidth="1"/>
    <col min="12" max="12" width="17.109375" bestFit="1" customWidth="1"/>
    <col min="13" max="13" width="16.44140625" bestFit="1" customWidth="1"/>
    <col min="14" max="14" width="19.109375" bestFit="1" customWidth="1"/>
    <col min="15" max="15" width="4.5546875" customWidth="1"/>
    <col min="16" max="16" width="17.109375" bestFit="1" customWidth="1"/>
    <col min="17" max="17" width="16.44140625" bestFit="1" customWidth="1"/>
    <col min="18" max="18" width="19.109375" bestFit="1" customWidth="1"/>
    <col min="19" max="19" width="4.5546875" customWidth="1"/>
    <col min="20" max="20" width="17.109375" bestFit="1" customWidth="1"/>
    <col min="21" max="21" width="16.44140625" bestFit="1" customWidth="1"/>
    <col min="22" max="22" width="19.109375" bestFit="1" customWidth="1"/>
    <col min="23" max="23" width="5.44140625" customWidth="1"/>
    <col min="24" max="24" width="16.5546875" bestFit="1" customWidth="1"/>
    <col min="25" max="25" width="16.5546875" customWidth="1"/>
    <col min="26" max="26" width="13.44140625" customWidth="1"/>
    <col min="27" max="27" width="14.44140625" bestFit="1" customWidth="1"/>
    <col min="28" max="28" width="4.5546875" customWidth="1"/>
    <col min="29" max="29" width="13.44140625" bestFit="1" customWidth="1"/>
    <col min="30" max="30" width="25.5546875" customWidth="1"/>
    <col min="31" max="31" width="4.5546875" customWidth="1"/>
    <col min="32" max="32" width="13.44140625" bestFit="1" customWidth="1"/>
    <col min="33" max="33" width="25.5546875" customWidth="1"/>
    <col min="34" max="34" width="4.5546875" customWidth="1"/>
    <col min="35" max="35" width="13.44140625" bestFit="1" customWidth="1"/>
    <col min="36" max="36" width="25.5546875" customWidth="1"/>
    <col min="37" max="54" width="4.5546875" customWidth="1"/>
  </cols>
  <sheetData>
    <row r="1" spans="1:54" ht="15" thickBot="1" x14ac:dyDescent="0.35">
      <c r="A1" s="33"/>
      <c r="B1" s="341" t="s">
        <v>76</v>
      </c>
      <c r="C1" s="341"/>
      <c r="D1" s="19">
        <v>90000</v>
      </c>
      <c r="E1" s="344" t="s">
        <v>53</v>
      </c>
      <c r="F1" s="345"/>
      <c r="G1" s="1"/>
      <c r="H1" s="19">
        <v>91000</v>
      </c>
      <c r="I1" s="344" t="s">
        <v>299</v>
      </c>
      <c r="J1" s="345" t="s">
        <v>54</v>
      </c>
      <c r="K1" s="1"/>
      <c r="L1" s="19">
        <v>92000</v>
      </c>
      <c r="M1" s="344" t="s">
        <v>178</v>
      </c>
      <c r="N1" s="345"/>
      <c r="O1" s="1"/>
      <c r="P1" s="19"/>
      <c r="Q1" s="344"/>
      <c r="R1" s="345"/>
      <c r="S1" s="1"/>
      <c r="T1" s="19"/>
      <c r="U1" s="344"/>
      <c r="V1" s="345"/>
      <c r="Z1" s="37"/>
      <c r="AA1" s="36"/>
      <c r="AB1" s="34"/>
      <c r="AC1" s="36"/>
      <c r="AD1" s="36"/>
      <c r="AE1" s="34"/>
      <c r="AF1" s="36"/>
      <c r="AG1" s="36"/>
      <c r="AH1" s="34"/>
      <c r="AI1" s="36"/>
      <c r="AJ1" s="36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thickBot="1" x14ac:dyDescent="0.35">
      <c r="A2" s="32"/>
      <c r="B2" s="341" t="s">
        <v>75</v>
      </c>
      <c r="C2" s="341"/>
      <c r="D2" s="14"/>
      <c r="E2" s="15"/>
      <c r="F2" s="16"/>
      <c r="G2" s="2"/>
      <c r="H2" s="14"/>
      <c r="I2" s="15"/>
      <c r="J2" s="16"/>
      <c r="K2" s="2"/>
      <c r="L2" s="14"/>
      <c r="M2" s="15"/>
      <c r="N2" s="16"/>
      <c r="O2" s="2"/>
      <c r="P2" s="14"/>
      <c r="Q2" s="15"/>
      <c r="R2" s="16"/>
      <c r="S2" s="2"/>
      <c r="T2" s="14"/>
      <c r="U2" s="15"/>
      <c r="V2" s="16"/>
      <c r="X2" s="254" t="s">
        <v>52</v>
      </c>
      <c r="Y2" s="254" t="s">
        <v>52</v>
      </c>
      <c r="Z2" s="37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" thickBot="1" x14ac:dyDescent="0.35">
      <c r="B3" s="3" t="s">
        <v>0</v>
      </c>
      <c r="C3" s="18" t="s">
        <v>47</v>
      </c>
      <c r="D3" s="29" t="s">
        <v>344</v>
      </c>
      <c r="E3" s="30" t="s">
        <v>70</v>
      </c>
      <c r="F3" s="31" t="s">
        <v>343</v>
      </c>
      <c r="G3" s="4"/>
      <c r="H3" s="29" t="s">
        <v>344</v>
      </c>
      <c r="I3" s="30" t="s">
        <v>70</v>
      </c>
      <c r="J3" s="31" t="s">
        <v>343</v>
      </c>
      <c r="K3" s="4"/>
      <c r="L3" s="29" t="s">
        <v>202</v>
      </c>
      <c r="M3" s="30" t="s">
        <v>70</v>
      </c>
      <c r="N3" s="31" t="s">
        <v>283</v>
      </c>
      <c r="O3" s="4"/>
      <c r="P3" s="29" t="s">
        <v>71</v>
      </c>
      <c r="Q3" s="30" t="s">
        <v>70</v>
      </c>
      <c r="R3" s="31" t="s">
        <v>72</v>
      </c>
      <c r="S3" s="4"/>
      <c r="T3" s="29" t="s">
        <v>71</v>
      </c>
      <c r="U3" s="30" t="s">
        <v>70</v>
      </c>
      <c r="V3" s="31" t="s">
        <v>72</v>
      </c>
      <c r="X3" s="109" t="s">
        <v>367</v>
      </c>
      <c r="Y3" s="109" t="s">
        <v>368</v>
      </c>
      <c r="Z3" s="263" t="s">
        <v>0</v>
      </c>
      <c r="AA3" s="38"/>
      <c r="AB3" s="36"/>
      <c r="AC3" s="36"/>
      <c r="AD3" s="38"/>
      <c r="AE3" s="36"/>
      <c r="AF3" s="36"/>
      <c r="AG3" s="38"/>
      <c r="AH3" s="36"/>
      <c r="AI3" s="36"/>
      <c r="AJ3" s="3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5" thickBot="1" x14ac:dyDescent="0.35">
      <c r="A4" s="5" t="s">
        <v>45</v>
      </c>
      <c r="B4" s="6">
        <v>3100</v>
      </c>
      <c r="C4" s="17" t="s">
        <v>3</v>
      </c>
      <c r="D4" s="80"/>
      <c r="E4" s="81"/>
      <c r="F4" s="82"/>
      <c r="G4" s="83"/>
      <c r="H4" s="80"/>
      <c r="I4" s="81"/>
      <c r="J4" s="82"/>
      <c r="K4" s="83"/>
      <c r="L4" s="80"/>
      <c r="M4" s="81"/>
      <c r="N4" s="82"/>
      <c r="O4" s="83"/>
      <c r="P4" s="80"/>
      <c r="Q4" s="81"/>
      <c r="R4" s="82"/>
      <c r="S4" s="83"/>
      <c r="T4" s="80"/>
      <c r="U4" s="81"/>
      <c r="V4" s="82"/>
      <c r="X4" s="288">
        <f>SUM(F4+J4+N4+R4+V4)</f>
        <v>0</v>
      </c>
      <c r="Y4" s="288">
        <f>SUM(D4+H4+L4+P4+T4)</f>
        <v>0</v>
      </c>
      <c r="Z4" s="256">
        <v>3100</v>
      </c>
      <c r="AA4" s="37"/>
      <c r="AB4" s="37"/>
      <c r="AC4" s="39"/>
      <c r="AD4" s="37"/>
      <c r="AE4" s="37"/>
      <c r="AF4" s="39"/>
      <c r="AG4" s="37"/>
      <c r="AH4" s="37"/>
      <c r="AI4" s="39"/>
      <c r="AJ4" s="37"/>
    </row>
    <row r="5" spans="1:54" hidden="1" x14ac:dyDescent="0.3">
      <c r="B5" s="6">
        <v>3120</v>
      </c>
      <c r="C5" s="7" t="s">
        <v>4</v>
      </c>
      <c r="D5" s="80"/>
      <c r="E5" s="81"/>
      <c r="F5" s="82"/>
      <c r="G5" s="83"/>
      <c r="H5" s="80"/>
      <c r="I5" s="81"/>
      <c r="J5" s="82"/>
      <c r="K5" s="83"/>
      <c r="L5" s="80"/>
      <c r="M5" s="81"/>
      <c r="N5" s="82"/>
      <c r="O5" s="83"/>
      <c r="P5" s="80"/>
      <c r="Q5" s="81"/>
      <c r="R5" s="82"/>
      <c r="S5" s="83"/>
      <c r="T5" s="80"/>
      <c r="U5" s="81"/>
      <c r="V5" s="82"/>
      <c r="X5" s="288">
        <f t="shared" ref="X5:X56" si="0">SUM(F5+J5+N5+R5+V5)</f>
        <v>0</v>
      </c>
      <c r="Y5" s="288">
        <f t="shared" ref="Y5:Y56" si="1">SUM(D5+H5+L5+P5+T5)</f>
        <v>0</v>
      </c>
      <c r="Z5" s="256">
        <v>3120</v>
      </c>
      <c r="AA5" s="37"/>
      <c r="AB5" s="37"/>
      <c r="AC5" s="39"/>
      <c r="AD5" s="37"/>
      <c r="AE5" s="37"/>
      <c r="AF5" s="39"/>
      <c r="AG5" s="37"/>
      <c r="AH5" s="37"/>
      <c r="AI5" s="39"/>
      <c r="AJ5" s="37"/>
    </row>
    <row r="6" spans="1:54" hidden="1" x14ac:dyDescent="0.3">
      <c r="B6" s="6">
        <v>3400</v>
      </c>
      <c r="C6" s="7" t="s">
        <v>5</v>
      </c>
      <c r="D6" s="80"/>
      <c r="E6" s="81"/>
      <c r="F6" s="82"/>
      <c r="G6" s="83"/>
      <c r="H6" s="80"/>
      <c r="I6" s="81"/>
      <c r="J6" s="82"/>
      <c r="K6" s="83"/>
      <c r="L6" s="80"/>
      <c r="M6" s="81"/>
      <c r="N6" s="82"/>
      <c r="O6" s="83"/>
      <c r="P6" s="80"/>
      <c r="Q6" s="81"/>
      <c r="R6" s="82"/>
      <c r="S6" s="83"/>
      <c r="T6" s="80"/>
      <c r="U6" s="81"/>
      <c r="V6" s="82"/>
      <c r="X6" s="288">
        <f t="shared" si="0"/>
        <v>0</v>
      </c>
      <c r="Y6" s="288">
        <f t="shared" si="1"/>
        <v>0</v>
      </c>
      <c r="Z6" s="256">
        <v>3400</v>
      </c>
      <c r="AA6" s="37"/>
      <c r="AB6" s="37"/>
      <c r="AC6" s="39"/>
      <c r="AD6" s="37"/>
      <c r="AE6" s="37"/>
      <c r="AF6" s="39"/>
      <c r="AG6" s="37"/>
      <c r="AH6" s="37"/>
      <c r="AI6" s="39"/>
      <c r="AJ6" s="37"/>
    </row>
    <row r="7" spans="1:54" hidden="1" x14ac:dyDescent="0.3">
      <c r="B7" s="6">
        <v>3410</v>
      </c>
      <c r="C7" s="7" t="s">
        <v>6</v>
      </c>
      <c r="D7" s="80"/>
      <c r="E7" s="81"/>
      <c r="F7" s="82"/>
      <c r="G7" s="83"/>
      <c r="H7" s="80"/>
      <c r="I7" s="81"/>
      <c r="J7" s="82"/>
      <c r="K7" s="83"/>
      <c r="L7" s="80"/>
      <c r="M7" s="81"/>
      <c r="N7" s="82"/>
      <c r="O7" s="83"/>
      <c r="P7" s="80"/>
      <c r="Q7" s="81"/>
      <c r="R7" s="82"/>
      <c r="S7" s="83"/>
      <c r="T7" s="80"/>
      <c r="U7" s="81"/>
      <c r="V7" s="82"/>
      <c r="X7" s="288">
        <f t="shared" si="0"/>
        <v>0</v>
      </c>
      <c r="Y7" s="288">
        <f t="shared" si="1"/>
        <v>0</v>
      </c>
      <c r="Z7" s="256">
        <v>3410</v>
      </c>
      <c r="AA7" s="37"/>
      <c r="AB7" s="37"/>
      <c r="AC7" s="39"/>
      <c r="AD7" s="37"/>
      <c r="AE7" s="37"/>
      <c r="AF7" s="39"/>
      <c r="AG7" s="37"/>
      <c r="AH7" s="37"/>
      <c r="AI7" s="39"/>
      <c r="AJ7" s="37"/>
    </row>
    <row r="8" spans="1:54" hidden="1" x14ac:dyDescent="0.3">
      <c r="B8" s="6">
        <v>3900</v>
      </c>
      <c r="C8" s="7" t="s">
        <v>7</v>
      </c>
      <c r="D8" s="80"/>
      <c r="E8" s="81"/>
      <c r="F8" s="82"/>
      <c r="G8" s="83"/>
      <c r="H8" s="80"/>
      <c r="I8" s="81"/>
      <c r="J8" s="82"/>
      <c r="K8" s="83"/>
      <c r="L8" s="80"/>
      <c r="M8" s="81"/>
      <c r="N8" s="82"/>
      <c r="O8" s="83"/>
      <c r="P8" s="80"/>
      <c r="Q8" s="81"/>
      <c r="R8" s="82"/>
      <c r="S8" s="83"/>
      <c r="T8" s="80"/>
      <c r="U8" s="81"/>
      <c r="V8" s="82"/>
      <c r="X8" s="288">
        <f t="shared" si="0"/>
        <v>0</v>
      </c>
      <c r="Y8" s="288">
        <f t="shared" si="1"/>
        <v>0</v>
      </c>
      <c r="Z8" s="256">
        <v>3900</v>
      </c>
      <c r="AA8" s="37"/>
      <c r="AB8" s="37"/>
      <c r="AC8" s="39"/>
      <c r="AD8" s="37"/>
      <c r="AE8" s="37"/>
      <c r="AF8" s="39"/>
      <c r="AG8" s="37"/>
      <c r="AH8" s="37"/>
      <c r="AI8" s="39"/>
      <c r="AJ8" s="37"/>
    </row>
    <row r="9" spans="1:54" hidden="1" x14ac:dyDescent="0.3">
      <c r="B9" s="6">
        <v>3910</v>
      </c>
      <c r="C9" s="7" t="s">
        <v>8</v>
      </c>
      <c r="D9" s="80"/>
      <c r="E9" s="81"/>
      <c r="F9" s="82"/>
      <c r="G9" s="83"/>
      <c r="H9" s="80"/>
      <c r="I9" s="81"/>
      <c r="J9" s="82"/>
      <c r="K9" s="83"/>
      <c r="L9" s="80"/>
      <c r="M9" s="81"/>
      <c r="N9" s="82"/>
      <c r="O9" s="83"/>
      <c r="P9" s="80"/>
      <c r="Q9" s="81"/>
      <c r="R9" s="82"/>
      <c r="S9" s="83"/>
      <c r="T9" s="80"/>
      <c r="U9" s="81"/>
      <c r="V9" s="82"/>
      <c r="X9" s="288">
        <f t="shared" si="0"/>
        <v>0</v>
      </c>
      <c r="Y9" s="288">
        <f t="shared" si="1"/>
        <v>0</v>
      </c>
      <c r="Z9" s="256">
        <v>3910</v>
      </c>
      <c r="AA9" s="37"/>
      <c r="AB9" s="37"/>
      <c r="AC9" s="39"/>
      <c r="AD9" s="37"/>
      <c r="AE9" s="37"/>
      <c r="AF9" s="39"/>
      <c r="AG9" s="37"/>
      <c r="AH9" s="37"/>
      <c r="AI9" s="39"/>
      <c r="AJ9" s="37"/>
    </row>
    <row r="10" spans="1:54" ht="15" hidden="1" thickBot="1" x14ac:dyDescent="0.35">
      <c r="B10" s="8">
        <v>3950</v>
      </c>
      <c r="C10" s="9" t="s">
        <v>9</v>
      </c>
      <c r="D10" s="84"/>
      <c r="E10" s="85"/>
      <c r="F10" s="86"/>
      <c r="G10" s="83"/>
      <c r="H10" s="84"/>
      <c r="I10" s="85"/>
      <c r="J10" s="86"/>
      <c r="K10" s="83"/>
      <c r="L10" s="84"/>
      <c r="M10" s="85"/>
      <c r="N10" s="86"/>
      <c r="O10" s="83"/>
      <c r="P10" s="84"/>
      <c r="Q10" s="85"/>
      <c r="R10" s="86"/>
      <c r="S10" s="83"/>
      <c r="T10" s="84"/>
      <c r="U10" s="85"/>
      <c r="V10" s="86"/>
      <c r="X10" s="288">
        <f t="shared" si="0"/>
        <v>0</v>
      </c>
      <c r="Y10" s="288">
        <f t="shared" si="1"/>
        <v>0</v>
      </c>
      <c r="Z10" s="258">
        <v>3950</v>
      </c>
      <c r="AA10" s="37"/>
      <c r="AB10" s="37"/>
      <c r="AC10" s="39"/>
      <c r="AD10" s="37"/>
      <c r="AE10" s="37"/>
      <c r="AF10" s="39"/>
      <c r="AG10" s="37"/>
      <c r="AH10" s="37"/>
      <c r="AI10" s="39"/>
      <c r="AJ10" s="37"/>
    </row>
    <row r="11" spans="1:54" ht="15" thickBot="1" x14ac:dyDescent="0.35">
      <c r="B11" s="195">
        <v>3400</v>
      </c>
      <c r="C11" s="206" t="s">
        <v>5</v>
      </c>
      <c r="D11" s="84"/>
      <c r="E11" s="177"/>
      <c r="F11" s="177"/>
      <c r="G11" s="83"/>
      <c r="H11" s="84"/>
      <c r="I11" s="177"/>
      <c r="J11" s="177"/>
      <c r="K11" s="83"/>
      <c r="L11" s="84"/>
      <c r="M11" s="85"/>
      <c r="N11" s="86"/>
      <c r="O11" s="83"/>
      <c r="P11" s="84"/>
      <c r="Q11" s="85"/>
      <c r="R11" s="86"/>
      <c r="S11" s="83"/>
      <c r="T11" s="84"/>
      <c r="U11" s="85"/>
      <c r="V11" s="86"/>
      <c r="X11" s="289">
        <f t="shared" si="0"/>
        <v>0</v>
      </c>
      <c r="Y11" s="288">
        <f t="shared" si="1"/>
        <v>0</v>
      </c>
      <c r="Z11" s="42">
        <v>3400</v>
      </c>
      <c r="AA11" s="37"/>
      <c r="AB11" s="37"/>
      <c r="AC11" s="39"/>
      <c r="AD11" s="37"/>
      <c r="AE11" s="37"/>
      <c r="AF11" s="39"/>
      <c r="AG11" s="37"/>
      <c r="AH11" s="37"/>
      <c r="AI11" s="39"/>
      <c r="AJ11" s="37"/>
    </row>
    <row r="12" spans="1:54" ht="15" thickBot="1" x14ac:dyDescent="0.35">
      <c r="B12" s="24"/>
      <c r="C12" s="25" t="s">
        <v>73</v>
      </c>
      <c r="D12" s="87">
        <f>SUM(D4:D10)</f>
        <v>0</v>
      </c>
      <c r="E12" s="87"/>
      <c r="F12" s="87">
        <f t="shared" ref="F12" si="2">SUM(F4:F10)</f>
        <v>0</v>
      </c>
      <c r="G12" s="83"/>
      <c r="H12" s="87">
        <f>SUM(H4:H10)</f>
        <v>0</v>
      </c>
      <c r="I12" s="87"/>
      <c r="J12" s="87">
        <f>SUM(J4:J11)</f>
        <v>0</v>
      </c>
      <c r="K12" s="83"/>
      <c r="L12" s="87">
        <f>SUM(L4:L10)</f>
        <v>0</v>
      </c>
      <c r="M12" s="88"/>
      <c r="N12" s="89"/>
      <c r="O12" s="83"/>
      <c r="P12" s="87">
        <f>SUM(P4:P10)</f>
        <v>0</v>
      </c>
      <c r="Q12" s="88"/>
      <c r="R12" s="89"/>
      <c r="S12" s="83"/>
      <c r="T12" s="87">
        <f>SUM(T4:T10)</f>
        <v>0</v>
      </c>
      <c r="U12" s="88"/>
      <c r="V12" s="89"/>
      <c r="X12" s="95">
        <f t="shared" si="0"/>
        <v>0</v>
      </c>
      <c r="Y12" s="95">
        <f t="shared" si="1"/>
        <v>0</v>
      </c>
      <c r="Z12" s="257"/>
      <c r="AA12" s="37"/>
      <c r="AB12" s="37"/>
      <c r="AC12" s="39"/>
      <c r="AD12" s="37"/>
      <c r="AE12" s="37"/>
      <c r="AF12" s="39"/>
      <c r="AG12" s="37"/>
      <c r="AH12" s="37"/>
      <c r="AI12" s="39"/>
      <c r="AJ12" s="37"/>
    </row>
    <row r="13" spans="1:54" ht="15" thickBot="1" x14ac:dyDescent="0.35">
      <c r="A13" s="21" t="s">
        <v>46</v>
      </c>
      <c r="B13" s="6">
        <v>5000</v>
      </c>
      <c r="C13" s="11" t="s">
        <v>10</v>
      </c>
      <c r="D13" s="90"/>
      <c r="E13" s="81"/>
      <c r="F13" s="82"/>
      <c r="G13" s="83"/>
      <c r="H13" s="90"/>
      <c r="I13" s="81"/>
      <c r="J13" s="82"/>
      <c r="K13" s="83"/>
      <c r="L13" s="90"/>
      <c r="M13" s="81"/>
      <c r="N13" s="82"/>
      <c r="O13" s="83"/>
      <c r="P13" s="90"/>
      <c r="Q13" s="81"/>
      <c r="R13" s="82"/>
      <c r="S13" s="83"/>
      <c r="T13" s="90"/>
      <c r="U13" s="81"/>
      <c r="V13" s="82"/>
      <c r="X13" s="288">
        <f t="shared" si="0"/>
        <v>0</v>
      </c>
      <c r="Y13" s="288">
        <f t="shared" si="1"/>
        <v>0</v>
      </c>
      <c r="Z13" s="256">
        <v>5000</v>
      </c>
      <c r="AA13" s="37"/>
      <c r="AB13" s="37"/>
      <c r="AC13" s="39"/>
      <c r="AD13" s="37"/>
      <c r="AE13" s="37"/>
      <c r="AF13" s="39"/>
      <c r="AG13" s="37"/>
      <c r="AH13" s="37"/>
      <c r="AI13" s="39"/>
      <c r="AJ13" s="37"/>
    </row>
    <row r="14" spans="1:54" hidden="1" x14ac:dyDescent="0.3">
      <c r="B14" s="6">
        <v>5001</v>
      </c>
      <c r="C14" s="11" t="s">
        <v>11</v>
      </c>
      <c r="D14" s="90"/>
      <c r="E14" s="81"/>
      <c r="F14" s="82"/>
      <c r="G14" s="83"/>
      <c r="H14" s="90"/>
      <c r="I14" s="81"/>
      <c r="J14" s="82"/>
      <c r="K14" s="83"/>
      <c r="L14" s="90"/>
      <c r="M14" s="81"/>
      <c r="N14" s="82"/>
      <c r="O14" s="83"/>
      <c r="P14" s="90"/>
      <c r="Q14" s="81"/>
      <c r="R14" s="82"/>
      <c r="S14" s="83"/>
      <c r="T14" s="90"/>
      <c r="U14" s="81"/>
      <c r="V14" s="82"/>
      <c r="X14" s="288">
        <f t="shared" si="0"/>
        <v>0</v>
      </c>
      <c r="Y14" s="288">
        <f t="shared" si="1"/>
        <v>0</v>
      </c>
      <c r="Z14" s="256">
        <v>5001</v>
      </c>
      <c r="AA14" s="37"/>
      <c r="AB14" s="37"/>
      <c r="AC14" s="39"/>
      <c r="AD14" s="37"/>
      <c r="AE14" s="37"/>
      <c r="AF14" s="39"/>
      <c r="AG14" s="37"/>
      <c r="AH14" s="37"/>
      <c r="AI14" s="39"/>
      <c r="AJ14" s="37"/>
    </row>
    <row r="15" spans="1:54" hidden="1" x14ac:dyDescent="0.3">
      <c r="B15" s="6">
        <v>5004</v>
      </c>
      <c r="C15" s="11" t="s">
        <v>12</v>
      </c>
      <c r="D15" s="90"/>
      <c r="E15" s="81"/>
      <c r="F15" s="82"/>
      <c r="G15" s="83"/>
      <c r="H15" s="90"/>
      <c r="I15" s="81"/>
      <c r="J15" s="82"/>
      <c r="K15" s="83"/>
      <c r="L15" s="90"/>
      <c r="M15" s="81"/>
      <c r="N15" s="82"/>
      <c r="O15" s="83"/>
      <c r="P15" s="90"/>
      <c r="Q15" s="81"/>
      <c r="R15" s="82"/>
      <c r="S15" s="83"/>
      <c r="T15" s="90"/>
      <c r="U15" s="81"/>
      <c r="V15" s="82"/>
      <c r="X15" s="288">
        <f t="shared" si="0"/>
        <v>0</v>
      </c>
      <c r="Y15" s="288">
        <f t="shared" si="1"/>
        <v>0</v>
      </c>
      <c r="Z15" s="256">
        <v>5004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54" hidden="1" x14ac:dyDescent="0.3">
      <c r="A16" s="10"/>
      <c r="B16" s="6">
        <v>5180</v>
      </c>
      <c r="C16" s="11" t="s">
        <v>13</v>
      </c>
      <c r="D16" s="91">
        <f>SUM(D13*0.12)</f>
        <v>0</v>
      </c>
      <c r="E16" s="81"/>
      <c r="F16" s="82"/>
      <c r="G16" s="83"/>
      <c r="H16" s="91">
        <f>SUM(H13*0.12)</f>
        <v>0</v>
      </c>
      <c r="I16" s="81"/>
      <c r="J16" s="82"/>
      <c r="K16" s="83"/>
      <c r="L16" s="91">
        <f>SUM(L13*0.12)</f>
        <v>0</v>
      </c>
      <c r="M16" s="81"/>
      <c r="N16" s="82"/>
      <c r="O16" s="83"/>
      <c r="P16" s="91">
        <f>SUM(P13*0.12)</f>
        <v>0</v>
      </c>
      <c r="Q16" s="81"/>
      <c r="R16" s="82"/>
      <c r="S16" s="83"/>
      <c r="T16" s="91">
        <f>SUM(T13*0.12)</f>
        <v>0</v>
      </c>
      <c r="U16" s="81"/>
      <c r="V16" s="82"/>
      <c r="X16" s="288">
        <f t="shared" si="0"/>
        <v>0</v>
      </c>
      <c r="Y16" s="288">
        <f t="shared" si="1"/>
        <v>0</v>
      </c>
      <c r="Z16" s="256">
        <v>5180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idden="1" x14ac:dyDescent="0.3">
      <c r="A17" s="10"/>
      <c r="B17" s="6">
        <v>5182</v>
      </c>
      <c r="C17" s="11" t="s">
        <v>14</v>
      </c>
      <c r="D17" s="91">
        <f>SUM(D16*0.141)</f>
        <v>0</v>
      </c>
      <c r="E17" s="81"/>
      <c r="F17" s="82"/>
      <c r="G17" s="83"/>
      <c r="H17" s="91">
        <f>SUM(H16*0.141)</f>
        <v>0</v>
      </c>
      <c r="I17" s="81"/>
      <c r="J17" s="82"/>
      <c r="K17" s="83"/>
      <c r="L17" s="91">
        <f>SUM(L16*0.141)</f>
        <v>0</v>
      </c>
      <c r="M17" s="81"/>
      <c r="N17" s="82"/>
      <c r="O17" s="83"/>
      <c r="P17" s="91">
        <f>SUM(P16*0.141)</f>
        <v>0</v>
      </c>
      <c r="Q17" s="81"/>
      <c r="R17" s="82"/>
      <c r="S17" s="83"/>
      <c r="T17" s="91">
        <f>SUM(T16*0.141)</f>
        <v>0</v>
      </c>
      <c r="U17" s="81"/>
      <c r="V17" s="82"/>
      <c r="X17" s="288">
        <f t="shared" si="0"/>
        <v>0</v>
      </c>
      <c r="Y17" s="288">
        <f t="shared" si="1"/>
        <v>0</v>
      </c>
      <c r="Z17" s="256">
        <v>5182</v>
      </c>
      <c r="AA17" s="37"/>
      <c r="AB17" s="37"/>
      <c r="AC17" s="39"/>
      <c r="AD17" s="37"/>
      <c r="AE17" s="37"/>
      <c r="AF17" s="39"/>
      <c r="AG17" s="37"/>
      <c r="AH17" s="37"/>
      <c r="AI17" s="39"/>
      <c r="AJ17" s="37"/>
    </row>
    <row r="18" spans="1:36" hidden="1" x14ac:dyDescent="0.3">
      <c r="A18" s="10"/>
      <c r="B18" s="6">
        <v>5211</v>
      </c>
      <c r="C18" s="11" t="s">
        <v>15</v>
      </c>
      <c r="D18" s="80"/>
      <c r="E18" s="81"/>
      <c r="F18" s="82"/>
      <c r="G18" s="83"/>
      <c r="H18" s="80"/>
      <c r="I18" s="81"/>
      <c r="J18" s="82"/>
      <c r="K18" s="83"/>
      <c r="L18" s="80"/>
      <c r="M18" s="81"/>
      <c r="N18" s="82"/>
      <c r="O18" s="83"/>
      <c r="P18" s="80"/>
      <c r="Q18" s="81"/>
      <c r="R18" s="82"/>
      <c r="S18" s="83"/>
      <c r="T18" s="80"/>
      <c r="U18" s="81"/>
      <c r="V18" s="82"/>
      <c r="X18" s="288">
        <f t="shared" si="0"/>
        <v>0</v>
      </c>
      <c r="Y18" s="288">
        <f t="shared" si="1"/>
        <v>0</v>
      </c>
      <c r="Z18" s="256">
        <v>5211</v>
      </c>
      <c r="AA18" s="37"/>
      <c r="AB18" s="37"/>
      <c r="AC18" s="39"/>
      <c r="AD18" s="37"/>
      <c r="AE18" s="37"/>
      <c r="AF18" s="39"/>
      <c r="AG18" s="37"/>
      <c r="AH18" s="37"/>
      <c r="AI18" s="39"/>
      <c r="AJ18" s="37"/>
    </row>
    <row r="19" spans="1:36" hidden="1" x14ac:dyDescent="0.3">
      <c r="A19" s="10"/>
      <c r="B19" s="6">
        <v>5230</v>
      </c>
      <c r="C19" s="11" t="s">
        <v>16</v>
      </c>
      <c r="D19" s="80"/>
      <c r="E19" s="81"/>
      <c r="F19" s="82"/>
      <c r="G19" s="83"/>
      <c r="H19" s="80"/>
      <c r="I19" s="81"/>
      <c r="J19" s="82"/>
      <c r="K19" s="83"/>
      <c r="L19" s="80"/>
      <c r="M19" s="81"/>
      <c r="N19" s="82"/>
      <c r="O19" s="83"/>
      <c r="P19" s="80"/>
      <c r="Q19" s="81"/>
      <c r="R19" s="82"/>
      <c r="S19" s="83"/>
      <c r="T19" s="80"/>
      <c r="U19" s="81"/>
      <c r="V19" s="82"/>
      <c r="X19" s="288">
        <f t="shared" si="0"/>
        <v>0</v>
      </c>
      <c r="Y19" s="288">
        <f t="shared" si="1"/>
        <v>0</v>
      </c>
      <c r="Z19" s="256">
        <v>5230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idden="1" x14ac:dyDescent="0.3">
      <c r="A20" s="10"/>
      <c r="B20" s="6">
        <v>5400</v>
      </c>
      <c r="C20" s="11" t="s">
        <v>48</v>
      </c>
      <c r="D20" s="91">
        <f>SUM((D13+D14+D15+D18+D19)*0.141)</f>
        <v>0</v>
      </c>
      <c r="E20" s="81"/>
      <c r="F20" s="82"/>
      <c r="G20" s="83"/>
      <c r="H20" s="91">
        <f>SUM((H13+H14+H15+H18+H19)*0.141)</f>
        <v>0</v>
      </c>
      <c r="I20" s="81"/>
      <c r="J20" s="82"/>
      <c r="K20" s="83"/>
      <c r="L20" s="91">
        <f>SUM((L13+L14+L15+L18+L19)*0.141)</f>
        <v>0</v>
      </c>
      <c r="M20" s="81"/>
      <c r="N20" s="82"/>
      <c r="O20" s="83"/>
      <c r="P20" s="91">
        <f>SUM((P13+P14+P15+P18+P19)*0.141)</f>
        <v>0</v>
      </c>
      <c r="Q20" s="81"/>
      <c r="R20" s="82"/>
      <c r="S20" s="83"/>
      <c r="T20" s="91">
        <f>SUM((T13+T14+T15+T18+T19)*0.141)</f>
        <v>0</v>
      </c>
      <c r="U20" s="81"/>
      <c r="V20" s="82"/>
      <c r="X20" s="288">
        <f t="shared" si="0"/>
        <v>0</v>
      </c>
      <c r="Y20" s="288">
        <f t="shared" si="1"/>
        <v>0</v>
      </c>
      <c r="Z20" s="256">
        <v>5400</v>
      </c>
      <c r="AA20" s="37"/>
      <c r="AB20" s="37"/>
      <c r="AC20" s="39"/>
      <c r="AD20" s="37"/>
      <c r="AE20" s="37"/>
      <c r="AF20" s="39"/>
      <c r="AG20" s="37"/>
      <c r="AH20" s="37"/>
      <c r="AI20" s="39"/>
      <c r="AJ20" s="37"/>
    </row>
    <row r="21" spans="1:36" hidden="1" x14ac:dyDescent="0.3">
      <c r="B21" s="22">
        <v>5990</v>
      </c>
      <c r="C21" s="53" t="s">
        <v>17</v>
      </c>
      <c r="D21" s="80"/>
      <c r="E21" s="81"/>
      <c r="F21" s="82"/>
      <c r="G21" s="83"/>
      <c r="H21" s="80"/>
      <c r="I21" s="81"/>
      <c r="J21" s="82"/>
      <c r="K21" s="83"/>
      <c r="L21" s="80"/>
      <c r="M21" s="81"/>
      <c r="N21" s="82"/>
      <c r="O21" s="83"/>
      <c r="P21" s="80"/>
      <c r="Q21" s="81"/>
      <c r="R21" s="82"/>
      <c r="S21" s="83"/>
      <c r="T21" s="80"/>
      <c r="U21" s="81"/>
      <c r="V21" s="82"/>
      <c r="X21" s="288">
        <f t="shared" si="0"/>
        <v>0</v>
      </c>
      <c r="Y21" s="288">
        <f t="shared" si="1"/>
        <v>0</v>
      </c>
      <c r="Z21" s="40">
        <v>5990</v>
      </c>
      <c r="AA21" s="37"/>
      <c r="AB21" s="37"/>
      <c r="AC21" s="39"/>
      <c r="AD21" s="37"/>
      <c r="AE21" s="37"/>
      <c r="AF21" s="39"/>
      <c r="AG21" s="37"/>
      <c r="AH21" s="37"/>
      <c r="AI21" s="39"/>
      <c r="AJ21" s="37"/>
    </row>
    <row r="22" spans="1:36" hidden="1" x14ac:dyDescent="0.3">
      <c r="B22" s="20">
        <v>6110</v>
      </c>
      <c r="C22" s="23" t="s">
        <v>50</v>
      </c>
      <c r="D22" s="80"/>
      <c r="E22" s="81"/>
      <c r="F22" s="82"/>
      <c r="G22" s="83"/>
      <c r="H22" s="80"/>
      <c r="I22" s="81"/>
      <c r="J22" s="82"/>
      <c r="K22" s="83"/>
      <c r="L22" s="80"/>
      <c r="M22" s="81"/>
      <c r="N22" s="82"/>
      <c r="O22" s="83"/>
      <c r="P22" s="80"/>
      <c r="Q22" s="81"/>
      <c r="R22" s="82"/>
      <c r="S22" s="83"/>
      <c r="T22" s="80"/>
      <c r="U22" s="81"/>
      <c r="V22" s="82"/>
      <c r="X22" s="288">
        <f t="shared" si="0"/>
        <v>0</v>
      </c>
      <c r="Y22" s="288">
        <f t="shared" si="1"/>
        <v>0</v>
      </c>
      <c r="Z22" s="50">
        <v>6110</v>
      </c>
      <c r="AA22" s="37"/>
      <c r="AB22" s="37"/>
      <c r="AC22" s="39"/>
      <c r="AD22" s="37"/>
      <c r="AE22" s="37"/>
      <c r="AF22" s="39"/>
      <c r="AG22" s="37"/>
      <c r="AH22" s="37"/>
      <c r="AI22" s="39"/>
      <c r="AJ22" s="37"/>
    </row>
    <row r="23" spans="1:36" hidden="1" x14ac:dyDescent="0.3">
      <c r="B23" s="6">
        <v>6300</v>
      </c>
      <c r="C23" s="11" t="s">
        <v>18</v>
      </c>
      <c r="D23" s="80"/>
      <c r="E23" s="81"/>
      <c r="F23" s="82"/>
      <c r="G23" s="83"/>
      <c r="H23" s="80"/>
      <c r="I23" s="81"/>
      <c r="J23" s="82"/>
      <c r="K23" s="83"/>
      <c r="L23" s="80"/>
      <c r="M23" s="81"/>
      <c r="N23" s="82"/>
      <c r="O23" s="83"/>
      <c r="P23" s="80"/>
      <c r="Q23" s="81"/>
      <c r="R23" s="82"/>
      <c r="S23" s="83"/>
      <c r="T23" s="80"/>
      <c r="U23" s="81"/>
      <c r="V23" s="82"/>
      <c r="X23" s="288">
        <f t="shared" si="0"/>
        <v>0</v>
      </c>
      <c r="Y23" s="288">
        <f t="shared" si="1"/>
        <v>0</v>
      </c>
      <c r="Z23" s="256">
        <v>6300</v>
      </c>
      <c r="AA23" s="37"/>
      <c r="AB23" s="37"/>
      <c r="AC23" s="39"/>
      <c r="AD23" s="37"/>
      <c r="AE23" s="37"/>
      <c r="AF23" s="39"/>
      <c r="AG23" s="37"/>
      <c r="AH23" s="37"/>
      <c r="AI23" s="39"/>
      <c r="AJ23" s="37"/>
    </row>
    <row r="24" spans="1:36" hidden="1" x14ac:dyDescent="0.3">
      <c r="B24" s="6">
        <v>6440</v>
      </c>
      <c r="C24" s="11" t="s">
        <v>19</v>
      </c>
      <c r="D24" s="80"/>
      <c r="E24" s="81"/>
      <c r="F24" s="82"/>
      <c r="G24" s="83"/>
      <c r="H24" s="80"/>
      <c r="I24" s="81"/>
      <c r="J24" s="82"/>
      <c r="K24" s="83"/>
      <c r="L24" s="80"/>
      <c r="M24" s="81"/>
      <c r="N24" s="82"/>
      <c r="O24" s="83"/>
      <c r="P24" s="80"/>
      <c r="Q24" s="81"/>
      <c r="R24" s="82"/>
      <c r="S24" s="83"/>
      <c r="T24" s="80"/>
      <c r="U24" s="81"/>
      <c r="V24" s="82"/>
      <c r="X24" s="288">
        <f t="shared" si="0"/>
        <v>0</v>
      </c>
      <c r="Y24" s="288">
        <f t="shared" si="1"/>
        <v>0</v>
      </c>
      <c r="Z24" s="256">
        <v>6440</v>
      </c>
      <c r="AA24" s="37"/>
      <c r="AB24" s="37"/>
      <c r="AC24" s="39"/>
      <c r="AD24" s="37"/>
      <c r="AE24" s="37"/>
      <c r="AF24" s="39"/>
      <c r="AG24" s="37"/>
      <c r="AH24" s="37"/>
      <c r="AI24" s="39"/>
      <c r="AJ24" s="37"/>
    </row>
    <row r="25" spans="1:36" hidden="1" x14ac:dyDescent="0.3">
      <c r="B25" s="6">
        <v>6540</v>
      </c>
      <c r="C25" s="11" t="s">
        <v>150</v>
      </c>
      <c r="D25" s="80"/>
      <c r="E25" s="81"/>
      <c r="F25" s="82"/>
      <c r="G25" s="83"/>
      <c r="H25" s="80"/>
      <c r="I25" s="81"/>
      <c r="J25" s="82"/>
      <c r="K25" s="83"/>
      <c r="L25" s="80">
        <v>0</v>
      </c>
      <c r="M25" s="81"/>
      <c r="N25" s="82"/>
      <c r="O25" s="83"/>
      <c r="P25" s="80"/>
      <c r="Q25" s="81"/>
      <c r="R25" s="82"/>
      <c r="S25" s="83"/>
      <c r="T25" s="80"/>
      <c r="U25" s="81"/>
      <c r="V25" s="82"/>
      <c r="X25" s="288">
        <f t="shared" si="0"/>
        <v>0</v>
      </c>
      <c r="Y25" s="288">
        <f t="shared" si="1"/>
        <v>0</v>
      </c>
      <c r="Z25" s="256">
        <v>6540</v>
      </c>
      <c r="AA25" s="37"/>
      <c r="AB25" s="37"/>
      <c r="AC25" s="39"/>
      <c r="AD25" s="37"/>
      <c r="AE25" s="37"/>
      <c r="AF25" s="39"/>
      <c r="AG25" s="37"/>
      <c r="AH25" s="37"/>
      <c r="AI25" s="39"/>
      <c r="AJ25" s="37"/>
    </row>
    <row r="26" spans="1:36" hidden="1" x14ac:dyDescent="0.3">
      <c r="B26" s="6">
        <v>6550</v>
      </c>
      <c r="C26" s="11" t="s">
        <v>20</v>
      </c>
      <c r="D26" s="80"/>
      <c r="E26" s="81"/>
      <c r="F26" s="82"/>
      <c r="G26" s="83"/>
      <c r="H26" s="80"/>
      <c r="I26" s="81"/>
      <c r="J26" s="82"/>
      <c r="K26" s="83"/>
      <c r="L26" s="80"/>
      <c r="M26" s="81"/>
      <c r="N26" s="82"/>
      <c r="O26" s="83"/>
      <c r="P26" s="80"/>
      <c r="Q26" s="81"/>
      <c r="R26" s="82"/>
      <c r="S26" s="83"/>
      <c r="T26" s="80"/>
      <c r="U26" s="81"/>
      <c r="V26" s="82"/>
      <c r="X26" s="288">
        <f t="shared" si="0"/>
        <v>0</v>
      </c>
      <c r="Y26" s="288">
        <f t="shared" si="1"/>
        <v>0</v>
      </c>
      <c r="Z26" s="256">
        <v>6550</v>
      </c>
      <c r="AA26" s="37"/>
      <c r="AB26" s="37"/>
      <c r="AC26" s="39"/>
      <c r="AD26" s="37"/>
      <c r="AE26" s="37"/>
      <c r="AF26" s="39"/>
      <c r="AG26" s="37"/>
      <c r="AH26" s="37"/>
      <c r="AI26" s="39"/>
      <c r="AJ26" s="37"/>
    </row>
    <row r="27" spans="1:36" hidden="1" x14ac:dyDescent="0.3">
      <c r="B27" s="6">
        <v>6560</v>
      </c>
      <c r="C27" s="11" t="s">
        <v>21</v>
      </c>
      <c r="D27" s="80"/>
      <c r="E27" s="81"/>
      <c r="F27" s="82"/>
      <c r="G27" s="83"/>
      <c r="H27" s="80"/>
      <c r="I27" s="81"/>
      <c r="J27" s="82"/>
      <c r="K27" s="83"/>
      <c r="L27" s="80"/>
      <c r="M27" s="81"/>
      <c r="N27" s="82"/>
      <c r="O27" s="83"/>
      <c r="P27" s="80"/>
      <c r="Q27" s="81"/>
      <c r="R27" s="82"/>
      <c r="S27" s="83"/>
      <c r="T27" s="80"/>
      <c r="U27" s="81"/>
      <c r="V27" s="82"/>
      <c r="X27" s="288">
        <f t="shared" si="0"/>
        <v>0</v>
      </c>
      <c r="Y27" s="288">
        <f t="shared" si="1"/>
        <v>0</v>
      </c>
      <c r="Z27" s="256">
        <v>6560</v>
      </c>
      <c r="AA27" s="37"/>
      <c r="AB27" s="37"/>
      <c r="AC27" s="39"/>
      <c r="AD27" s="37"/>
      <c r="AE27" s="37"/>
      <c r="AF27" s="39"/>
      <c r="AG27" s="37"/>
      <c r="AH27" s="37"/>
      <c r="AI27" s="39"/>
      <c r="AJ27" s="37"/>
    </row>
    <row r="28" spans="1:36" hidden="1" x14ac:dyDescent="0.3">
      <c r="B28" s="6">
        <v>6580</v>
      </c>
      <c r="C28" s="11" t="s">
        <v>2</v>
      </c>
      <c r="D28" s="80"/>
      <c r="E28" s="81"/>
      <c r="F28" s="82"/>
      <c r="G28" s="83"/>
      <c r="H28" s="80"/>
      <c r="I28" s="81"/>
      <c r="J28" s="82"/>
      <c r="K28" s="83"/>
      <c r="L28" s="80"/>
      <c r="M28" s="81"/>
      <c r="N28" s="82"/>
      <c r="O28" s="83"/>
      <c r="P28" s="80"/>
      <c r="Q28" s="81"/>
      <c r="R28" s="82"/>
      <c r="S28" s="83"/>
      <c r="T28" s="80"/>
      <c r="U28" s="81"/>
      <c r="V28" s="82"/>
      <c r="X28" s="288">
        <f t="shared" si="0"/>
        <v>0</v>
      </c>
      <c r="Y28" s="288">
        <f t="shared" si="1"/>
        <v>0</v>
      </c>
      <c r="Z28" s="256">
        <v>6580</v>
      </c>
      <c r="AA28" s="37"/>
      <c r="AB28" s="37"/>
      <c r="AC28" s="39"/>
      <c r="AD28" s="37"/>
      <c r="AE28" s="37"/>
      <c r="AF28" s="39"/>
      <c r="AG28" s="37"/>
      <c r="AH28" s="37"/>
      <c r="AI28" s="39"/>
      <c r="AJ28" s="37"/>
    </row>
    <row r="29" spans="1:36" hidden="1" x14ac:dyDescent="0.3">
      <c r="B29" s="6">
        <v>6800</v>
      </c>
      <c r="C29" s="11" t="s">
        <v>22</v>
      </c>
      <c r="D29" s="80"/>
      <c r="E29" s="81"/>
      <c r="F29" s="82"/>
      <c r="G29" s="83"/>
      <c r="H29" s="80"/>
      <c r="I29" s="81"/>
      <c r="J29" s="82"/>
      <c r="K29" s="83"/>
      <c r="L29" s="80"/>
      <c r="M29" s="81"/>
      <c r="N29" s="82"/>
      <c r="O29" s="83"/>
      <c r="P29" s="80"/>
      <c r="Q29" s="81"/>
      <c r="R29" s="82"/>
      <c r="S29" s="83"/>
      <c r="T29" s="80"/>
      <c r="U29" s="81"/>
      <c r="V29" s="82"/>
      <c r="X29" s="288">
        <f t="shared" si="0"/>
        <v>0</v>
      </c>
      <c r="Y29" s="288">
        <f t="shared" si="1"/>
        <v>0</v>
      </c>
      <c r="Z29" s="256">
        <v>6800</v>
      </c>
      <c r="AA29" s="37"/>
      <c r="AB29" s="37"/>
      <c r="AC29" s="39"/>
      <c r="AD29" s="37"/>
      <c r="AE29" s="37"/>
      <c r="AF29" s="39"/>
      <c r="AG29" s="37"/>
      <c r="AH29" s="37"/>
      <c r="AI29" s="39"/>
      <c r="AJ29" s="37"/>
    </row>
    <row r="30" spans="1:36" hidden="1" x14ac:dyDescent="0.3">
      <c r="B30" s="6">
        <v>6820</v>
      </c>
      <c r="C30" s="11" t="s">
        <v>23</v>
      </c>
      <c r="D30" s="80"/>
      <c r="E30" s="81"/>
      <c r="F30" s="82"/>
      <c r="G30" s="83"/>
      <c r="H30" s="80"/>
      <c r="I30" s="81"/>
      <c r="J30" s="82"/>
      <c r="K30" s="83"/>
      <c r="L30" s="80"/>
      <c r="M30" s="81"/>
      <c r="N30" s="82"/>
      <c r="O30" s="83"/>
      <c r="P30" s="80"/>
      <c r="Q30" s="81"/>
      <c r="R30" s="82"/>
      <c r="S30" s="83"/>
      <c r="T30" s="80"/>
      <c r="U30" s="81"/>
      <c r="V30" s="82"/>
      <c r="X30" s="288">
        <f t="shared" si="0"/>
        <v>0</v>
      </c>
      <c r="Y30" s="288">
        <f t="shared" si="1"/>
        <v>0</v>
      </c>
      <c r="Z30" s="256">
        <v>6820</v>
      </c>
      <c r="AA30" s="37"/>
      <c r="AB30" s="37"/>
      <c r="AC30" s="39"/>
      <c r="AD30" s="37"/>
      <c r="AE30" s="37"/>
      <c r="AF30" s="39"/>
      <c r="AG30" s="37"/>
      <c r="AH30" s="37"/>
      <c r="AI30" s="39"/>
      <c r="AJ30" s="37"/>
    </row>
    <row r="31" spans="1:36" hidden="1" x14ac:dyDescent="0.3">
      <c r="B31" s="6">
        <v>6840</v>
      </c>
      <c r="C31" s="11" t="s">
        <v>24</v>
      </c>
      <c r="D31" s="80"/>
      <c r="E31" s="81"/>
      <c r="F31" s="82"/>
      <c r="G31" s="83"/>
      <c r="H31" s="80"/>
      <c r="I31" s="81"/>
      <c r="J31" s="82"/>
      <c r="K31" s="83"/>
      <c r="L31" s="80"/>
      <c r="M31" s="81"/>
      <c r="N31" s="82"/>
      <c r="O31" s="83"/>
      <c r="P31" s="80"/>
      <c r="Q31" s="81"/>
      <c r="R31" s="82"/>
      <c r="S31" s="83"/>
      <c r="T31" s="80"/>
      <c r="U31" s="81"/>
      <c r="V31" s="82"/>
      <c r="X31" s="288">
        <f t="shared" si="0"/>
        <v>0</v>
      </c>
      <c r="Y31" s="288">
        <f t="shared" si="1"/>
        <v>0</v>
      </c>
      <c r="Z31" s="256">
        <v>6840</v>
      </c>
      <c r="AA31" s="37"/>
      <c r="AB31" s="37"/>
      <c r="AC31" s="39"/>
      <c r="AD31" s="37"/>
      <c r="AE31" s="37"/>
      <c r="AF31" s="39"/>
      <c r="AG31" s="37"/>
      <c r="AH31" s="37"/>
      <c r="AI31" s="39"/>
      <c r="AJ31" s="37"/>
    </row>
    <row r="32" spans="1:36" hidden="1" x14ac:dyDescent="0.3">
      <c r="B32" s="6">
        <v>6860</v>
      </c>
      <c r="C32" s="11" t="s">
        <v>25</v>
      </c>
      <c r="D32" s="80"/>
      <c r="E32" s="81"/>
      <c r="F32" s="82"/>
      <c r="G32" s="83"/>
      <c r="H32" s="80"/>
      <c r="I32" s="81"/>
      <c r="J32" s="82"/>
      <c r="K32" s="83"/>
      <c r="L32" s="80"/>
      <c r="M32" s="81"/>
      <c r="N32" s="82"/>
      <c r="O32" s="83"/>
      <c r="P32" s="80"/>
      <c r="Q32" s="81"/>
      <c r="R32" s="82"/>
      <c r="S32" s="83"/>
      <c r="T32" s="80"/>
      <c r="U32" s="81"/>
      <c r="V32" s="82"/>
      <c r="X32" s="288">
        <f t="shared" si="0"/>
        <v>0</v>
      </c>
      <c r="Y32" s="288">
        <f t="shared" si="1"/>
        <v>0</v>
      </c>
      <c r="Z32" s="256">
        <v>6860</v>
      </c>
      <c r="AA32" s="37"/>
      <c r="AB32" s="37"/>
      <c r="AC32" s="39"/>
      <c r="AD32" s="37"/>
      <c r="AE32" s="37"/>
      <c r="AF32" s="39"/>
      <c r="AG32" s="37"/>
      <c r="AH32" s="37"/>
      <c r="AI32" s="39"/>
      <c r="AJ32" s="37"/>
    </row>
    <row r="33" spans="2:36" hidden="1" x14ac:dyDescent="0.3">
      <c r="B33" s="6">
        <v>6910</v>
      </c>
      <c r="C33" s="11" t="s">
        <v>26</v>
      </c>
      <c r="D33" s="80"/>
      <c r="E33" s="81"/>
      <c r="F33" s="82"/>
      <c r="G33" s="83"/>
      <c r="H33" s="80"/>
      <c r="I33" s="81"/>
      <c r="J33" s="82"/>
      <c r="K33" s="83"/>
      <c r="L33" s="80"/>
      <c r="M33" s="81"/>
      <c r="N33" s="82"/>
      <c r="O33" s="83"/>
      <c r="P33" s="80"/>
      <c r="Q33" s="81"/>
      <c r="R33" s="82"/>
      <c r="S33" s="83"/>
      <c r="T33" s="80"/>
      <c r="U33" s="81"/>
      <c r="V33" s="82"/>
      <c r="X33" s="288">
        <f t="shared" si="0"/>
        <v>0</v>
      </c>
      <c r="Y33" s="288">
        <f t="shared" si="1"/>
        <v>0</v>
      </c>
      <c r="Z33" s="256">
        <v>6910</v>
      </c>
      <c r="AA33" s="37"/>
      <c r="AB33" s="37"/>
      <c r="AC33" s="39"/>
      <c r="AD33" s="37"/>
      <c r="AE33" s="37"/>
      <c r="AF33" s="39"/>
      <c r="AG33" s="37"/>
      <c r="AH33" s="37"/>
      <c r="AI33" s="39"/>
      <c r="AJ33" s="37"/>
    </row>
    <row r="34" spans="2:36" hidden="1" x14ac:dyDescent="0.3">
      <c r="B34" s="6">
        <v>6940</v>
      </c>
      <c r="C34" s="11" t="s">
        <v>49</v>
      </c>
      <c r="D34" s="80"/>
      <c r="E34" s="81"/>
      <c r="F34" s="82"/>
      <c r="G34" s="83"/>
      <c r="H34" s="80"/>
      <c r="I34" s="81"/>
      <c r="J34" s="82"/>
      <c r="K34" s="83"/>
      <c r="L34" s="80"/>
      <c r="M34" s="81"/>
      <c r="N34" s="82"/>
      <c r="O34" s="83"/>
      <c r="P34" s="80"/>
      <c r="Q34" s="81"/>
      <c r="R34" s="82"/>
      <c r="S34" s="83"/>
      <c r="T34" s="80"/>
      <c r="U34" s="81"/>
      <c r="V34" s="82"/>
      <c r="X34" s="288">
        <f t="shared" si="0"/>
        <v>0</v>
      </c>
      <c r="Y34" s="288">
        <f t="shared" si="1"/>
        <v>0</v>
      </c>
      <c r="Z34" s="256">
        <v>6940</v>
      </c>
      <c r="AA34" s="37"/>
      <c r="AB34" s="37"/>
      <c r="AC34" s="39"/>
      <c r="AD34" s="37"/>
      <c r="AE34" s="37"/>
      <c r="AF34" s="39"/>
      <c r="AG34" s="37"/>
      <c r="AH34" s="37"/>
      <c r="AI34" s="39"/>
      <c r="AJ34" s="37"/>
    </row>
    <row r="35" spans="2:36" hidden="1" x14ac:dyDescent="0.3">
      <c r="B35" s="6">
        <v>7000</v>
      </c>
      <c r="C35" s="11" t="s">
        <v>27</v>
      </c>
      <c r="D35" s="80"/>
      <c r="E35" s="81"/>
      <c r="F35" s="82"/>
      <c r="G35" s="83"/>
      <c r="H35" s="80"/>
      <c r="I35" s="81"/>
      <c r="J35" s="82"/>
      <c r="K35" s="83"/>
      <c r="L35" s="80"/>
      <c r="M35" s="81"/>
      <c r="N35" s="82"/>
      <c r="O35" s="83"/>
      <c r="P35" s="80"/>
      <c r="Q35" s="81"/>
      <c r="R35" s="82"/>
      <c r="S35" s="83"/>
      <c r="T35" s="80"/>
      <c r="U35" s="81"/>
      <c r="V35" s="82"/>
      <c r="X35" s="288">
        <f t="shared" si="0"/>
        <v>0</v>
      </c>
      <c r="Y35" s="288">
        <f t="shared" si="1"/>
        <v>0</v>
      </c>
      <c r="Z35" s="256">
        <v>7000</v>
      </c>
      <c r="AA35" s="37"/>
      <c r="AB35" s="37"/>
      <c r="AC35" s="39"/>
      <c r="AD35" s="37"/>
      <c r="AE35" s="37"/>
      <c r="AF35" s="39"/>
      <c r="AG35" s="37"/>
      <c r="AH35" s="37"/>
      <c r="AI35" s="39"/>
      <c r="AJ35" s="37"/>
    </row>
    <row r="36" spans="2:36" hidden="1" x14ac:dyDescent="0.3">
      <c r="B36" s="6">
        <v>7100</v>
      </c>
      <c r="C36" s="11" t="s">
        <v>28</v>
      </c>
      <c r="D36" s="80"/>
      <c r="E36" s="81"/>
      <c r="F36" s="82"/>
      <c r="G36" s="83"/>
      <c r="H36" s="80"/>
      <c r="I36" s="81"/>
      <c r="J36" s="82"/>
      <c r="K36" s="83"/>
      <c r="L36" s="80"/>
      <c r="M36" s="81"/>
      <c r="N36" s="82"/>
      <c r="O36" s="83"/>
      <c r="P36" s="80"/>
      <c r="Q36" s="81"/>
      <c r="R36" s="82"/>
      <c r="S36" s="83"/>
      <c r="T36" s="80"/>
      <c r="U36" s="81"/>
      <c r="V36" s="82"/>
      <c r="X36" s="288">
        <f t="shared" si="0"/>
        <v>0</v>
      </c>
      <c r="Y36" s="288">
        <f t="shared" si="1"/>
        <v>0</v>
      </c>
      <c r="Z36" s="256">
        <v>7100</v>
      </c>
      <c r="AA36" s="37"/>
      <c r="AB36" s="37"/>
      <c r="AC36" s="39"/>
      <c r="AD36" s="37"/>
      <c r="AE36" s="37"/>
      <c r="AF36" s="39"/>
      <c r="AG36" s="37"/>
      <c r="AH36" s="37"/>
      <c r="AI36" s="39"/>
      <c r="AJ36" s="37"/>
    </row>
    <row r="37" spans="2:36" hidden="1" x14ac:dyDescent="0.3">
      <c r="B37" s="6">
        <v>7101</v>
      </c>
      <c r="C37" s="11" t="s">
        <v>29</v>
      </c>
      <c r="D37" s="80"/>
      <c r="E37" s="81"/>
      <c r="F37" s="82"/>
      <c r="G37" s="83"/>
      <c r="H37" s="80"/>
      <c r="I37" s="81"/>
      <c r="J37" s="82"/>
      <c r="K37" s="83"/>
      <c r="L37" s="80"/>
      <c r="M37" s="81"/>
      <c r="N37" s="82"/>
      <c r="O37" s="83"/>
      <c r="P37" s="80"/>
      <c r="Q37" s="81"/>
      <c r="R37" s="82"/>
      <c r="S37" s="83"/>
      <c r="T37" s="80"/>
      <c r="U37" s="81"/>
      <c r="V37" s="82"/>
      <c r="X37" s="288">
        <f t="shared" si="0"/>
        <v>0</v>
      </c>
      <c r="Y37" s="288">
        <f t="shared" si="1"/>
        <v>0</v>
      </c>
      <c r="Z37" s="256">
        <v>7101</v>
      </c>
      <c r="AA37" s="37"/>
      <c r="AB37" s="37"/>
      <c r="AC37" s="39"/>
      <c r="AD37" s="37"/>
      <c r="AE37" s="37"/>
      <c r="AF37" s="39"/>
      <c r="AG37" s="37"/>
      <c r="AH37" s="37"/>
      <c r="AI37" s="39"/>
      <c r="AJ37" s="37"/>
    </row>
    <row r="38" spans="2:36" hidden="1" x14ac:dyDescent="0.3">
      <c r="B38" s="6">
        <v>7110</v>
      </c>
      <c r="C38" s="11" t="s">
        <v>30</v>
      </c>
      <c r="D38" s="80"/>
      <c r="E38" s="81"/>
      <c r="F38" s="82"/>
      <c r="G38" s="83"/>
      <c r="H38" s="80"/>
      <c r="I38" s="81"/>
      <c r="J38" s="82"/>
      <c r="K38" s="83"/>
      <c r="L38" s="80"/>
      <c r="M38" s="81"/>
      <c r="N38" s="82"/>
      <c r="O38" s="83"/>
      <c r="P38" s="80"/>
      <c r="Q38" s="81"/>
      <c r="R38" s="82"/>
      <c r="S38" s="83"/>
      <c r="T38" s="80"/>
      <c r="U38" s="81"/>
      <c r="V38" s="82"/>
      <c r="X38" s="288">
        <f t="shared" si="0"/>
        <v>0</v>
      </c>
      <c r="Y38" s="288">
        <f t="shared" si="1"/>
        <v>0</v>
      </c>
      <c r="Z38" s="256">
        <v>7110</v>
      </c>
      <c r="AA38" s="37"/>
      <c r="AB38" s="37"/>
      <c r="AC38" s="39"/>
      <c r="AD38" s="37"/>
      <c r="AE38" s="37"/>
      <c r="AF38" s="39"/>
      <c r="AG38" s="37"/>
      <c r="AH38" s="37"/>
      <c r="AI38" s="39"/>
      <c r="AJ38" s="37"/>
    </row>
    <row r="39" spans="2:36" hidden="1" x14ac:dyDescent="0.3">
      <c r="B39" s="6">
        <v>7141</v>
      </c>
      <c r="C39" s="11" t="s">
        <v>31</v>
      </c>
      <c r="D39" s="80"/>
      <c r="E39" s="81"/>
      <c r="F39" s="82"/>
      <c r="G39" s="83"/>
      <c r="H39" s="80"/>
      <c r="I39" s="81"/>
      <c r="J39" s="82"/>
      <c r="K39" s="83"/>
      <c r="L39" s="80"/>
      <c r="M39" s="81"/>
      <c r="N39" s="82"/>
      <c r="O39" s="83"/>
      <c r="P39" s="80"/>
      <c r="Q39" s="81"/>
      <c r="R39" s="82"/>
      <c r="S39" s="83"/>
      <c r="T39" s="80"/>
      <c r="U39" s="81"/>
      <c r="V39" s="82"/>
      <c r="X39" s="288">
        <f t="shared" si="0"/>
        <v>0</v>
      </c>
      <c r="Y39" s="288">
        <f t="shared" si="1"/>
        <v>0</v>
      </c>
      <c r="Z39" s="256">
        <v>7141</v>
      </c>
      <c r="AA39" s="37"/>
      <c r="AB39" s="37"/>
      <c r="AC39" s="39"/>
      <c r="AD39" s="37"/>
      <c r="AE39" s="37"/>
      <c r="AF39" s="39"/>
      <c r="AG39" s="37"/>
      <c r="AH39" s="37"/>
      <c r="AI39" s="39"/>
      <c r="AJ39" s="37"/>
    </row>
    <row r="40" spans="2:36" hidden="1" x14ac:dyDescent="0.3">
      <c r="B40" s="6">
        <v>7145</v>
      </c>
      <c r="C40" s="11" t="s">
        <v>32</v>
      </c>
      <c r="D40" s="80"/>
      <c r="E40" s="81"/>
      <c r="F40" s="82"/>
      <c r="G40" s="83"/>
      <c r="H40" s="80"/>
      <c r="I40" s="81"/>
      <c r="J40" s="82"/>
      <c r="K40" s="83"/>
      <c r="L40" s="80"/>
      <c r="M40" s="81"/>
      <c r="N40" s="82"/>
      <c r="O40" s="83"/>
      <c r="P40" s="80"/>
      <c r="Q40" s="81"/>
      <c r="R40" s="82"/>
      <c r="S40" s="83"/>
      <c r="T40" s="80"/>
      <c r="U40" s="81"/>
      <c r="V40" s="82"/>
      <c r="X40" s="288">
        <f t="shared" si="0"/>
        <v>0</v>
      </c>
      <c r="Y40" s="288">
        <f t="shared" si="1"/>
        <v>0</v>
      </c>
      <c r="Z40" s="256">
        <v>7145</v>
      </c>
      <c r="AA40" s="37"/>
      <c r="AB40" s="37"/>
      <c r="AC40" s="39"/>
      <c r="AD40" s="37"/>
      <c r="AE40" s="37"/>
      <c r="AF40" s="39"/>
      <c r="AG40" s="37"/>
      <c r="AH40" s="37"/>
      <c r="AI40" s="39"/>
      <c r="AJ40" s="37"/>
    </row>
    <row r="41" spans="2:36" hidden="1" x14ac:dyDescent="0.3">
      <c r="B41" s="6">
        <v>7162</v>
      </c>
      <c r="C41" s="11" t="s">
        <v>33</v>
      </c>
      <c r="D41" s="80"/>
      <c r="E41" s="81"/>
      <c r="F41" s="82"/>
      <c r="G41" s="83"/>
      <c r="H41" s="80"/>
      <c r="I41" s="81"/>
      <c r="J41" s="82"/>
      <c r="K41" s="83"/>
      <c r="L41" s="80"/>
      <c r="M41" s="81"/>
      <c r="N41" s="82"/>
      <c r="O41" s="83"/>
      <c r="P41" s="80"/>
      <c r="Q41" s="81"/>
      <c r="R41" s="82"/>
      <c r="S41" s="83"/>
      <c r="T41" s="80"/>
      <c r="U41" s="81"/>
      <c r="V41" s="82"/>
      <c r="X41" s="288">
        <f t="shared" si="0"/>
        <v>0</v>
      </c>
      <c r="Y41" s="288">
        <f t="shared" si="1"/>
        <v>0</v>
      </c>
      <c r="Z41" s="256">
        <v>7162</v>
      </c>
      <c r="AA41" s="37"/>
      <c r="AB41" s="37"/>
      <c r="AC41" s="39"/>
      <c r="AD41" s="37"/>
      <c r="AE41" s="37"/>
      <c r="AF41" s="39"/>
      <c r="AG41" s="37"/>
      <c r="AH41" s="37"/>
      <c r="AI41" s="39"/>
      <c r="AJ41" s="37"/>
    </row>
    <row r="42" spans="2:36" hidden="1" x14ac:dyDescent="0.3">
      <c r="B42" s="6">
        <v>7320</v>
      </c>
      <c r="C42" s="11" t="s">
        <v>34</v>
      </c>
      <c r="D42" s="80"/>
      <c r="E42" s="81"/>
      <c r="F42" s="82"/>
      <c r="G42" s="83"/>
      <c r="H42" s="80"/>
      <c r="I42" s="81"/>
      <c r="J42" s="82"/>
      <c r="K42" s="83"/>
      <c r="L42" s="80"/>
      <c r="M42" s="81"/>
      <c r="N42" s="82"/>
      <c r="O42" s="83"/>
      <c r="P42" s="80"/>
      <c r="Q42" s="81"/>
      <c r="R42" s="82"/>
      <c r="S42" s="83"/>
      <c r="T42" s="80"/>
      <c r="U42" s="81"/>
      <c r="V42" s="82"/>
      <c r="X42" s="288">
        <f t="shared" si="0"/>
        <v>0</v>
      </c>
      <c r="Y42" s="288">
        <f t="shared" si="1"/>
        <v>0</v>
      </c>
      <c r="Z42" s="256">
        <v>7320</v>
      </c>
      <c r="AA42" s="37"/>
      <c r="AB42" s="37"/>
      <c r="AC42" s="39"/>
      <c r="AD42" s="37"/>
      <c r="AE42" s="37"/>
      <c r="AF42" s="39"/>
      <c r="AG42" s="37"/>
      <c r="AH42" s="37"/>
      <c r="AI42" s="39"/>
      <c r="AJ42" s="37"/>
    </row>
    <row r="43" spans="2:36" hidden="1" x14ac:dyDescent="0.3">
      <c r="B43" s="6">
        <v>7350</v>
      </c>
      <c r="C43" s="11" t="s">
        <v>35</v>
      </c>
      <c r="D43" s="80"/>
      <c r="E43" s="81"/>
      <c r="F43" s="82"/>
      <c r="G43" s="83"/>
      <c r="H43" s="80"/>
      <c r="I43" s="81"/>
      <c r="J43" s="82"/>
      <c r="K43" s="83"/>
      <c r="L43" s="80"/>
      <c r="M43" s="81"/>
      <c r="N43" s="82"/>
      <c r="O43" s="83"/>
      <c r="P43" s="80"/>
      <c r="Q43" s="81"/>
      <c r="R43" s="82"/>
      <c r="S43" s="83"/>
      <c r="T43" s="80"/>
      <c r="U43" s="81"/>
      <c r="V43" s="82"/>
      <c r="X43" s="288">
        <f t="shared" si="0"/>
        <v>0</v>
      </c>
      <c r="Y43" s="288">
        <f t="shared" si="1"/>
        <v>0</v>
      </c>
      <c r="Z43" s="256">
        <v>7350</v>
      </c>
      <c r="AA43" s="37"/>
      <c r="AB43" s="37"/>
      <c r="AC43" s="39"/>
      <c r="AD43" s="37"/>
      <c r="AE43" s="37"/>
      <c r="AF43" s="39"/>
      <c r="AG43" s="37"/>
      <c r="AH43" s="37"/>
      <c r="AI43" s="39"/>
      <c r="AJ43" s="37"/>
    </row>
    <row r="44" spans="2:36" hidden="1" x14ac:dyDescent="0.3">
      <c r="B44" s="6">
        <v>7400</v>
      </c>
      <c r="C44" s="11" t="s">
        <v>36</v>
      </c>
      <c r="D44" s="80"/>
      <c r="E44" s="81"/>
      <c r="F44" s="82"/>
      <c r="G44" s="83"/>
      <c r="H44" s="80"/>
      <c r="I44" s="81"/>
      <c r="J44" s="82"/>
      <c r="K44" s="83"/>
      <c r="L44" s="80"/>
      <c r="M44" s="81"/>
      <c r="N44" s="82"/>
      <c r="O44" s="83"/>
      <c r="P44" s="80"/>
      <c r="Q44" s="81"/>
      <c r="R44" s="82"/>
      <c r="S44" s="83"/>
      <c r="T44" s="80"/>
      <c r="U44" s="81"/>
      <c r="V44" s="82"/>
      <c r="X44" s="288">
        <f t="shared" si="0"/>
        <v>0</v>
      </c>
      <c r="Y44" s="288">
        <f t="shared" si="1"/>
        <v>0</v>
      </c>
      <c r="Z44" s="256">
        <v>7400</v>
      </c>
      <c r="AA44" s="37"/>
      <c r="AB44" s="37"/>
      <c r="AC44" s="39"/>
      <c r="AD44" s="37"/>
      <c r="AE44" s="37"/>
      <c r="AF44" s="39"/>
      <c r="AG44" s="37"/>
      <c r="AH44" s="37"/>
      <c r="AI44" s="39"/>
      <c r="AJ44" s="37"/>
    </row>
    <row r="45" spans="2:36" hidden="1" x14ac:dyDescent="0.3">
      <c r="B45" s="6">
        <v>7411</v>
      </c>
      <c r="C45" s="11" t="s">
        <v>37</v>
      </c>
      <c r="D45" s="80"/>
      <c r="E45" s="81"/>
      <c r="F45" s="82"/>
      <c r="G45" s="83"/>
      <c r="H45" s="80"/>
      <c r="I45" s="81"/>
      <c r="J45" s="82"/>
      <c r="K45" s="83"/>
      <c r="L45" s="80"/>
      <c r="M45" s="81"/>
      <c r="N45" s="82"/>
      <c r="O45" s="83"/>
      <c r="P45" s="80"/>
      <c r="Q45" s="81"/>
      <c r="R45" s="82"/>
      <c r="S45" s="83"/>
      <c r="T45" s="80"/>
      <c r="U45" s="81"/>
      <c r="V45" s="82"/>
      <c r="X45" s="288">
        <f t="shared" si="0"/>
        <v>0</v>
      </c>
      <c r="Y45" s="288">
        <f t="shared" si="1"/>
        <v>0</v>
      </c>
      <c r="Z45" s="256">
        <v>7411</v>
      </c>
      <c r="AA45" s="37"/>
      <c r="AB45" s="37"/>
      <c r="AC45" s="39"/>
      <c r="AD45" s="37"/>
      <c r="AE45" s="37"/>
      <c r="AF45" s="39"/>
      <c r="AG45" s="37"/>
      <c r="AH45" s="37"/>
      <c r="AI45" s="39"/>
      <c r="AJ45" s="37"/>
    </row>
    <row r="46" spans="2:36" x14ac:dyDescent="0.3">
      <c r="B46" s="6">
        <v>6440</v>
      </c>
      <c r="C46" s="186" t="s">
        <v>19</v>
      </c>
      <c r="D46" s="80"/>
      <c r="E46" s="81"/>
      <c r="F46" s="82"/>
      <c r="G46" s="83"/>
      <c r="H46" s="80"/>
      <c r="I46" s="81"/>
      <c r="J46" s="82"/>
      <c r="K46" s="83"/>
      <c r="L46" s="80"/>
      <c r="M46" s="81"/>
      <c r="N46" s="82"/>
      <c r="O46" s="83"/>
      <c r="P46" s="80"/>
      <c r="Q46" s="81"/>
      <c r="R46" s="82"/>
      <c r="S46" s="83"/>
      <c r="T46" s="80"/>
      <c r="U46" s="81"/>
      <c r="V46" s="82"/>
      <c r="X46" s="289">
        <f t="shared" si="0"/>
        <v>0</v>
      </c>
      <c r="Y46" s="288">
        <f t="shared" si="1"/>
        <v>0</v>
      </c>
      <c r="Z46" s="256">
        <v>6440</v>
      </c>
      <c r="AA46" s="37"/>
      <c r="AB46" s="37"/>
      <c r="AC46" s="39"/>
      <c r="AD46" s="37"/>
      <c r="AE46" s="37"/>
      <c r="AF46" s="39"/>
      <c r="AG46" s="37"/>
      <c r="AH46" s="37"/>
      <c r="AI46" s="39"/>
      <c r="AJ46" s="37"/>
    </row>
    <row r="47" spans="2:36" ht="15" thickBot="1" x14ac:dyDescent="0.35">
      <c r="B47" s="6">
        <v>7000</v>
      </c>
      <c r="C47" s="186" t="s">
        <v>27</v>
      </c>
      <c r="D47" s="80"/>
      <c r="E47" s="81"/>
      <c r="F47" s="82"/>
      <c r="G47" s="83"/>
      <c r="H47" s="80"/>
      <c r="I47" s="81"/>
      <c r="J47" s="82"/>
      <c r="K47" s="83"/>
      <c r="L47" s="80"/>
      <c r="M47" s="81"/>
      <c r="N47" s="82"/>
      <c r="O47" s="83"/>
      <c r="P47" s="80"/>
      <c r="Q47" s="81"/>
      <c r="R47" s="82"/>
      <c r="S47" s="83"/>
      <c r="T47" s="80"/>
      <c r="U47" s="81"/>
      <c r="V47" s="82"/>
      <c r="X47" s="289">
        <f t="shared" si="0"/>
        <v>0</v>
      </c>
      <c r="Y47" s="288">
        <f t="shared" si="1"/>
        <v>0</v>
      </c>
      <c r="Z47" s="256">
        <v>7000</v>
      </c>
      <c r="AA47" s="37"/>
      <c r="AB47" s="37"/>
      <c r="AC47" s="39"/>
      <c r="AD47" s="37"/>
      <c r="AE47" s="37"/>
      <c r="AF47" s="39"/>
      <c r="AG47" s="37"/>
      <c r="AH47" s="37"/>
      <c r="AI47" s="39"/>
      <c r="AJ47" s="37"/>
    </row>
    <row r="48" spans="2:36" ht="15" thickBot="1" x14ac:dyDescent="0.35">
      <c r="B48" s="6">
        <v>7420</v>
      </c>
      <c r="C48" s="11" t="s">
        <v>38</v>
      </c>
      <c r="D48" s="80"/>
      <c r="E48" s="81"/>
      <c r="F48" s="82"/>
      <c r="G48" s="83"/>
      <c r="H48" s="80">
        <v>150000</v>
      </c>
      <c r="I48" s="93" t="s">
        <v>365</v>
      </c>
      <c r="J48" s="82"/>
      <c r="K48" s="83"/>
      <c r="L48" s="80"/>
      <c r="M48" s="81"/>
      <c r="N48" s="82"/>
      <c r="O48" s="83"/>
      <c r="P48" s="80"/>
      <c r="Q48" s="81"/>
      <c r="R48" s="82"/>
      <c r="S48" s="83"/>
      <c r="T48" s="80"/>
      <c r="U48" s="81"/>
      <c r="V48" s="82"/>
      <c r="X48" s="288">
        <f t="shared" si="0"/>
        <v>0</v>
      </c>
      <c r="Y48" s="288">
        <f t="shared" si="1"/>
        <v>150000</v>
      </c>
      <c r="Z48" s="272">
        <v>7420</v>
      </c>
      <c r="AA48" s="228" t="s">
        <v>310</v>
      </c>
      <c r="AB48" s="37"/>
      <c r="AC48" s="39"/>
      <c r="AD48" s="37"/>
      <c r="AE48" s="37"/>
      <c r="AF48" s="39"/>
      <c r="AG48" s="37"/>
      <c r="AH48" s="37"/>
      <c r="AI48" s="39"/>
      <c r="AJ48" s="37"/>
    </row>
    <row r="49" spans="2:36" ht="15" hidden="1" thickBot="1" x14ac:dyDescent="0.35">
      <c r="B49" s="6">
        <v>7425</v>
      </c>
      <c r="C49" s="11" t="s">
        <v>39</v>
      </c>
      <c r="D49" s="80"/>
      <c r="E49" s="81"/>
      <c r="F49" s="82"/>
      <c r="G49" s="83"/>
      <c r="H49" s="80"/>
      <c r="I49" s="81"/>
      <c r="J49" s="82"/>
      <c r="K49" s="83"/>
      <c r="L49" s="80"/>
      <c r="M49" s="81"/>
      <c r="N49" s="82"/>
      <c r="O49" s="83"/>
      <c r="P49" s="80"/>
      <c r="Q49" s="81"/>
      <c r="R49" s="82"/>
      <c r="S49" s="83"/>
      <c r="T49" s="80"/>
      <c r="U49" s="81"/>
      <c r="V49" s="82"/>
      <c r="X49" s="288">
        <f t="shared" si="0"/>
        <v>0</v>
      </c>
      <c r="Y49" s="288">
        <f t="shared" si="1"/>
        <v>0</v>
      </c>
      <c r="Z49" s="272">
        <v>7425</v>
      </c>
      <c r="AA49" s="230"/>
      <c r="AB49" s="37"/>
      <c r="AC49" s="39"/>
      <c r="AD49" s="37"/>
      <c r="AE49" s="37"/>
      <c r="AF49" s="39"/>
      <c r="AG49" s="37"/>
      <c r="AH49" s="37"/>
      <c r="AI49" s="39"/>
      <c r="AJ49" s="37"/>
    </row>
    <row r="50" spans="2:36" ht="15" hidden="1" thickBot="1" x14ac:dyDescent="0.35">
      <c r="B50" s="6">
        <v>7430</v>
      </c>
      <c r="C50" s="11" t="s">
        <v>40</v>
      </c>
      <c r="D50" s="80"/>
      <c r="E50" s="81"/>
      <c r="F50" s="82"/>
      <c r="G50" s="83"/>
      <c r="H50" s="80"/>
      <c r="I50" s="81"/>
      <c r="J50" s="82"/>
      <c r="K50" s="83"/>
      <c r="L50" s="80"/>
      <c r="M50" s="81"/>
      <c r="N50" s="82"/>
      <c r="O50" s="83"/>
      <c r="P50" s="80"/>
      <c r="Q50" s="81"/>
      <c r="R50" s="82"/>
      <c r="S50" s="83"/>
      <c r="T50" s="80"/>
      <c r="U50" s="81"/>
      <c r="V50" s="82"/>
      <c r="X50" s="288">
        <f t="shared" si="0"/>
        <v>0</v>
      </c>
      <c r="Y50" s="288">
        <f t="shared" si="1"/>
        <v>0</v>
      </c>
      <c r="Z50" s="272">
        <v>7430</v>
      </c>
      <c r="AA50" s="230"/>
      <c r="AB50" s="37"/>
      <c r="AC50" s="39"/>
      <c r="AD50" s="37"/>
      <c r="AE50" s="37"/>
      <c r="AF50" s="39"/>
      <c r="AG50" s="37"/>
      <c r="AH50" s="37"/>
      <c r="AI50" s="39"/>
      <c r="AJ50" s="37"/>
    </row>
    <row r="51" spans="2:36" ht="15" hidden="1" thickBot="1" x14ac:dyDescent="0.35">
      <c r="B51" s="6">
        <v>7500</v>
      </c>
      <c r="C51" s="11" t="s">
        <v>41</v>
      </c>
      <c r="D51" s="80"/>
      <c r="E51" s="81"/>
      <c r="F51" s="82"/>
      <c r="G51" s="83"/>
      <c r="H51" s="80"/>
      <c r="I51" s="81"/>
      <c r="J51" s="82"/>
      <c r="K51" s="83"/>
      <c r="L51" s="80"/>
      <c r="M51" s="81"/>
      <c r="N51" s="82"/>
      <c r="O51" s="83"/>
      <c r="P51" s="80"/>
      <c r="Q51" s="81"/>
      <c r="R51" s="82"/>
      <c r="S51" s="83"/>
      <c r="T51" s="80"/>
      <c r="U51" s="81"/>
      <c r="V51" s="82"/>
      <c r="X51" s="288">
        <f t="shared" si="0"/>
        <v>0</v>
      </c>
      <c r="Y51" s="288">
        <f t="shared" si="1"/>
        <v>0</v>
      </c>
      <c r="Z51" s="272">
        <v>7500</v>
      </c>
      <c r="AA51" s="230"/>
      <c r="AB51" s="37"/>
      <c r="AC51" s="39"/>
      <c r="AD51" s="37"/>
      <c r="AE51" s="37"/>
      <c r="AF51" s="39"/>
      <c r="AG51" s="37"/>
      <c r="AH51" s="37"/>
      <c r="AI51" s="39"/>
      <c r="AJ51" s="37"/>
    </row>
    <row r="52" spans="2:36" ht="15" hidden="1" thickBot="1" x14ac:dyDescent="0.35">
      <c r="B52" s="6">
        <v>7746</v>
      </c>
      <c r="C52" s="11" t="s">
        <v>42</v>
      </c>
      <c r="D52" s="80"/>
      <c r="E52" s="81"/>
      <c r="F52" s="82"/>
      <c r="G52" s="83"/>
      <c r="H52" s="80"/>
      <c r="I52" s="81"/>
      <c r="J52" s="82"/>
      <c r="K52" s="83"/>
      <c r="L52" s="80"/>
      <c r="M52" s="81"/>
      <c r="N52" s="82"/>
      <c r="O52" s="83"/>
      <c r="P52" s="80"/>
      <c r="Q52" s="81"/>
      <c r="R52" s="82"/>
      <c r="S52" s="83"/>
      <c r="T52" s="80"/>
      <c r="U52" s="81"/>
      <c r="V52" s="82"/>
      <c r="X52" s="288">
        <f t="shared" si="0"/>
        <v>0</v>
      </c>
      <c r="Y52" s="288">
        <f t="shared" si="1"/>
        <v>0</v>
      </c>
      <c r="Z52" s="272">
        <v>7746</v>
      </c>
      <c r="AA52" s="230"/>
      <c r="AB52" s="37"/>
      <c r="AC52" s="39"/>
      <c r="AD52" s="37"/>
      <c r="AE52" s="37"/>
      <c r="AF52" s="39"/>
      <c r="AG52" s="37"/>
      <c r="AH52" s="37"/>
      <c r="AI52" s="39"/>
      <c r="AJ52" s="37"/>
    </row>
    <row r="53" spans="2:36" ht="15" hidden="1" thickBot="1" x14ac:dyDescent="0.35">
      <c r="B53" s="6">
        <v>7770</v>
      </c>
      <c r="C53" s="11" t="s">
        <v>43</v>
      </c>
      <c r="D53" s="80"/>
      <c r="E53" s="81"/>
      <c r="F53" s="82"/>
      <c r="G53" s="83"/>
      <c r="H53" s="80"/>
      <c r="I53" s="81"/>
      <c r="J53" s="82"/>
      <c r="K53" s="83"/>
      <c r="L53" s="80"/>
      <c r="M53" s="81"/>
      <c r="N53" s="82"/>
      <c r="O53" s="83"/>
      <c r="P53" s="80"/>
      <c r="Q53" s="81"/>
      <c r="R53" s="82"/>
      <c r="S53" s="83"/>
      <c r="T53" s="80"/>
      <c r="U53" s="81"/>
      <c r="V53" s="82"/>
      <c r="X53" s="288">
        <f t="shared" si="0"/>
        <v>0</v>
      </c>
      <c r="Y53" s="288">
        <f t="shared" si="1"/>
        <v>0</v>
      </c>
      <c r="Z53" s="272">
        <v>7770</v>
      </c>
      <c r="AA53" s="230"/>
      <c r="AB53" s="37"/>
      <c r="AC53" s="39"/>
      <c r="AD53" s="37"/>
      <c r="AE53" s="37"/>
      <c r="AF53" s="39"/>
      <c r="AG53" s="37"/>
      <c r="AH53" s="37"/>
      <c r="AI53" s="39"/>
      <c r="AJ53" s="37"/>
    </row>
    <row r="54" spans="2:36" ht="15" hidden="1" thickBot="1" x14ac:dyDescent="0.35">
      <c r="B54" s="8">
        <v>7775</v>
      </c>
      <c r="C54" s="12" t="s">
        <v>44</v>
      </c>
      <c r="D54" s="84"/>
      <c r="E54" s="85"/>
      <c r="F54" s="86"/>
      <c r="G54" s="83"/>
      <c r="H54" s="84"/>
      <c r="I54" s="85"/>
      <c r="J54" s="86"/>
      <c r="K54" s="83"/>
      <c r="L54" s="84"/>
      <c r="M54" s="85"/>
      <c r="N54" s="86"/>
      <c r="O54" s="83"/>
      <c r="P54" s="84"/>
      <c r="Q54" s="85"/>
      <c r="R54" s="86"/>
      <c r="S54" s="83"/>
      <c r="T54" s="84"/>
      <c r="U54" s="85"/>
      <c r="V54" s="86"/>
      <c r="X54" s="288">
        <f t="shared" si="0"/>
        <v>0</v>
      </c>
      <c r="Y54" s="288">
        <f t="shared" si="1"/>
        <v>0</v>
      </c>
      <c r="Z54" s="199">
        <v>7775</v>
      </c>
      <c r="AA54" s="230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2:36" ht="15" thickBot="1" x14ac:dyDescent="0.35">
      <c r="B55" s="26"/>
      <c r="C55" s="27" t="s">
        <v>74</v>
      </c>
      <c r="D55" s="92">
        <f>SUM(D13:D54)</f>
        <v>0</v>
      </c>
      <c r="E55" s="92"/>
      <c r="F55" s="92">
        <f>SUM(F13:F48)</f>
        <v>0</v>
      </c>
      <c r="G55" s="83"/>
      <c r="H55" s="92">
        <f t="shared" ref="H55:T55" si="3">SUM(H13:H54)</f>
        <v>150000</v>
      </c>
      <c r="I55" s="92"/>
      <c r="J55" s="92">
        <f>SUM(J13:J48)</f>
        <v>0</v>
      </c>
      <c r="K55" s="83"/>
      <c r="L55" s="92">
        <f t="shared" si="3"/>
        <v>0</v>
      </c>
      <c r="M55" s="92"/>
      <c r="N55" s="92"/>
      <c r="O55" s="83"/>
      <c r="P55" s="92">
        <f t="shared" si="3"/>
        <v>0</v>
      </c>
      <c r="Q55" s="92"/>
      <c r="R55" s="92"/>
      <c r="S55" s="83"/>
      <c r="T55" s="92">
        <f t="shared" si="3"/>
        <v>0</v>
      </c>
      <c r="U55" s="92"/>
      <c r="V55" s="92"/>
      <c r="X55" s="95">
        <f t="shared" si="0"/>
        <v>0</v>
      </c>
      <c r="Y55" s="95">
        <f t="shared" si="1"/>
        <v>150000</v>
      </c>
      <c r="Z55" s="27"/>
      <c r="AA55" s="227">
        <f>SUM(D55+H55+L55+P55+T55)</f>
        <v>150000</v>
      </c>
      <c r="AB55" s="37"/>
      <c r="AC55" s="37"/>
      <c r="AD55" s="37"/>
      <c r="AE55" s="37"/>
      <c r="AF55" s="37"/>
      <c r="AG55" s="37"/>
      <c r="AH55" s="37"/>
      <c r="AI55" s="37"/>
      <c r="AJ55" s="37"/>
    </row>
    <row r="56" spans="2:36" ht="15" thickBot="1" x14ac:dyDescent="0.35">
      <c r="C56" s="13" t="s">
        <v>373</v>
      </c>
      <c r="D56" s="310">
        <f>D12-D55</f>
        <v>0</v>
      </c>
      <c r="E56" s="310"/>
      <c r="F56" s="310">
        <f t="shared" ref="F56" si="4">F12-F55</f>
        <v>0</v>
      </c>
      <c r="G56" s="313"/>
      <c r="H56" s="310">
        <f>H12-H55</f>
        <v>-150000</v>
      </c>
      <c r="I56" s="310"/>
      <c r="J56" s="310">
        <f t="shared" ref="J56" si="5">J12-J55</f>
        <v>0</v>
      </c>
      <c r="K56" s="313"/>
      <c r="L56" s="310">
        <f>L12-L55</f>
        <v>0</v>
      </c>
      <c r="M56" s="310"/>
      <c r="N56" s="310"/>
      <c r="O56" s="313"/>
      <c r="P56" s="310">
        <f t="shared" ref="P56" si="6">P12-P55</f>
        <v>0</v>
      </c>
      <c r="Q56" s="310"/>
      <c r="R56" s="310"/>
      <c r="S56" s="313"/>
      <c r="T56" s="310">
        <f t="shared" ref="T56" si="7">T12-T55</f>
        <v>0</v>
      </c>
      <c r="U56" s="310"/>
      <c r="V56" s="310"/>
      <c r="W56" s="313"/>
      <c r="X56" s="319">
        <f t="shared" si="0"/>
        <v>0</v>
      </c>
      <c r="Y56" s="319">
        <f t="shared" si="1"/>
        <v>-150000</v>
      </c>
      <c r="Z56" s="98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2:36" x14ac:dyDescent="0.3"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</row>
  </sheetData>
  <sheetProtection algorithmName="SHA-512" hashValue="2mRfhAmLEbxbLvfUskZWNc3iNaTcArxI/GcqvJuknl45H8eNvR6a9UqveDkNyGyLS7E68ERPWJscLUM159X9FA==" saltValue="DB8/lvfv1XyGkyiSxuDELA==" spinCount="100000" sheet="1" selectLockedCells="1"/>
  <protectedRanges>
    <protectedRange sqref="AC17 AF17 AI17" name="Område2_2_1"/>
    <protectedRange password="8B3B" sqref="AC19 AF19 AI19" name="Område1_2_1"/>
    <protectedRange sqref="D18 H18:I18 L18:M18 P18:Q18 T18:U18" name="Område2_2_2"/>
    <protectedRange password="8B3B" sqref="D20 H20:I20 L20:M20 P20:Q20 T20:U20" name="Område1_2_2"/>
  </protectedRanges>
  <mergeCells count="7">
    <mergeCell ref="B2:C2"/>
    <mergeCell ref="E1:F1"/>
    <mergeCell ref="I1:J1"/>
    <mergeCell ref="Q1:R1"/>
    <mergeCell ref="U1:V1"/>
    <mergeCell ref="B1:C1"/>
    <mergeCell ref="M1:N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="85" zoomScaleNormal="85" workbookViewId="0">
      <selection activeCell="B13" sqref="B13"/>
    </sheetView>
  </sheetViews>
  <sheetFormatPr baseColWidth="10" defaultColWidth="11.5546875" defaultRowHeight="14.4" x14ac:dyDescent="0.3"/>
  <cols>
    <col min="1" max="1" width="40.88671875" bestFit="1" customWidth="1"/>
    <col min="2" max="2" width="21.5546875" bestFit="1" customWidth="1"/>
    <col min="3" max="3" width="40.109375" bestFit="1" customWidth="1"/>
    <col min="4" max="4" width="22.109375" customWidth="1"/>
    <col min="5" max="5" width="15.109375" bestFit="1" customWidth="1"/>
    <col min="6" max="6" width="14.44140625" bestFit="1" customWidth="1"/>
    <col min="7" max="7" width="19.44140625" bestFit="1" customWidth="1"/>
    <col min="8" max="8" width="14" bestFit="1" customWidth="1"/>
    <col min="9" max="9" width="19.88671875" bestFit="1" customWidth="1"/>
    <col min="10" max="10" width="14.88671875" bestFit="1" customWidth="1"/>
    <col min="11" max="12" width="15.44140625" bestFit="1" customWidth="1"/>
  </cols>
  <sheetData>
    <row r="1" spans="1:13" x14ac:dyDescent="0.3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5" thickBot="1" x14ac:dyDescent="0.35">
      <c r="A2" s="65" t="s">
        <v>190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x14ac:dyDescent="0.3">
      <c r="A3" s="102" t="s">
        <v>191</v>
      </c>
      <c r="B3" s="102" t="s">
        <v>225</v>
      </c>
      <c r="C3" s="102" t="s">
        <v>226</v>
      </c>
      <c r="D3" s="102" t="s">
        <v>257</v>
      </c>
      <c r="E3" s="102" t="s">
        <v>192</v>
      </c>
      <c r="F3" s="102" t="s">
        <v>177</v>
      </c>
      <c r="G3" s="102" t="s">
        <v>212</v>
      </c>
      <c r="H3" s="102" t="s">
        <v>195</v>
      </c>
      <c r="I3" s="102" t="s">
        <v>254</v>
      </c>
      <c r="J3" s="102" t="s">
        <v>256</v>
      </c>
      <c r="K3" s="102" t="s">
        <v>196</v>
      </c>
      <c r="L3" s="102" t="s">
        <v>255</v>
      </c>
    </row>
    <row r="4" spans="1:13" ht="15" thickBot="1" x14ac:dyDescent="0.35">
      <c r="A4" s="103">
        <f>SUM(B4:L4)</f>
        <v>2057000</v>
      </c>
      <c r="B4" s="103">
        <v>730000</v>
      </c>
      <c r="C4" s="103">
        <v>200000</v>
      </c>
      <c r="D4" s="103">
        <v>500000</v>
      </c>
      <c r="E4" s="103">
        <v>200000</v>
      </c>
      <c r="F4" s="103">
        <v>2000</v>
      </c>
      <c r="G4" s="103">
        <v>100000</v>
      </c>
      <c r="H4" s="103">
        <v>19000</v>
      </c>
      <c r="I4" s="103">
        <v>186000</v>
      </c>
      <c r="J4" s="103">
        <f>61000-15000</f>
        <v>46000</v>
      </c>
      <c r="K4" s="103">
        <v>0</v>
      </c>
      <c r="L4" s="103">
        <v>74000</v>
      </c>
    </row>
    <row r="5" spans="1:13" x14ac:dyDescent="0.3">
      <c r="A5" s="329" t="s">
        <v>200</v>
      </c>
      <c r="B5" s="329"/>
      <c r="C5" s="329"/>
      <c r="D5" s="329"/>
      <c r="E5" s="329"/>
      <c r="F5" s="329"/>
      <c r="G5" s="329"/>
    </row>
    <row r="6" spans="1:13" x14ac:dyDescent="0.3">
      <c r="A6" s="330"/>
      <c r="B6" s="330"/>
      <c r="C6" s="330"/>
      <c r="D6" s="330"/>
      <c r="E6" s="330"/>
      <c r="F6" s="330"/>
      <c r="G6" s="330"/>
    </row>
    <row r="8" spans="1:13" ht="15" thickBot="1" x14ac:dyDescent="0.35"/>
    <row r="9" spans="1:13" ht="29.4" thickBot="1" x14ac:dyDescent="0.35">
      <c r="A9" s="104"/>
      <c r="B9" s="105" t="s">
        <v>172</v>
      </c>
      <c r="C9" s="106" t="s">
        <v>87</v>
      </c>
      <c r="D9" s="106" t="s">
        <v>90</v>
      </c>
      <c r="E9" s="106" t="s">
        <v>93</v>
      </c>
      <c r="F9" s="106" t="s">
        <v>95</v>
      </c>
      <c r="G9" s="107" t="s">
        <v>98</v>
      </c>
      <c r="H9" s="107" t="s">
        <v>102</v>
      </c>
      <c r="I9" s="106" t="s">
        <v>105</v>
      </c>
      <c r="J9" s="108" t="s">
        <v>106</v>
      </c>
      <c r="K9" s="104"/>
      <c r="L9" s="104"/>
      <c r="M9" s="104"/>
    </row>
    <row r="10" spans="1:13" ht="15" thickBot="1" x14ac:dyDescent="0.35">
      <c r="B10" s="109" t="s">
        <v>181</v>
      </c>
      <c r="C10" s="109" t="s">
        <v>182</v>
      </c>
      <c r="D10" s="109" t="s">
        <v>183</v>
      </c>
      <c r="E10" s="109" t="s">
        <v>184</v>
      </c>
      <c r="F10" s="109" t="s">
        <v>185</v>
      </c>
      <c r="G10" s="109" t="s">
        <v>186</v>
      </c>
      <c r="H10" s="109" t="s">
        <v>189</v>
      </c>
      <c r="I10" s="109" t="s">
        <v>187</v>
      </c>
      <c r="J10" s="118" t="s">
        <v>188</v>
      </c>
      <c r="K10" s="47" t="s">
        <v>191</v>
      </c>
    </row>
    <row r="11" spans="1:13" ht="15" thickBot="1" x14ac:dyDescent="0.35">
      <c r="A11" s="110" t="s">
        <v>197</v>
      </c>
      <c r="B11" s="111" t="e">
        <f>'Sammendrag Prosjektplan'!#REF!</f>
        <v>#REF!</v>
      </c>
      <c r="C11" s="111" t="e">
        <f>'Sammendrag Prosjektplan'!#REF!</f>
        <v>#REF!</v>
      </c>
      <c r="D11" s="111" t="e">
        <f>'Sammendrag Prosjektplan'!#REF!</f>
        <v>#REF!</v>
      </c>
      <c r="E11" s="111" t="e">
        <f>'Sammendrag Prosjektplan'!#REF!</f>
        <v>#REF!</v>
      </c>
      <c r="F11" s="111" t="e">
        <f>'Sammendrag Prosjektplan'!#REF!</f>
        <v>#REF!</v>
      </c>
      <c r="G11" s="111" t="e">
        <f>'Sammendrag Prosjektplan'!#REF!</f>
        <v>#REF!</v>
      </c>
      <c r="H11" s="111" t="e">
        <f>'Sammendrag Prosjektplan'!#REF!</f>
        <v>#REF!</v>
      </c>
      <c r="I11" s="111" t="e">
        <f>'Sammendrag Prosjektplan'!#REF!</f>
        <v>#REF!</v>
      </c>
      <c r="J11" s="119" t="e">
        <f>'Sammendrag Prosjektplan'!#REF!</f>
        <v>#REF!</v>
      </c>
      <c r="K11" s="120" t="e">
        <f>SUM(B11:J11)</f>
        <v>#REF!</v>
      </c>
      <c r="L11" s="79"/>
    </row>
    <row r="12" spans="1:13" ht="15" thickBot="1" x14ac:dyDescent="0.35">
      <c r="K12" s="112"/>
    </row>
    <row r="13" spans="1:13" ht="15" thickBot="1" x14ac:dyDescent="0.35">
      <c r="A13" s="102" t="s">
        <v>225</v>
      </c>
      <c r="B13" s="79">
        <v>425000</v>
      </c>
      <c r="C13" s="79">
        <v>11000</v>
      </c>
      <c r="D13" s="79">
        <v>94000</v>
      </c>
      <c r="E13" s="79" t="s">
        <v>198</v>
      </c>
      <c r="F13" s="79"/>
      <c r="G13" s="79" t="s">
        <v>198</v>
      </c>
      <c r="H13" s="79">
        <v>200000</v>
      </c>
      <c r="I13" s="79"/>
      <c r="J13" s="79" t="s">
        <v>198</v>
      </c>
      <c r="K13" s="121">
        <f>SUM(B13:J13)</f>
        <v>730000</v>
      </c>
      <c r="L13" s="79"/>
    </row>
    <row r="14" spans="1:13" ht="15" thickBot="1" x14ac:dyDescent="0.35">
      <c r="A14" s="102" t="s">
        <v>226</v>
      </c>
      <c r="B14" s="79"/>
      <c r="C14" s="79"/>
      <c r="D14" s="79" t="s">
        <v>198</v>
      </c>
      <c r="E14" s="79" t="s">
        <v>198</v>
      </c>
      <c r="F14" s="79"/>
      <c r="G14" s="79" t="s">
        <v>198</v>
      </c>
      <c r="H14" s="79"/>
      <c r="I14" s="79">
        <v>200000</v>
      </c>
      <c r="J14" s="79"/>
      <c r="K14" s="121">
        <f t="shared" ref="K14:K24" si="0">SUM(B14:J14)</f>
        <v>200000</v>
      </c>
      <c r="L14" s="79"/>
    </row>
    <row r="15" spans="1:13" ht="15" thickBot="1" x14ac:dyDescent="0.35">
      <c r="A15" s="102" t="s">
        <v>144</v>
      </c>
      <c r="B15" s="79"/>
      <c r="C15" s="79"/>
      <c r="D15" s="79"/>
      <c r="E15" s="79">
        <v>61000</v>
      </c>
      <c r="F15" s="79"/>
      <c r="G15" s="79">
        <v>259000</v>
      </c>
      <c r="H15" s="79"/>
      <c r="I15" s="79">
        <v>180000</v>
      </c>
      <c r="J15" s="79"/>
      <c r="K15" s="121">
        <f t="shared" si="0"/>
        <v>500000</v>
      </c>
      <c r="L15" s="79"/>
    </row>
    <row r="16" spans="1:13" ht="15" thickBot="1" x14ac:dyDescent="0.35">
      <c r="A16" s="102" t="s">
        <v>192</v>
      </c>
      <c r="B16" s="79"/>
      <c r="C16" s="79"/>
      <c r="D16" s="79"/>
      <c r="E16" s="79">
        <v>200000</v>
      </c>
      <c r="F16" s="79" t="s">
        <v>198</v>
      </c>
      <c r="G16" s="79" t="s">
        <v>198</v>
      </c>
      <c r="H16" s="79"/>
      <c r="I16" s="79" t="s">
        <v>198</v>
      </c>
      <c r="J16" s="79"/>
      <c r="K16" s="121">
        <f t="shared" si="0"/>
        <v>200000</v>
      </c>
      <c r="L16" s="79"/>
    </row>
    <row r="17" spans="1:12" ht="15" thickBot="1" x14ac:dyDescent="0.35">
      <c r="A17" s="102" t="s">
        <v>193</v>
      </c>
      <c r="B17" s="79"/>
      <c r="C17" s="79"/>
      <c r="D17" s="79"/>
      <c r="E17" s="79">
        <v>2000</v>
      </c>
      <c r="F17" s="79"/>
      <c r="G17" s="79"/>
      <c r="H17" s="79"/>
      <c r="I17" s="79"/>
      <c r="J17" s="79"/>
      <c r="K17" s="121">
        <f t="shared" si="0"/>
        <v>2000</v>
      </c>
      <c r="L17" s="79"/>
    </row>
    <row r="18" spans="1:12" ht="15" thickBot="1" x14ac:dyDescent="0.35">
      <c r="A18" s="102" t="s">
        <v>194</v>
      </c>
      <c r="B18" s="79"/>
      <c r="C18" s="79"/>
      <c r="D18" s="79" t="s">
        <v>198</v>
      </c>
      <c r="E18" s="79"/>
      <c r="F18" s="79">
        <v>74000</v>
      </c>
      <c r="G18" s="79"/>
      <c r="H18" s="79">
        <v>21000</v>
      </c>
      <c r="I18" s="79"/>
      <c r="J18" s="79"/>
      <c r="K18" s="121">
        <f t="shared" si="0"/>
        <v>95000</v>
      </c>
      <c r="L18" s="79"/>
    </row>
    <row r="19" spans="1:12" ht="15" thickBot="1" x14ac:dyDescent="0.35">
      <c r="A19" s="102" t="s">
        <v>195</v>
      </c>
      <c r="B19" s="79">
        <v>19000</v>
      </c>
      <c r="C19" s="79" t="s">
        <v>198</v>
      </c>
      <c r="D19" s="79" t="s">
        <v>198</v>
      </c>
      <c r="E19" s="79" t="s">
        <v>198</v>
      </c>
      <c r="F19" s="79" t="s">
        <v>198</v>
      </c>
      <c r="G19" s="79" t="s">
        <v>198</v>
      </c>
      <c r="H19" s="79" t="s">
        <v>198</v>
      </c>
      <c r="I19" s="79" t="s">
        <v>198</v>
      </c>
      <c r="J19" s="79" t="s">
        <v>198</v>
      </c>
      <c r="K19" s="121">
        <f t="shared" si="0"/>
        <v>19000</v>
      </c>
      <c r="L19" s="79"/>
    </row>
    <row r="20" spans="1:12" ht="15" thickBot="1" x14ac:dyDescent="0.35">
      <c r="A20" s="102" t="s">
        <v>254</v>
      </c>
      <c r="B20" s="79"/>
      <c r="C20" s="79"/>
      <c r="D20" s="79"/>
      <c r="E20" s="79"/>
      <c r="F20" s="79"/>
      <c r="G20" s="79"/>
      <c r="H20" s="79">
        <v>186000</v>
      </c>
      <c r="I20" s="79"/>
      <c r="J20" s="79"/>
      <c r="K20" s="121">
        <f t="shared" si="0"/>
        <v>186000</v>
      </c>
      <c r="L20" s="79"/>
    </row>
    <row r="21" spans="1:12" ht="15" thickBot="1" x14ac:dyDescent="0.35">
      <c r="A21" s="102" t="s">
        <v>256</v>
      </c>
      <c r="B21" s="79">
        <v>3000</v>
      </c>
      <c r="C21" s="79" t="s">
        <v>198</v>
      </c>
      <c r="D21" s="79" t="s">
        <v>198</v>
      </c>
      <c r="E21" s="79">
        <v>20000</v>
      </c>
      <c r="F21" s="79" t="s">
        <v>198</v>
      </c>
      <c r="G21" s="79">
        <v>23000</v>
      </c>
      <c r="H21" s="79" t="s">
        <v>198</v>
      </c>
      <c r="I21" s="79" t="s">
        <v>198</v>
      </c>
      <c r="J21" s="79" t="s">
        <v>198</v>
      </c>
      <c r="K21" s="121">
        <f t="shared" si="0"/>
        <v>46000</v>
      </c>
      <c r="L21" s="79"/>
    </row>
    <row r="22" spans="1:12" ht="15" thickBot="1" x14ac:dyDescent="0.35">
      <c r="A22" s="102" t="s">
        <v>196</v>
      </c>
      <c r="B22" s="79" t="s">
        <v>198</v>
      </c>
      <c r="C22" s="79"/>
      <c r="D22" s="79">
        <v>0</v>
      </c>
      <c r="E22" s="79" t="s">
        <v>198</v>
      </c>
      <c r="F22" s="79" t="s">
        <v>198</v>
      </c>
      <c r="G22" s="79" t="s">
        <v>198</v>
      </c>
      <c r="H22" s="79" t="s">
        <v>198</v>
      </c>
      <c r="I22" s="79" t="s">
        <v>198</v>
      </c>
      <c r="J22" s="79" t="s">
        <v>198</v>
      </c>
      <c r="K22" s="112">
        <f t="shared" si="0"/>
        <v>0</v>
      </c>
      <c r="L22" s="79"/>
    </row>
    <row r="23" spans="1:12" ht="15" thickBot="1" x14ac:dyDescent="0.35">
      <c r="A23" s="102" t="s">
        <v>255</v>
      </c>
      <c r="B23" s="79"/>
      <c r="C23" s="79"/>
      <c r="D23" s="79"/>
      <c r="E23" s="79"/>
      <c r="F23" s="79"/>
      <c r="G23" s="79"/>
      <c r="H23" s="79"/>
      <c r="I23" s="79">
        <v>74000</v>
      </c>
      <c r="J23" s="79"/>
      <c r="K23" s="121">
        <f t="shared" si="0"/>
        <v>74000</v>
      </c>
      <c r="L23" s="79"/>
    </row>
    <row r="24" spans="1:12" ht="15" thickBot="1" x14ac:dyDescent="0.35">
      <c r="A24" s="102" t="s">
        <v>199</v>
      </c>
      <c r="B24" s="79">
        <v>34000</v>
      </c>
      <c r="C24" s="79">
        <v>2000</v>
      </c>
      <c r="D24" s="79">
        <v>18000</v>
      </c>
      <c r="E24" s="79">
        <v>45000</v>
      </c>
      <c r="F24" s="79">
        <v>0</v>
      </c>
      <c r="G24" s="79"/>
      <c r="H24" s="79">
        <v>24000</v>
      </c>
      <c r="I24" s="79">
        <v>22000</v>
      </c>
      <c r="J24" s="79">
        <v>250000</v>
      </c>
      <c r="K24" s="123">
        <f t="shared" si="0"/>
        <v>395000</v>
      </c>
      <c r="L24" s="79"/>
    </row>
    <row r="25" spans="1:12" ht="15" thickBot="1" x14ac:dyDescent="0.35">
      <c r="A25" s="47" t="s">
        <v>191</v>
      </c>
      <c r="B25" s="122">
        <f t="shared" ref="B25:I25" si="1">SUM(B12:B24)</f>
        <v>481000</v>
      </c>
      <c r="C25" s="122">
        <f t="shared" si="1"/>
        <v>13000</v>
      </c>
      <c r="D25" s="122">
        <f t="shared" si="1"/>
        <v>112000</v>
      </c>
      <c r="E25" s="122">
        <f t="shared" si="1"/>
        <v>328000</v>
      </c>
      <c r="F25" s="122">
        <f t="shared" si="1"/>
        <v>74000</v>
      </c>
      <c r="G25" s="122">
        <f t="shared" si="1"/>
        <v>282000</v>
      </c>
      <c r="H25" s="122">
        <f t="shared" si="1"/>
        <v>431000</v>
      </c>
      <c r="I25" s="122">
        <f t="shared" si="1"/>
        <v>476000</v>
      </c>
      <c r="J25" s="122">
        <f>SUM(J12:J24)</f>
        <v>250000</v>
      </c>
      <c r="K25" s="79"/>
      <c r="L25" s="79"/>
    </row>
    <row r="27" spans="1:12" x14ac:dyDescent="0.3">
      <c r="K27" s="79"/>
      <c r="L27" s="79"/>
    </row>
    <row r="28" spans="1:12" x14ac:dyDescent="0.3">
      <c r="A28" s="330" t="s">
        <v>201</v>
      </c>
      <c r="B28" s="330"/>
      <c r="C28" s="330"/>
      <c r="D28" s="330"/>
      <c r="E28" s="330"/>
    </row>
    <row r="29" spans="1:12" x14ac:dyDescent="0.3">
      <c r="A29" s="330"/>
      <c r="B29" s="330"/>
      <c r="C29" s="330"/>
      <c r="D29" s="330"/>
      <c r="E29" s="330"/>
    </row>
    <row r="30" spans="1:12" x14ac:dyDescent="0.3">
      <c r="A30" s="330"/>
      <c r="B30" s="330"/>
      <c r="C30" s="330"/>
      <c r="D30" s="330"/>
      <c r="E30" s="330"/>
    </row>
  </sheetData>
  <sheetProtection algorithmName="SHA-512" hashValue="3WM2VfsMgiqSMOpKRjJlmwcdaJAy5pctGWsFkF7kdX7kIZcPcfJzaFAmcLZhtmRIYqS11pYlFTsP4ineKoe/Hg==" saltValue="Na4IQUnzTr+/FFd6gzmnig==" spinCount="100000" sheet="1" objects="1" scenarios="1"/>
  <mergeCells count="2">
    <mergeCell ref="A5:G6"/>
    <mergeCell ref="A28:E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8"/>
  <sheetViews>
    <sheetView zoomScale="70" zoomScaleNormal="70" workbookViewId="0">
      <pane xSplit="3" ySplit="5" topLeftCell="H38" activePane="bottomRight" state="frozen"/>
      <selection pane="topRight" activeCell="D1" sqref="D1"/>
      <selection pane="bottomLeft" activeCell="A6" sqref="A6"/>
      <selection pane="bottomRight" activeCell="X4" sqref="X4"/>
    </sheetView>
  </sheetViews>
  <sheetFormatPr baseColWidth="10" defaultColWidth="11.5546875" defaultRowHeight="14.4" x14ac:dyDescent="0.3"/>
  <cols>
    <col min="1" max="1" width="22.44140625" style="104" bestFit="1" customWidth="1"/>
    <col min="2" max="2" width="7.44140625" bestFit="1" customWidth="1"/>
    <col min="3" max="3" width="23.5546875" style="104" customWidth="1"/>
    <col min="4" max="4" width="15" bestFit="1" customWidth="1"/>
    <col min="5" max="5" width="17.44140625" bestFit="1" customWidth="1"/>
    <col min="6" max="6" width="13.44140625" bestFit="1" customWidth="1"/>
    <col min="7" max="7" width="17.5546875" customWidth="1"/>
    <col min="8" max="8" width="12.5546875" bestFit="1" customWidth="1"/>
    <col min="9" max="9" width="17.44140625" bestFit="1" customWidth="1"/>
    <col min="10" max="10" width="13.44140625" bestFit="1" customWidth="1"/>
    <col min="11" max="11" width="19.109375" customWidth="1"/>
    <col min="12" max="12" width="13.44140625" bestFit="1" customWidth="1"/>
    <col min="13" max="13" width="20.5546875" customWidth="1"/>
    <col min="14" max="14" width="13.44140625" bestFit="1" customWidth="1"/>
    <col min="15" max="15" width="19.109375" customWidth="1"/>
    <col min="16" max="16" width="10.88671875" bestFit="1" customWidth="1"/>
    <col min="17" max="17" width="16.88671875" customWidth="1"/>
    <col min="18" max="18" width="10.88671875" bestFit="1" customWidth="1"/>
    <col min="19" max="19" width="15.44140625" customWidth="1"/>
    <col min="20" max="20" width="14.44140625" bestFit="1" customWidth="1"/>
  </cols>
  <sheetData>
    <row r="1" spans="1:25" x14ac:dyDescent="0.3">
      <c r="A1" s="153"/>
      <c r="B1" s="341" t="s">
        <v>76</v>
      </c>
      <c r="C1" s="341"/>
    </row>
    <row r="2" spans="1:25" ht="15" thickBot="1" x14ac:dyDescent="0.35">
      <c r="A2" s="154"/>
      <c r="B2" s="341" t="s">
        <v>75</v>
      </c>
      <c r="C2" s="341"/>
    </row>
    <row r="3" spans="1:25" x14ac:dyDescent="0.3">
      <c r="D3" s="51" t="s">
        <v>1</v>
      </c>
      <c r="E3" s="52"/>
      <c r="F3" s="56" t="s">
        <v>117</v>
      </c>
      <c r="G3" s="56"/>
      <c r="H3" s="51" t="s">
        <v>118</v>
      </c>
      <c r="I3" s="52"/>
      <c r="J3" s="56" t="s">
        <v>133</v>
      </c>
      <c r="K3" s="56"/>
      <c r="L3" s="51" t="s">
        <v>133</v>
      </c>
      <c r="M3" s="52"/>
      <c r="N3" s="51" t="s">
        <v>133</v>
      </c>
      <c r="O3" s="52"/>
      <c r="P3" s="51" t="s">
        <v>105</v>
      </c>
      <c r="Q3" s="52"/>
      <c r="R3" s="51" t="s">
        <v>105</v>
      </c>
      <c r="S3" s="52"/>
      <c r="U3" s="51" t="s">
        <v>260</v>
      </c>
      <c r="V3" s="52"/>
    </row>
    <row r="4" spans="1:25" s="104" customFormat="1" ht="29.4" thickBot="1" x14ac:dyDescent="0.35">
      <c r="D4" s="135">
        <v>10000</v>
      </c>
      <c r="E4" s="136" t="s">
        <v>85</v>
      </c>
      <c r="F4" s="137">
        <v>40000</v>
      </c>
      <c r="G4" s="137" t="s">
        <v>85</v>
      </c>
      <c r="H4" s="135">
        <v>60000</v>
      </c>
      <c r="I4" s="136" t="s">
        <v>85</v>
      </c>
      <c r="J4" s="137">
        <v>71000</v>
      </c>
      <c r="K4" s="137" t="s">
        <v>261</v>
      </c>
      <c r="L4" s="135">
        <v>71100</v>
      </c>
      <c r="M4" s="136" t="s">
        <v>205</v>
      </c>
      <c r="N4" s="135">
        <v>71200</v>
      </c>
      <c r="O4" s="136" t="s">
        <v>280</v>
      </c>
      <c r="P4" s="135">
        <v>81000</v>
      </c>
      <c r="Q4" s="136" t="s">
        <v>119</v>
      </c>
      <c r="R4" s="135">
        <v>82000</v>
      </c>
      <c r="S4" s="136" t="s">
        <v>120</v>
      </c>
      <c r="U4" s="135"/>
      <c r="V4" s="136"/>
    </row>
    <row r="5" spans="1:25" ht="15" thickBot="1" x14ac:dyDescent="0.35">
      <c r="A5" s="155" t="s">
        <v>113</v>
      </c>
      <c r="B5" s="54" t="s">
        <v>0</v>
      </c>
      <c r="C5" s="157" t="s">
        <v>122</v>
      </c>
      <c r="D5" s="55" t="s">
        <v>121</v>
      </c>
      <c r="E5" s="59" t="s">
        <v>124</v>
      </c>
      <c r="F5" s="57" t="s">
        <v>121</v>
      </c>
      <c r="G5" s="59" t="s">
        <v>124</v>
      </c>
      <c r="H5" s="55" t="s">
        <v>121</v>
      </c>
      <c r="I5" s="59" t="s">
        <v>124</v>
      </c>
      <c r="J5" s="57" t="s">
        <v>121</v>
      </c>
      <c r="K5" s="59" t="s">
        <v>124</v>
      </c>
      <c r="L5" s="57" t="s">
        <v>121</v>
      </c>
      <c r="M5" s="59" t="s">
        <v>124</v>
      </c>
      <c r="N5" s="57" t="s">
        <v>121</v>
      </c>
      <c r="O5" s="59" t="s">
        <v>124</v>
      </c>
      <c r="P5" s="55" t="s">
        <v>121</v>
      </c>
      <c r="Q5" s="59" t="s">
        <v>124</v>
      </c>
      <c r="R5" s="55" t="s">
        <v>121</v>
      </c>
      <c r="S5" s="59" t="s">
        <v>124</v>
      </c>
      <c r="T5" s="61" t="s">
        <v>123</v>
      </c>
    </row>
    <row r="6" spans="1:25" x14ac:dyDescent="0.3">
      <c r="A6" s="242" t="s">
        <v>114</v>
      </c>
      <c r="B6" s="243"/>
      <c r="C6" s="244"/>
      <c r="D6" s="144"/>
      <c r="E6" s="245"/>
      <c r="F6" s="144"/>
      <c r="G6" s="245"/>
      <c r="H6" s="144"/>
      <c r="I6" s="245"/>
      <c r="J6" s="144"/>
      <c r="K6" s="245"/>
      <c r="L6" s="144"/>
      <c r="M6" s="245"/>
      <c r="N6" s="144"/>
      <c r="O6" s="245"/>
      <c r="P6" s="144"/>
      <c r="Q6" s="245"/>
      <c r="R6" s="144"/>
      <c r="S6" s="245"/>
      <c r="T6" s="251"/>
      <c r="U6" s="331"/>
      <c r="V6" s="331"/>
      <c r="W6" s="332"/>
    </row>
    <row r="7" spans="1:25" x14ac:dyDescent="0.3">
      <c r="A7" s="246"/>
      <c r="B7">
        <v>5000</v>
      </c>
      <c r="C7" s="104" t="s">
        <v>10</v>
      </c>
      <c r="D7" s="124">
        <f>467439*50%</f>
        <v>233719.5</v>
      </c>
      <c r="E7" s="60">
        <f>D7/$T$7</f>
        <v>0.5</v>
      </c>
      <c r="F7" s="128">
        <f>467439*15%</f>
        <v>70115.849999999991</v>
      </c>
      <c r="G7" s="60">
        <f>F7/$T$7</f>
        <v>0.15</v>
      </c>
      <c r="H7" s="128">
        <f>467439*15%</f>
        <v>70115.849999999991</v>
      </c>
      <c r="I7" s="60">
        <f>H7/$T$7</f>
        <v>0.15</v>
      </c>
      <c r="J7" s="128">
        <f>467439*20%</f>
        <v>93487.8</v>
      </c>
      <c r="K7" s="60">
        <f>J7/$T$7</f>
        <v>0.2</v>
      </c>
      <c r="L7" s="128">
        <v>0</v>
      </c>
      <c r="M7" s="60">
        <f>L7/$T$7</f>
        <v>0</v>
      </c>
      <c r="N7" s="128">
        <v>0</v>
      </c>
      <c r="O7" s="60">
        <f>N7/$T$7</f>
        <v>0</v>
      </c>
      <c r="P7" s="128">
        <v>0</v>
      </c>
      <c r="Q7" s="60">
        <f>P7/$T$7</f>
        <v>0</v>
      </c>
      <c r="R7" s="128">
        <v>0</v>
      </c>
      <c r="S7" s="60">
        <f>R7/$T$7</f>
        <v>0</v>
      </c>
      <c r="T7" s="133">
        <f t="shared" ref="T7:T14" si="0">R7+P7+J7+L7+N7+H7+F7+D7</f>
        <v>467439</v>
      </c>
      <c r="U7" s="327"/>
      <c r="V7" s="327"/>
      <c r="W7" s="328"/>
    </row>
    <row r="8" spans="1:25" x14ac:dyDescent="0.3">
      <c r="A8" s="246"/>
      <c r="B8">
        <v>5001</v>
      </c>
      <c r="C8" s="104" t="s">
        <v>11</v>
      </c>
      <c r="D8" s="124"/>
      <c r="E8" s="28"/>
      <c r="F8" s="128"/>
      <c r="G8" s="28"/>
      <c r="H8" s="128"/>
      <c r="I8" s="28"/>
      <c r="J8" s="128"/>
      <c r="K8" s="28"/>
      <c r="L8" s="128"/>
      <c r="M8" s="28"/>
      <c r="N8" s="128"/>
      <c r="O8" s="28"/>
      <c r="P8" s="128"/>
      <c r="Q8" s="28"/>
      <c r="R8" s="128"/>
      <c r="S8" s="28"/>
      <c r="T8" s="133">
        <f t="shared" si="0"/>
        <v>0</v>
      </c>
      <c r="U8" s="327"/>
      <c r="V8" s="327"/>
      <c r="W8" s="328"/>
    </row>
    <row r="9" spans="1:25" x14ac:dyDescent="0.3">
      <c r="A9" s="246"/>
      <c r="B9">
        <v>5004</v>
      </c>
      <c r="C9" s="104" t="s">
        <v>12</v>
      </c>
      <c r="D9" s="124"/>
      <c r="E9" s="28"/>
      <c r="F9" s="128"/>
      <c r="G9" s="28"/>
      <c r="H9" s="128"/>
      <c r="I9" s="28"/>
      <c r="J9" s="128"/>
      <c r="K9" s="28"/>
      <c r="L9" s="128"/>
      <c r="M9" s="28"/>
      <c r="N9" s="128"/>
      <c r="O9" s="28"/>
      <c r="P9" s="128"/>
      <c r="Q9" s="28"/>
      <c r="R9" s="128"/>
      <c r="S9" s="28"/>
      <c r="T9" s="133">
        <f t="shared" si="0"/>
        <v>0</v>
      </c>
      <c r="U9" s="327"/>
      <c r="V9" s="327"/>
      <c r="W9" s="328"/>
    </row>
    <row r="10" spans="1:25" x14ac:dyDescent="0.3">
      <c r="A10" s="246"/>
      <c r="B10">
        <v>5180</v>
      </c>
      <c r="C10" s="104" t="s">
        <v>13</v>
      </c>
      <c r="D10" s="125">
        <f>(D8+D7)*0.12</f>
        <v>28046.34</v>
      </c>
      <c r="E10" s="28"/>
      <c r="F10" s="129">
        <f>(F8+F7)*0.12</f>
        <v>8413.9019999999982</v>
      </c>
      <c r="G10" s="28"/>
      <c r="H10" s="129">
        <f>(H8+H7)*0.12</f>
        <v>8413.9019999999982</v>
      </c>
      <c r="I10" s="28"/>
      <c r="J10" s="129">
        <f>(J8+J7)*0.12</f>
        <v>11218.536</v>
      </c>
      <c r="K10" s="28"/>
      <c r="L10" s="129">
        <f>(L8+L7)*0.12</f>
        <v>0</v>
      </c>
      <c r="M10" s="28"/>
      <c r="N10" s="129">
        <f>(N8+N7)*0.12</f>
        <v>0</v>
      </c>
      <c r="O10" s="28"/>
      <c r="P10" s="129">
        <f>(P8+P7)*0.12</f>
        <v>0</v>
      </c>
      <c r="Q10" s="28"/>
      <c r="R10" s="129">
        <f>(R8+R7)*0.12</f>
        <v>0</v>
      </c>
      <c r="S10" s="28"/>
      <c r="T10" s="133">
        <f t="shared" si="0"/>
        <v>56092.679999999993</v>
      </c>
      <c r="U10" s="327"/>
      <c r="V10" s="327"/>
      <c r="W10" s="328"/>
      <c r="Y10" s="235"/>
    </row>
    <row r="11" spans="1:25" ht="28.8" x14ac:dyDescent="0.3">
      <c r="A11" s="246"/>
      <c r="B11">
        <v>5182</v>
      </c>
      <c r="C11" s="104" t="s">
        <v>14</v>
      </c>
      <c r="D11" s="125">
        <f>D10*0.141</f>
        <v>3954.5339399999998</v>
      </c>
      <c r="E11" s="28"/>
      <c r="F11" s="129">
        <f>F10*0.141</f>
        <v>1186.3601819999997</v>
      </c>
      <c r="G11" s="28"/>
      <c r="H11" s="129">
        <f>H10*0.141</f>
        <v>1186.3601819999997</v>
      </c>
      <c r="I11" s="28"/>
      <c r="J11" s="129">
        <f>J10*0.141</f>
        <v>1581.8135759999998</v>
      </c>
      <c r="K11" s="28"/>
      <c r="L11" s="129">
        <f>L10*0.141</f>
        <v>0</v>
      </c>
      <c r="M11" s="28"/>
      <c r="N11" s="129">
        <f>N10*0.141</f>
        <v>0</v>
      </c>
      <c r="O11" s="28"/>
      <c r="P11" s="129">
        <f>P10*0.141</f>
        <v>0</v>
      </c>
      <c r="Q11" s="28"/>
      <c r="R11" s="129">
        <f>R10*0.141</f>
        <v>0</v>
      </c>
      <c r="S11" s="28"/>
      <c r="T11" s="133">
        <f t="shared" si="0"/>
        <v>7909.0678799999987</v>
      </c>
      <c r="U11" s="327"/>
      <c r="V11" s="327"/>
      <c r="W11" s="328"/>
    </row>
    <row r="12" spans="1:25" x14ac:dyDescent="0.3">
      <c r="A12" s="246"/>
      <c r="B12">
        <v>5211</v>
      </c>
      <c r="C12" s="104" t="s">
        <v>153</v>
      </c>
      <c r="D12" s="125">
        <v>9000</v>
      </c>
      <c r="E12" s="28"/>
      <c r="F12" s="129"/>
      <c r="G12" s="28"/>
      <c r="H12" s="129"/>
      <c r="I12" s="28"/>
      <c r="J12" s="129"/>
      <c r="K12" s="28"/>
      <c r="L12" s="129"/>
      <c r="M12" s="28"/>
      <c r="N12" s="129"/>
      <c r="O12" s="28"/>
      <c r="P12" s="129"/>
      <c r="Q12" s="28"/>
      <c r="R12" s="129"/>
      <c r="S12" s="28"/>
      <c r="T12" s="133">
        <f t="shared" si="0"/>
        <v>9000</v>
      </c>
      <c r="U12" s="327"/>
      <c r="V12" s="327"/>
      <c r="W12" s="328"/>
    </row>
    <row r="13" spans="1:25" x14ac:dyDescent="0.3">
      <c r="A13" s="246"/>
      <c r="B13">
        <v>5400</v>
      </c>
      <c r="C13" s="104" t="s">
        <v>48</v>
      </c>
      <c r="D13" s="125">
        <f>(D6+D7+D14+D8+D12)*0.141</f>
        <v>35871.171974999997</v>
      </c>
      <c r="E13" s="28"/>
      <c r="F13" s="129">
        <f>(F6+F7+F8++F14)*0.141</f>
        <v>10380.651592499997</v>
      </c>
      <c r="G13" s="28"/>
      <c r="H13" s="129">
        <f>(H6+H7+H8+H14)*0.141</f>
        <v>10380.651592499997</v>
      </c>
      <c r="I13" s="28"/>
      <c r="J13" s="129">
        <f>(J6+J7+J8+J14)*0.141</f>
        <v>13840.868789999999</v>
      </c>
      <c r="K13" s="28"/>
      <c r="L13" s="129">
        <f>(L6+L7+L8)*0.141</f>
        <v>0</v>
      </c>
      <c r="M13" s="28"/>
      <c r="N13" s="129">
        <f>(N6+N7+N8)*0.141</f>
        <v>0</v>
      </c>
      <c r="O13" s="28"/>
      <c r="P13" s="129">
        <f>(P6+P7+P8)*0.141</f>
        <v>0</v>
      </c>
      <c r="Q13" s="28"/>
      <c r="R13" s="129">
        <f>(R6+R7+R8)*0.141</f>
        <v>0</v>
      </c>
      <c r="S13" s="28"/>
      <c r="T13" s="133">
        <f t="shared" si="0"/>
        <v>70473.34394999998</v>
      </c>
      <c r="U13" s="327"/>
      <c r="V13" s="327"/>
      <c r="W13" s="328"/>
    </row>
    <row r="14" spans="1:25" ht="15" thickBot="1" x14ac:dyDescent="0.35">
      <c r="A14" s="247"/>
      <c r="B14" s="49">
        <v>5990</v>
      </c>
      <c r="C14" s="158" t="s">
        <v>152</v>
      </c>
      <c r="D14" s="126">
        <f>D7*0.05</f>
        <v>11685.975</v>
      </c>
      <c r="E14" s="58"/>
      <c r="F14" s="130">
        <f>F7*0.05</f>
        <v>3505.7924999999996</v>
      </c>
      <c r="G14" s="58"/>
      <c r="H14" s="130">
        <f>H7*0.05</f>
        <v>3505.7924999999996</v>
      </c>
      <c r="I14" s="58"/>
      <c r="J14" s="130">
        <f>J7*0.05</f>
        <v>4674.3900000000003</v>
      </c>
      <c r="K14" s="58"/>
      <c r="L14" s="130">
        <f>L7*0.05</f>
        <v>0</v>
      </c>
      <c r="M14" s="58"/>
      <c r="N14" s="130">
        <f>N7*0.05</f>
        <v>0</v>
      </c>
      <c r="O14" s="58"/>
      <c r="P14" s="130">
        <f>(P7+P8+P9)*0.141</f>
        <v>0</v>
      </c>
      <c r="Q14" s="58"/>
      <c r="R14" s="130">
        <f>(R7+R8+R9)*0.141</f>
        <v>0</v>
      </c>
      <c r="S14" s="58"/>
      <c r="T14" s="133">
        <f t="shared" si="0"/>
        <v>23371.949999999997</v>
      </c>
      <c r="U14" s="333"/>
      <c r="V14" s="333"/>
      <c r="W14" s="334"/>
      <c r="X14" s="235">
        <f>SUM(T7:T14)</f>
        <v>634286.04183</v>
      </c>
    </row>
    <row r="15" spans="1:25" ht="15" thickBot="1" x14ac:dyDescent="0.35">
      <c r="A15" s="246" t="s">
        <v>115</v>
      </c>
      <c r="D15" s="127"/>
      <c r="E15" s="40"/>
      <c r="F15" s="131"/>
      <c r="G15" s="40"/>
      <c r="H15" s="131"/>
      <c r="I15" s="40"/>
      <c r="J15" s="131"/>
      <c r="K15" s="40"/>
      <c r="L15" s="131"/>
      <c r="M15" s="40"/>
      <c r="N15" s="131"/>
      <c r="O15" s="40"/>
      <c r="P15" s="131"/>
      <c r="Q15" s="40"/>
      <c r="R15" s="131"/>
      <c r="S15" s="40"/>
      <c r="T15" s="63"/>
      <c r="W15" s="40"/>
    </row>
    <row r="16" spans="1:25" x14ac:dyDescent="0.3">
      <c r="A16" s="246"/>
      <c r="B16">
        <v>5000</v>
      </c>
      <c r="C16" s="104" t="s">
        <v>10</v>
      </c>
      <c r="D16" s="124">
        <v>0</v>
      </c>
      <c r="E16" s="60">
        <f>D16/$T$16</f>
        <v>0</v>
      </c>
      <c r="F16" s="128"/>
      <c r="G16" s="60">
        <f>F16/$T$16</f>
        <v>0</v>
      </c>
      <c r="H16" s="128"/>
      <c r="I16" s="60">
        <f>H16/$T$16</f>
        <v>0</v>
      </c>
      <c r="J16" s="128">
        <v>0</v>
      </c>
      <c r="K16" s="60">
        <f>J16/$T$16</f>
        <v>0</v>
      </c>
      <c r="L16" s="128">
        <v>0</v>
      </c>
      <c r="M16" s="60">
        <f>L16/$T$16</f>
        <v>0</v>
      </c>
      <c r="N16" s="128">
        <v>0</v>
      </c>
      <c r="O16" s="60">
        <f>N16/$T$16</f>
        <v>0</v>
      </c>
      <c r="P16" s="128">
        <v>25000</v>
      </c>
      <c r="Q16" s="60">
        <f>P16/$T$16</f>
        <v>0.41666666666666669</v>
      </c>
      <c r="R16" s="128">
        <v>35000</v>
      </c>
      <c r="S16" s="60">
        <f>R16/$T$16</f>
        <v>0.58333333333333337</v>
      </c>
      <c r="T16" s="133">
        <f t="shared" ref="T16:T21" si="1">R16+P16+J16+L16+N16+H16+F16+D16</f>
        <v>60000</v>
      </c>
      <c r="U16" s="331"/>
      <c r="V16" s="331"/>
      <c r="W16" s="332"/>
    </row>
    <row r="17" spans="1:23" x14ac:dyDescent="0.3">
      <c r="A17" s="246"/>
      <c r="B17">
        <v>5001</v>
      </c>
      <c r="C17" s="104" t="s">
        <v>11</v>
      </c>
      <c r="D17" s="124"/>
      <c r="E17" s="28"/>
      <c r="F17" s="128"/>
      <c r="G17" s="28"/>
      <c r="H17" s="128"/>
      <c r="I17" s="28"/>
      <c r="J17" s="128"/>
      <c r="K17" s="28"/>
      <c r="L17" s="128"/>
      <c r="M17" s="28"/>
      <c r="N17" s="128"/>
      <c r="O17" s="28"/>
      <c r="P17" s="128"/>
      <c r="Q17" s="28"/>
      <c r="R17" s="128"/>
      <c r="S17" s="28"/>
      <c r="T17" s="133">
        <f t="shared" si="1"/>
        <v>0</v>
      </c>
      <c r="U17" s="327"/>
      <c r="V17" s="327"/>
      <c r="W17" s="328"/>
    </row>
    <row r="18" spans="1:23" x14ac:dyDescent="0.3">
      <c r="A18" s="246"/>
      <c r="B18">
        <v>5004</v>
      </c>
      <c r="C18" s="104" t="s">
        <v>12</v>
      </c>
      <c r="D18" s="124"/>
      <c r="E18" s="28"/>
      <c r="F18" s="128"/>
      <c r="G18" s="28"/>
      <c r="H18" s="128"/>
      <c r="I18" s="28"/>
      <c r="J18" s="128"/>
      <c r="K18" s="28"/>
      <c r="L18" s="128"/>
      <c r="M18" s="28"/>
      <c r="N18" s="128"/>
      <c r="O18" s="28"/>
      <c r="P18" s="128"/>
      <c r="Q18" s="28"/>
      <c r="R18" s="128"/>
      <c r="S18" s="28"/>
      <c r="T18" s="133">
        <f t="shared" si="1"/>
        <v>0</v>
      </c>
      <c r="U18" s="327"/>
      <c r="V18" s="327"/>
      <c r="W18" s="328"/>
    </row>
    <row r="19" spans="1:23" x14ac:dyDescent="0.3">
      <c r="A19" s="246"/>
      <c r="B19">
        <v>5180</v>
      </c>
      <c r="C19" s="104" t="s">
        <v>13</v>
      </c>
      <c r="D19" s="125">
        <f>(D17+D16)*0.12</f>
        <v>0</v>
      </c>
      <c r="E19" s="28"/>
      <c r="F19" s="129">
        <f>(F17+F16)*0.12</f>
        <v>0</v>
      </c>
      <c r="G19" s="28"/>
      <c r="H19" s="129">
        <f>(H17+H16)*0.12</f>
        <v>0</v>
      </c>
      <c r="I19" s="28"/>
      <c r="J19" s="129">
        <f>(J17+J16)*0.12</f>
        <v>0</v>
      </c>
      <c r="K19" s="28"/>
      <c r="L19" s="129">
        <f>(L17+L16)*0.12</f>
        <v>0</v>
      </c>
      <c r="M19" s="28"/>
      <c r="N19" s="129">
        <f>(N17+N16)*0.12</f>
        <v>0</v>
      </c>
      <c r="O19" s="28"/>
      <c r="P19" s="129">
        <f>(P17+P16)*0.12</f>
        <v>3000</v>
      </c>
      <c r="Q19" s="28"/>
      <c r="R19" s="129">
        <f>(R17+R16)*0.12</f>
        <v>4200</v>
      </c>
      <c r="S19" s="28"/>
      <c r="T19" s="133">
        <f t="shared" si="1"/>
        <v>7200</v>
      </c>
      <c r="U19" s="327"/>
      <c r="V19" s="327"/>
      <c r="W19" s="328"/>
    </row>
    <row r="20" spans="1:23" ht="28.8" x14ac:dyDescent="0.3">
      <c r="A20" s="246"/>
      <c r="B20">
        <v>5182</v>
      </c>
      <c r="C20" s="104" t="s">
        <v>14</v>
      </c>
      <c r="D20" s="125">
        <f>D19*0.141</f>
        <v>0</v>
      </c>
      <c r="E20" s="28"/>
      <c r="F20" s="129">
        <f>F19*0.141</f>
        <v>0</v>
      </c>
      <c r="G20" s="28"/>
      <c r="H20" s="129">
        <f>H19*0.141</f>
        <v>0</v>
      </c>
      <c r="I20" s="28"/>
      <c r="J20" s="129">
        <f>J19*0.141</f>
        <v>0</v>
      </c>
      <c r="K20" s="28"/>
      <c r="L20" s="129">
        <f>L19*0.141</f>
        <v>0</v>
      </c>
      <c r="M20" s="28"/>
      <c r="N20" s="129">
        <f>N19*0.141</f>
        <v>0</v>
      </c>
      <c r="O20" s="28"/>
      <c r="P20" s="129">
        <f>P19*0.141</f>
        <v>422.99999999999994</v>
      </c>
      <c r="Q20" s="28"/>
      <c r="R20" s="129">
        <f>R19*0.141</f>
        <v>592.19999999999993</v>
      </c>
      <c r="S20" s="28"/>
      <c r="T20" s="133">
        <f t="shared" si="1"/>
        <v>1015.1999999999998</v>
      </c>
      <c r="U20" s="327"/>
      <c r="V20" s="327"/>
      <c r="W20" s="328"/>
    </row>
    <row r="21" spans="1:23" ht="15" thickBot="1" x14ac:dyDescent="0.35">
      <c r="A21" s="247"/>
      <c r="B21" s="49">
        <v>5400</v>
      </c>
      <c r="C21" s="238" t="s">
        <v>48</v>
      </c>
      <c r="D21" s="126">
        <f>(D16+D17+D18)*0.141</f>
        <v>0</v>
      </c>
      <c r="E21" s="58"/>
      <c r="F21" s="130">
        <f>(F16+F17+F18)*0.141</f>
        <v>0</v>
      </c>
      <c r="G21" s="58"/>
      <c r="H21" s="130">
        <f>(H16+H17+H18)*0.141</f>
        <v>0</v>
      </c>
      <c r="I21" s="58"/>
      <c r="J21" s="130">
        <f>(J16+J17+J18)*0.141</f>
        <v>0</v>
      </c>
      <c r="K21" s="58"/>
      <c r="L21" s="130">
        <f>(L16+L17+L18)*0.141</f>
        <v>0</v>
      </c>
      <c r="M21" s="58"/>
      <c r="N21" s="130">
        <f>(N16+N17+N18)*0.141</f>
        <v>0</v>
      </c>
      <c r="O21" s="58"/>
      <c r="P21" s="130">
        <f>(P16+P17+P18)*0.141</f>
        <v>3524.9999999999995</v>
      </c>
      <c r="Q21" s="58"/>
      <c r="R21" s="130">
        <f>(R16+R17+R18)*0.141</f>
        <v>4934.9999999999991</v>
      </c>
      <c r="S21" s="58"/>
      <c r="T21" s="250">
        <f t="shared" si="1"/>
        <v>8459.9999999999982</v>
      </c>
      <c r="U21" s="333"/>
      <c r="V21" s="333"/>
      <c r="W21" s="334"/>
    </row>
    <row r="22" spans="1:23" ht="15" thickBot="1" x14ac:dyDescent="0.35">
      <c r="A22" s="246" t="s">
        <v>116</v>
      </c>
      <c r="D22" s="127"/>
      <c r="E22" s="40"/>
      <c r="F22" s="131"/>
      <c r="G22" s="40"/>
      <c r="H22" s="131"/>
      <c r="I22" s="40"/>
      <c r="J22" s="131"/>
      <c r="K22" s="40"/>
      <c r="L22" s="131"/>
      <c r="M22" s="40"/>
      <c r="N22" s="131"/>
      <c r="O22" s="40"/>
      <c r="P22" s="131"/>
      <c r="Q22" s="40"/>
      <c r="R22" s="131"/>
      <c r="S22" s="40"/>
      <c r="T22" s="63"/>
    </row>
    <row r="23" spans="1:23" x14ac:dyDescent="0.3">
      <c r="A23" s="246"/>
      <c r="B23">
        <v>5000</v>
      </c>
      <c r="C23" s="104" t="s">
        <v>10</v>
      </c>
      <c r="D23" s="124">
        <v>0</v>
      </c>
      <c r="E23" s="60">
        <f>D23/$T$23</f>
        <v>0</v>
      </c>
      <c r="F23" s="128">
        <v>0</v>
      </c>
      <c r="G23" s="60">
        <f>F23/$T$23</f>
        <v>0</v>
      </c>
      <c r="H23" s="128">
        <v>0</v>
      </c>
      <c r="I23" s="60">
        <f>H23/$T$23</f>
        <v>0</v>
      </c>
      <c r="J23" s="128">
        <v>0</v>
      </c>
      <c r="K23" s="60">
        <f>J23/$T$23</f>
        <v>0</v>
      </c>
      <c r="L23" s="128">
        <v>0</v>
      </c>
      <c r="M23" s="60">
        <f>L23/$T$23</f>
        <v>0</v>
      </c>
      <c r="N23" s="128">
        <v>0</v>
      </c>
      <c r="O23" s="60">
        <f>N23/$T$23</f>
        <v>0</v>
      </c>
      <c r="P23" s="128">
        <v>56000</v>
      </c>
      <c r="Q23" s="60">
        <f>P23/$T$23</f>
        <v>1</v>
      </c>
      <c r="R23" s="128">
        <v>0</v>
      </c>
      <c r="S23" s="60">
        <f>R23/$T$23</f>
        <v>0</v>
      </c>
      <c r="T23" s="133">
        <f t="shared" ref="T23:T28" si="2">R23+P23+J23+L23+N23+H23+F23+D23</f>
        <v>56000</v>
      </c>
      <c r="U23" s="331"/>
      <c r="V23" s="331"/>
      <c r="W23" s="332"/>
    </row>
    <row r="24" spans="1:23" x14ac:dyDescent="0.3">
      <c r="A24" s="246"/>
      <c r="B24">
        <v>5001</v>
      </c>
      <c r="C24" s="104" t="s">
        <v>11</v>
      </c>
      <c r="D24" s="124"/>
      <c r="E24" s="28"/>
      <c r="F24" s="128"/>
      <c r="G24" s="28"/>
      <c r="H24" s="128"/>
      <c r="I24" s="28"/>
      <c r="J24" s="128"/>
      <c r="K24" s="28"/>
      <c r="L24" s="128"/>
      <c r="M24" s="28"/>
      <c r="N24" s="128"/>
      <c r="O24" s="28"/>
      <c r="P24" s="128"/>
      <c r="Q24" s="28"/>
      <c r="R24" s="128"/>
      <c r="S24" s="28"/>
      <c r="T24" s="133">
        <f t="shared" si="2"/>
        <v>0</v>
      </c>
      <c r="U24" s="327"/>
      <c r="V24" s="327"/>
      <c r="W24" s="328"/>
    </row>
    <row r="25" spans="1:23" x14ac:dyDescent="0.3">
      <c r="A25" s="246"/>
      <c r="B25">
        <v>5004</v>
      </c>
      <c r="C25" s="104" t="s">
        <v>12</v>
      </c>
      <c r="D25" s="124"/>
      <c r="E25" s="28"/>
      <c r="F25" s="128"/>
      <c r="G25" s="28"/>
      <c r="H25" s="128"/>
      <c r="I25" s="28"/>
      <c r="J25" s="128"/>
      <c r="K25" s="28"/>
      <c r="L25" s="128"/>
      <c r="M25" s="28"/>
      <c r="N25" s="128"/>
      <c r="O25" s="28"/>
      <c r="P25" s="128"/>
      <c r="Q25" s="28"/>
      <c r="R25" s="128"/>
      <c r="S25" s="28"/>
      <c r="T25" s="133">
        <f t="shared" si="2"/>
        <v>0</v>
      </c>
      <c r="U25" s="327"/>
      <c r="V25" s="327"/>
      <c r="W25" s="328"/>
    </row>
    <row r="26" spans="1:23" x14ac:dyDescent="0.3">
      <c r="A26" s="246"/>
      <c r="B26">
        <v>5180</v>
      </c>
      <c r="C26" s="104" t="s">
        <v>13</v>
      </c>
      <c r="D26" s="125">
        <f>(D24+D23)*0.12</f>
        <v>0</v>
      </c>
      <c r="E26" s="28"/>
      <c r="F26" s="129">
        <f>(F24+F23)*0.12</f>
        <v>0</v>
      </c>
      <c r="G26" s="28"/>
      <c r="H26" s="129">
        <f>(H24+H23)*0.12</f>
        <v>0</v>
      </c>
      <c r="I26" s="28"/>
      <c r="J26" s="129">
        <f>(J24+J23)*0.12</f>
        <v>0</v>
      </c>
      <c r="K26" s="28"/>
      <c r="L26" s="129">
        <f>(L24+L23)*0.12</f>
        <v>0</v>
      </c>
      <c r="M26" s="28"/>
      <c r="N26" s="129">
        <f>(N24+N23)*0.12</f>
        <v>0</v>
      </c>
      <c r="O26" s="28"/>
      <c r="P26" s="129">
        <f>(P24+P23)*0.12</f>
        <v>6720</v>
      </c>
      <c r="Q26" s="28"/>
      <c r="R26" s="129">
        <f>(R24+R23)*0.12</f>
        <v>0</v>
      </c>
      <c r="S26" s="28"/>
      <c r="T26" s="133">
        <f t="shared" si="2"/>
        <v>6720</v>
      </c>
      <c r="U26" s="327"/>
      <c r="V26" s="327"/>
      <c r="W26" s="328"/>
    </row>
    <row r="27" spans="1:23" ht="28.8" x14ac:dyDescent="0.3">
      <c r="A27" s="246"/>
      <c r="B27">
        <v>5182</v>
      </c>
      <c r="C27" s="104" t="s">
        <v>14</v>
      </c>
      <c r="D27" s="125">
        <f>D26*0.141</f>
        <v>0</v>
      </c>
      <c r="E27" s="28"/>
      <c r="F27" s="129">
        <f>F26*0.141</f>
        <v>0</v>
      </c>
      <c r="G27" s="28"/>
      <c r="H27" s="129">
        <f>H26*0.141</f>
        <v>0</v>
      </c>
      <c r="I27" s="28"/>
      <c r="J27" s="129">
        <f>J26*0.141</f>
        <v>0</v>
      </c>
      <c r="K27" s="28"/>
      <c r="L27" s="129">
        <f>L26*0.141</f>
        <v>0</v>
      </c>
      <c r="M27" s="28"/>
      <c r="N27" s="129">
        <f>N26*0.141</f>
        <v>0</v>
      </c>
      <c r="O27" s="28"/>
      <c r="P27" s="129">
        <f>P26*0.141</f>
        <v>947.51999999999987</v>
      </c>
      <c r="Q27" s="28"/>
      <c r="R27" s="129">
        <f>R26*0.141</f>
        <v>0</v>
      </c>
      <c r="S27" s="28"/>
      <c r="T27" s="133">
        <f t="shared" si="2"/>
        <v>947.51999999999987</v>
      </c>
      <c r="U27" s="327"/>
      <c r="V27" s="327"/>
      <c r="W27" s="328"/>
    </row>
    <row r="28" spans="1:23" ht="15" thickBot="1" x14ac:dyDescent="0.35">
      <c r="A28" s="247"/>
      <c r="B28" s="49">
        <v>5400</v>
      </c>
      <c r="C28" s="238" t="s">
        <v>48</v>
      </c>
      <c r="D28" s="126">
        <f>(D23+D24+D25)*0.141</f>
        <v>0</v>
      </c>
      <c r="E28" s="58"/>
      <c r="F28" s="130">
        <f>(F23+F24+F25)*0.141</f>
        <v>0</v>
      </c>
      <c r="G28" s="58"/>
      <c r="H28" s="130">
        <f>(H23+H24+H25)*0.141</f>
        <v>0</v>
      </c>
      <c r="I28" s="58"/>
      <c r="J28" s="130">
        <f>(J23+J24+J25)*0.141</f>
        <v>0</v>
      </c>
      <c r="K28" s="58"/>
      <c r="L28" s="130">
        <f>(L23+L24+L25)*0.141</f>
        <v>0</v>
      </c>
      <c r="M28" s="58"/>
      <c r="N28" s="130">
        <f>(N23+N24+N25)*0.141</f>
        <v>0</v>
      </c>
      <c r="O28" s="58"/>
      <c r="P28" s="130">
        <f>(P23+P24+P25)*0.141</f>
        <v>7895.9999999999991</v>
      </c>
      <c r="Q28" s="58"/>
      <c r="R28" s="130">
        <f>(R23+R24+R25)*0.141</f>
        <v>0</v>
      </c>
      <c r="S28" s="58"/>
      <c r="T28" s="250">
        <f t="shared" si="2"/>
        <v>7895.9999999999991</v>
      </c>
      <c r="U28" s="333"/>
      <c r="V28" s="333"/>
      <c r="W28" s="334"/>
    </row>
    <row r="29" spans="1:23" ht="15" thickBot="1" x14ac:dyDescent="0.35">
      <c r="A29" s="246" t="s">
        <v>337</v>
      </c>
      <c r="D29" s="127"/>
      <c r="E29" s="40"/>
      <c r="F29" s="131"/>
      <c r="G29" s="40"/>
      <c r="H29" s="131"/>
      <c r="I29" s="40"/>
      <c r="J29" s="131"/>
      <c r="K29" s="40"/>
      <c r="L29" s="131"/>
      <c r="M29" s="40"/>
      <c r="N29" s="131"/>
      <c r="O29" s="40"/>
      <c r="P29" s="131"/>
      <c r="Q29" s="40"/>
      <c r="R29" s="131"/>
      <c r="S29" s="40"/>
      <c r="T29" s="63"/>
    </row>
    <row r="30" spans="1:23" x14ac:dyDescent="0.3">
      <c r="A30" s="246" t="s">
        <v>338</v>
      </c>
      <c r="B30">
        <v>5000</v>
      </c>
      <c r="C30" s="104" t="s">
        <v>10</v>
      </c>
      <c r="D30" s="124">
        <v>0</v>
      </c>
      <c r="E30" s="60">
        <f>D30/$T$39</f>
        <v>0</v>
      </c>
      <c r="F30" s="128">
        <v>81250</v>
      </c>
      <c r="G30" s="60">
        <f>F30/$T$30</f>
        <v>0.5</v>
      </c>
      <c r="H30" s="128">
        <v>81250</v>
      </c>
      <c r="I30" s="60">
        <f>H30/$T$30</f>
        <v>0.5</v>
      </c>
      <c r="J30" s="128">
        <v>0</v>
      </c>
      <c r="K30" s="60">
        <f>J30/$T$39</f>
        <v>0</v>
      </c>
      <c r="L30" s="128"/>
      <c r="M30" s="60">
        <f>L30/$T$39</f>
        <v>0</v>
      </c>
      <c r="N30" s="128"/>
      <c r="O30" s="60">
        <f>N30/$T$39</f>
        <v>0</v>
      </c>
      <c r="P30" s="128">
        <v>0</v>
      </c>
      <c r="Q30" s="60">
        <f>P30/$T$39</f>
        <v>0</v>
      </c>
      <c r="R30" s="128">
        <v>0</v>
      </c>
      <c r="S30" s="60">
        <f>R30/$T$39</f>
        <v>0</v>
      </c>
      <c r="T30" s="133">
        <f t="shared" ref="T30:T36" si="3">R30+P30+J30+L30+N30+H30+F30+D30</f>
        <v>162500</v>
      </c>
      <c r="U30" s="335" t="s">
        <v>339</v>
      </c>
      <c r="V30" s="335"/>
      <c r="W30" s="336"/>
    </row>
    <row r="31" spans="1:23" x14ac:dyDescent="0.3">
      <c r="A31" s="246"/>
      <c r="B31">
        <v>5001</v>
      </c>
      <c r="C31" s="104" t="s">
        <v>11</v>
      </c>
      <c r="D31" s="124"/>
      <c r="E31" s="28"/>
      <c r="F31" s="128"/>
      <c r="G31" s="28"/>
      <c r="H31" s="128"/>
      <c r="I31" s="28"/>
      <c r="J31" s="128"/>
      <c r="K31" s="28"/>
      <c r="L31" s="128"/>
      <c r="M31" s="28"/>
      <c r="N31" s="128"/>
      <c r="O31" s="28"/>
      <c r="P31" s="128"/>
      <c r="Q31" s="28"/>
      <c r="R31" s="128"/>
      <c r="S31" s="28"/>
      <c r="T31" s="133">
        <f t="shared" si="3"/>
        <v>0</v>
      </c>
      <c r="U31" s="337"/>
      <c r="V31" s="337"/>
      <c r="W31" s="338"/>
    </row>
    <row r="32" spans="1:23" x14ac:dyDescent="0.3">
      <c r="A32" s="246"/>
      <c r="B32">
        <v>5004</v>
      </c>
      <c r="C32" s="104" t="s">
        <v>12</v>
      </c>
      <c r="D32" s="124"/>
      <c r="E32" s="28"/>
      <c r="F32" s="128"/>
      <c r="G32" s="28"/>
      <c r="H32" s="128"/>
      <c r="I32" s="28"/>
      <c r="J32" s="128"/>
      <c r="K32" s="28"/>
      <c r="L32" s="128"/>
      <c r="M32" s="28"/>
      <c r="N32" s="128"/>
      <c r="O32" s="28"/>
      <c r="P32" s="128"/>
      <c r="Q32" s="28"/>
      <c r="R32" s="128"/>
      <c r="S32" s="28"/>
      <c r="T32" s="133">
        <f t="shared" si="3"/>
        <v>0</v>
      </c>
      <c r="U32" s="337"/>
      <c r="V32" s="337"/>
      <c r="W32" s="338"/>
    </row>
    <row r="33" spans="1:23" x14ac:dyDescent="0.3">
      <c r="A33" s="246"/>
      <c r="B33">
        <v>5180</v>
      </c>
      <c r="C33" s="104" t="s">
        <v>13</v>
      </c>
      <c r="D33" s="125">
        <f>(D31+D30)*0.12</f>
        <v>0</v>
      </c>
      <c r="E33" s="28"/>
      <c r="F33" s="129">
        <f>(F31+F30)*0.12</f>
        <v>9750</v>
      </c>
      <c r="G33" s="28"/>
      <c r="H33" s="129">
        <f>(H31+H30)*0.12</f>
        <v>9750</v>
      </c>
      <c r="I33" s="28"/>
      <c r="J33" s="129">
        <f>(J31+J30)*0.12</f>
        <v>0</v>
      </c>
      <c r="K33" s="28"/>
      <c r="L33" s="129">
        <f>(L31+L30)*0.12</f>
        <v>0</v>
      </c>
      <c r="M33" s="28"/>
      <c r="N33" s="129">
        <f>(N31+N30)*0.12</f>
        <v>0</v>
      </c>
      <c r="O33" s="28"/>
      <c r="P33" s="129">
        <f>(P31+P30)*0.12</f>
        <v>0</v>
      </c>
      <c r="Q33" s="28"/>
      <c r="R33" s="129">
        <f>(R31+R30)*0.12</f>
        <v>0</v>
      </c>
      <c r="S33" s="28"/>
      <c r="T33" s="133">
        <f t="shared" si="3"/>
        <v>19500</v>
      </c>
      <c r="U33" s="337"/>
      <c r="V33" s="337"/>
      <c r="W33" s="338"/>
    </row>
    <row r="34" spans="1:23" ht="28.8" x14ac:dyDescent="0.3">
      <c r="A34" s="246"/>
      <c r="B34">
        <v>5182</v>
      </c>
      <c r="C34" s="104" t="s">
        <v>14</v>
      </c>
      <c r="D34" s="125">
        <f>D33*0.141</f>
        <v>0</v>
      </c>
      <c r="E34" s="28"/>
      <c r="F34" s="129">
        <f>F33*0.141</f>
        <v>1374.7499999999998</v>
      </c>
      <c r="G34" s="28"/>
      <c r="H34" s="129">
        <f>H33*0.141</f>
        <v>1374.7499999999998</v>
      </c>
      <c r="I34" s="28"/>
      <c r="J34" s="129">
        <f>J33*0.141</f>
        <v>0</v>
      </c>
      <c r="K34" s="28"/>
      <c r="L34" s="129">
        <f>L33*0.141</f>
        <v>0</v>
      </c>
      <c r="M34" s="28"/>
      <c r="N34" s="129">
        <f>N33*0.141</f>
        <v>0</v>
      </c>
      <c r="O34" s="28"/>
      <c r="P34" s="129">
        <f>P33*0.141</f>
        <v>0</v>
      </c>
      <c r="Q34" s="28"/>
      <c r="R34" s="129">
        <f>R33*0.141</f>
        <v>0</v>
      </c>
      <c r="S34" s="28"/>
      <c r="T34" s="133">
        <f t="shared" si="3"/>
        <v>2749.4999999999995</v>
      </c>
      <c r="U34" s="337"/>
      <c r="V34" s="337"/>
      <c r="W34" s="338"/>
    </row>
    <row r="35" spans="1:23" x14ac:dyDescent="0.3">
      <c r="A35" s="246"/>
      <c r="B35">
        <v>5211</v>
      </c>
      <c r="C35" s="104" t="s">
        <v>153</v>
      </c>
      <c r="D35" s="125"/>
      <c r="E35" s="28"/>
      <c r="F35" s="129">
        <v>2000</v>
      </c>
      <c r="G35" s="236"/>
      <c r="H35" s="129">
        <v>2000</v>
      </c>
      <c r="I35" s="28"/>
      <c r="J35" s="129"/>
      <c r="K35" s="28"/>
      <c r="L35" s="129"/>
      <c r="M35" s="28"/>
      <c r="N35" s="129"/>
      <c r="O35" s="28"/>
      <c r="P35" s="129"/>
      <c r="Q35" s="28"/>
      <c r="R35" s="129"/>
      <c r="S35" s="28"/>
      <c r="T35" s="133">
        <f t="shared" si="3"/>
        <v>4000</v>
      </c>
      <c r="U35" s="337"/>
      <c r="V35" s="337"/>
      <c r="W35" s="338"/>
    </row>
    <row r="36" spans="1:23" ht="15" thickBot="1" x14ac:dyDescent="0.35">
      <c r="A36" s="246"/>
      <c r="B36">
        <v>5400</v>
      </c>
      <c r="C36" s="239" t="s">
        <v>48</v>
      </c>
      <c r="D36" s="125">
        <f>(D30+D31+D32)*0.141</f>
        <v>0</v>
      </c>
      <c r="E36" s="28"/>
      <c r="F36" s="129">
        <f>(F30+F31+F32+F35+F37)*0.141</f>
        <v>12311.062499999998</v>
      </c>
      <c r="G36" s="28"/>
      <c r="H36" s="129">
        <f>(H30+H31+H32+H35+H37)*0.141</f>
        <v>12311.062499999998</v>
      </c>
      <c r="I36" s="28"/>
      <c r="J36" s="129">
        <f>(J30+J31+J32)*0.141</f>
        <v>0</v>
      </c>
      <c r="K36" s="28"/>
      <c r="L36" s="129">
        <f>(L30+L31+L32)*0.141</f>
        <v>0</v>
      </c>
      <c r="M36" s="28"/>
      <c r="N36" s="129">
        <f>(N30+N31+N32)*0.141</f>
        <v>0</v>
      </c>
      <c r="O36" s="28"/>
      <c r="P36" s="129">
        <f>(P30+P31+P32)*0.141</f>
        <v>0</v>
      </c>
      <c r="Q36" s="28"/>
      <c r="R36" s="129">
        <f>(R30+R31+R32)*0.141</f>
        <v>0</v>
      </c>
      <c r="S36" s="28"/>
      <c r="T36" s="133">
        <f t="shared" si="3"/>
        <v>24622.124999999996</v>
      </c>
      <c r="U36" s="339"/>
      <c r="V36" s="339"/>
      <c r="W36" s="340"/>
    </row>
    <row r="37" spans="1:23" x14ac:dyDescent="0.3">
      <c r="A37" s="247"/>
      <c r="B37" s="49">
        <v>5990</v>
      </c>
      <c r="C37" s="237" t="s">
        <v>17</v>
      </c>
      <c r="D37" s="126"/>
      <c r="E37" s="58"/>
      <c r="F37" s="130">
        <f>SUM(F30*5%)</f>
        <v>4062.5</v>
      </c>
      <c r="G37" s="58"/>
      <c r="H37" s="130">
        <f>SUM(H30*5%)</f>
        <v>4062.5</v>
      </c>
      <c r="I37" s="58"/>
      <c r="J37" s="130"/>
      <c r="K37" s="58"/>
      <c r="L37" s="130"/>
      <c r="M37" s="58"/>
      <c r="N37" s="130"/>
      <c r="O37" s="58"/>
      <c r="P37" s="130"/>
      <c r="Q37" s="58"/>
      <c r="R37" s="130"/>
      <c r="S37" s="58"/>
      <c r="T37" s="250">
        <f>SUM(D37+F37+H37+J37+L37+N37+P37+R37)</f>
        <v>8125</v>
      </c>
      <c r="U37" s="240"/>
      <c r="V37" s="240"/>
      <c r="W37" s="240"/>
    </row>
    <row r="38" spans="1:23" ht="15" thickBot="1" x14ac:dyDescent="0.35">
      <c r="A38" s="246" t="s">
        <v>337</v>
      </c>
      <c r="D38" s="127"/>
      <c r="E38" s="40"/>
      <c r="F38" s="131"/>
      <c r="G38" s="40"/>
      <c r="H38" s="131"/>
      <c r="I38" s="40"/>
      <c r="J38" s="131"/>
      <c r="K38" s="40"/>
      <c r="L38" s="131"/>
      <c r="M38" s="40"/>
      <c r="N38" s="131"/>
      <c r="O38" s="40"/>
      <c r="P38" s="131"/>
      <c r="Q38" s="40"/>
      <c r="R38" s="131"/>
      <c r="S38" s="40"/>
      <c r="T38" s="63"/>
    </row>
    <row r="39" spans="1:23" x14ac:dyDescent="0.3">
      <c r="A39" s="246" t="s">
        <v>258</v>
      </c>
      <c r="B39">
        <v>5000</v>
      </c>
      <c r="C39" s="104" t="s">
        <v>10</v>
      </c>
      <c r="D39" s="124">
        <v>0</v>
      </c>
      <c r="E39" s="60">
        <f>D39/$T$39</f>
        <v>0</v>
      </c>
      <c r="F39" s="128">
        <v>0</v>
      </c>
      <c r="G39" s="60">
        <f>F39/$T$39</f>
        <v>0</v>
      </c>
      <c r="H39" s="128">
        <v>0</v>
      </c>
      <c r="I39" s="60">
        <f>H39/$T$39</f>
        <v>0</v>
      </c>
      <c r="J39" s="128">
        <v>0</v>
      </c>
      <c r="K39" s="60">
        <f>J39/$T$39</f>
        <v>0</v>
      </c>
      <c r="L39" s="128">
        <v>6250</v>
      </c>
      <c r="M39" s="60">
        <f>L39/$T$39</f>
        <v>0.49019607843137253</v>
      </c>
      <c r="N39" s="128">
        <v>6500</v>
      </c>
      <c r="O39" s="60">
        <f>N39/$T$39</f>
        <v>0.50980392156862742</v>
      </c>
      <c r="P39" s="128">
        <v>0</v>
      </c>
      <c r="Q39" s="60">
        <f>P39/$T$39</f>
        <v>0</v>
      </c>
      <c r="R39" s="128">
        <v>0</v>
      </c>
      <c r="S39" s="60">
        <f>R39/$T$39</f>
        <v>0</v>
      </c>
      <c r="T39" s="133">
        <f t="shared" ref="T39:T44" si="4">R39+P39+J39+L39+N39+H39+F39+D39</f>
        <v>12750</v>
      </c>
      <c r="U39" s="335" t="s">
        <v>340</v>
      </c>
      <c r="V39" s="335"/>
      <c r="W39" s="336"/>
    </row>
    <row r="40" spans="1:23" x14ac:dyDescent="0.3">
      <c r="A40" s="246"/>
      <c r="B40">
        <v>5001</v>
      </c>
      <c r="C40" s="104" t="s">
        <v>11</v>
      </c>
      <c r="D40" s="124"/>
      <c r="E40" s="28"/>
      <c r="F40" s="128"/>
      <c r="G40" s="28"/>
      <c r="H40" s="128"/>
      <c r="I40" s="28"/>
      <c r="J40" s="128"/>
      <c r="K40" s="28"/>
      <c r="L40" s="128"/>
      <c r="M40" s="28"/>
      <c r="N40" s="128"/>
      <c r="O40" s="28"/>
      <c r="P40" s="128"/>
      <c r="Q40" s="28"/>
      <c r="R40" s="128"/>
      <c r="S40" s="28"/>
      <c r="T40" s="133">
        <f t="shared" si="4"/>
        <v>0</v>
      </c>
      <c r="U40" s="337"/>
      <c r="V40" s="337"/>
      <c r="W40" s="338"/>
    </row>
    <row r="41" spans="1:23" x14ac:dyDescent="0.3">
      <c r="A41" s="246"/>
      <c r="B41">
        <v>5004</v>
      </c>
      <c r="C41" s="104" t="s">
        <v>12</v>
      </c>
      <c r="D41" s="124"/>
      <c r="E41" s="28"/>
      <c r="F41" s="128"/>
      <c r="G41" s="28"/>
      <c r="H41" s="128"/>
      <c r="I41" s="28"/>
      <c r="J41" s="128"/>
      <c r="K41" s="28"/>
      <c r="L41" s="128"/>
      <c r="M41" s="28"/>
      <c r="N41" s="128"/>
      <c r="O41" s="28"/>
      <c r="P41" s="128"/>
      <c r="Q41" s="28"/>
      <c r="R41" s="128"/>
      <c r="S41" s="28"/>
      <c r="T41" s="133">
        <f t="shared" si="4"/>
        <v>0</v>
      </c>
      <c r="U41" s="337"/>
      <c r="V41" s="337"/>
      <c r="W41" s="338"/>
    </row>
    <row r="42" spans="1:23" x14ac:dyDescent="0.3">
      <c r="A42" s="246"/>
      <c r="B42">
        <v>5180</v>
      </c>
      <c r="C42" s="104" t="s">
        <v>13</v>
      </c>
      <c r="D42" s="125">
        <f>(D40+D39)*0.12</f>
        <v>0</v>
      </c>
      <c r="E42" s="28"/>
      <c r="F42" s="129">
        <f>(F40+F39)*0.12</f>
        <v>0</v>
      </c>
      <c r="G42" s="28"/>
      <c r="H42" s="129">
        <f>(H40+H39)*0.12</f>
        <v>0</v>
      </c>
      <c r="I42" s="28"/>
      <c r="J42" s="129">
        <f>(J40+J39)*0.12</f>
        <v>0</v>
      </c>
      <c r="K42" s="28"/>
      <c r="L42" s="129">
        <f>(L40+L39)*0.12</f>
        <v>750</v>
      </c>
      <c r="M42" s="28"/>
      <c r="N42" s="129">
        <f>(N40+N39)*0.12</f>
        <v>780</v>
      </c>
      <c r="O42" s="28"/>
      <c r="P42" s="129">
        <f>(P40+P39)*0.12</f>
        <v>0</v>
      </c>
      <c r="Q42" s="28"/>
      <c r="R42" s="129">
        <f>(R40+R39)*0.12</f>
        <v>0</v>
      </c>
      <c r="S42" s="28"/>
      <c r="T42" s="133">
        <f t="shared" si="4"/>
        <v>1530</v>
      </c>
      <c r="U42" s="337"/>
      <c r="V42" s="337"/>
      <c r="W42" s="338"/>
    </row>
    <row r="43" spans="1:23" ht="28.8" x14ac:dyDescent="0.3">
      <c r="A43" s="246"/>
      <c r="B43">
        <v>5182</v>
      </c>
      <c r="C43" s="104" t="s">
        <v>14</v>
      </c>
      <c r="D43" s="125">
        <f>D42*0.141</f>
        <v>0</v>
      </c>
      <c r="E43" s="28"/>
      <c r="F43" s="129">
        <f>F42*0.141</f>
        <v>0</v>
      </c>
      <c r="G43" s="28"/>
      <c r="H43" s="129">
        <f>H42*0.141</f>
        <v>0</v>
      </c>
      <c r="I43" s="28"/>
      <c r="J43" s="129">
        <f>J42*0.141</f>
        <v>0</v>
      </c>
      <c r="K43" s="28"/>
      <c r="L43" s="129">
        <f>L42*0.141</f>
        <v>105.74999999999999</v>
      </c>
      <c r="M43" s="28"/>
      <c r="N43" s="129">
        <f>N42*0.141</f>
        <v>109.97999999999999</v>
      </c>
      <c r="O43" s="28"/>
      <c r="P43" s="129">
        <f>P42*0.141</f>
        <v>0</v>
      </c>
      <c r="Q43" s="28"/>
      <c r="R43" s="129">
        <f>R42*0.141</f>
        <v>0</v>
      </c>
      <c r="S43" s="28"/>
      <c r="T43" s="133">
        <f t="shared" si="4"/>
        <v>215.72999999999996</v>
      </c>
      <c r="U43" s="337"/>
      <c r="V43" s="337"/>
      <c r="W43" s="338"/>
    </row>
    <row r="44" spans="1:23" ht="15" thickBot="1" x14ac:dyDescent="0.35">
      <c r="A44" s="246"/>
      <c r="B44">
        <v>5400</v>
      </c>
      <c r="C44" s="239" t="s">
        <v>48</v>
      </c>
      <c r="D44" s="125">
        <f>(D39+D40+D41)*0.141</f>
        <v>0</v>
      </c>
      <c r="E44" s="28"/>
      <c r="F44" s="129">
        <f>(F39+F40+F41)*0.141</f>
        <v>0</v>
      </c>
      <c r="G44" s="28"/>
      <c r="H44" s="129">
        <f>(H39+H40+H41)*0.141</f>
        <v>0</v>
      </c>
      <c r="I44" s="28"/>
      <c r="J44" s="129">
        <f>(J39+J40+J41)*0.141</f>
        <v>0</v>
      </c>
      <c r="K44" s="28"/>
      <c r="L44" s="129">
        <f>(L39+L40+L41+L45)*0.141</f>
        <v>925.31249999999989</v>
      </c>
      <c r="M44" s="28"/>
      <c r="N44" s="129">
        <f>(N39+N40+N41+N45)*0.141</f>
        <v>962.32499999999993</v>
      </c>
      <c r="O44" s="28"/>
      <c r="P44" s="129">
        <f>(P39+P40+P41)*0.141</f>
        <v>0</v>
      </c>
      <c r="Q44" s="28"/>
      <c r="R44" s="129">
        <f>(R39+R40+R41)*0.141</f>
        <v>0</v>
      </c>
      <c r="S44" s="28"/>
      <c r="T44" s="133">
        <f t="shared" si="4"/>
        <v>1887.6374999999998</v>
      </c>
      <c r="U44" s="339"/>
      <c r="V44" s="339"/>
      <c r="W44" s="340"/>
    </row>
    <row r="45" spans="1:23" x14ac:dyDescent="0.3">
      <c r="A45" s="247"/>
      <c r="B45" s="49">
        <v>5990</v>
      </c>
      <c r="C45" s="237" t="s">
        <v>17</v>
      </c>
      <c r="D45" s="126"/>
      <c r="E45" s="58"/>
      <c r="F45" s="130"/>
      <c r="G45" s="58"/>
      <c r="H45" s="130"/>
      <c r="I45" s="58"/>
      <c r="J45" s="130"/>
      <c r="K45" s="58"/>
      <c r="L45" s="130">
        <f>SUM(L39*5%)</f>
        <v>312.5</v>
      </c>
      <c r="M45" s="58"/>
      <c r="N45" s="130">
        <f>SUM(N39*5%)</f>
        <v>325</v>
      </c>
      <c r="O45" s="58"/>
      <c r="P45" s="130"/>
      <c r="Q45" s="58"/>
      <c r="R45" s="130"/>
      <c r="S45" s="58"/>
      <c r="T45" s="250">
        <f>SUM(D45+F45+H45+J45+L45+N45+P45+R45)</f>
        <v>637.5</v>
      </c>
      <c r="U45" s="234"/>
      <c r="V45" s="234"/>
      <c r="W45" s="234"/>
    </row>
    <row r="46" spans="1:23" ht="15" thickBot="1" x14ac:dyDescent="0.35">
      <c r="A46" s="246" t="s">
        <v>337</v>
      </c>
      <c r="D46" s="127"/>
      <c r="E46" s="40"/>
      <c r="F46" s="131"/>
      <c r="G46" s="40"/>
      <c r="H46" s="131"/>
      <c r="I46" s="40"/>
      <c r="J46" s="131"/>
      <c r="K46" s="40"/>
      <c r="L46" s="131"/>
      <c r="M46" s="40"/>
      <c r="N46" s="131"/>
      <c r="O46" s="40"/>
      <c r="P46" s="131"/>
      <c r="Q46" s="40"/>
      <c r="R46" s="131"/>
      <c r="S46" s="40"/>
      <c r="T46" s="63"/>
    </row>
    <row r="47" spans="1:23" x14ac:dyDescent="0.3">
      <c r="A47" s="246" t="s">
        <v>259</v>
      </c>
      <c r="B47">
        <v>5000</v>
      </c>
      <c r="C47" s="104" t="s">
        <v>10</v>
      </c>
      <c r="D47" s="124">
        <v>0</v>
      </c>
      <c r="E47" s="60">
        <f>D47/$T$39</f>
        <v>0</v>
      </c>
      <c r="F47" s="128">
        <v>0</v>
      </c>
      <c r="G47" s="60">
        <f>F47/$T$39</f>
        <v>0</v>
      </c>
      <c r="H47" s="128">
        <v>0</v>
      </c>
      <c r="I47" s="60">
        <f>H47/$T$39</f>
        <v>0</v>
      </c>
      <c r="J47" s="128">
        <v>6000</v>
      </c>
      <c r="K47" s="60">
        <f>J47/$T$39</f>
        <v>0.47058823529411764</v>
      </c>
      <c r="L47" s="128">
        <v>0</v>
      </c>
      <c r="M47" s="60">
        <f>L47/$T$39</f>
        <v>0</v>
      </c>
      <c r="N47" s="128">
        <v>0</v>
      </c>
      <c r="O47" s="60">
        <f>N47/$T$39</f>
        <v>0</v>
      </c>
      <c r="P47" s="128">
        <v>0</v>
      </c>
      <c r="Q47" s="60">
        <f>P47/$T$39</f>
        <v>0</v>
      </c>
      <c r="R47" s="128">
        <v>0</v>
      </c>
      <c r="S47" s="60">
        <f>R47/$T$39</f>
        <v>0</v>
      </c>
      <c r="T47" s="133">
        <f t="shared" ref="T47:T52" si="5">R47+P47+J47+L47+N47+H47+F47+D47</f>
        <v>6000</v>
      </c>
      <c r="U47" s="335" t="s">
        <v>341</v>
      </c>
      <c r="V47" s="335"/>
      <c r="W47" s="336"/>
    </row>
    <row r="48" spans="1:23" x14ac:dyDescent="0.3">
      <c r="A48" s="246"/>
      <c r="B48">
        <v>5001</v>
      </c>
      <c r="C48" s="104" t="s">
        <v>11</v>
      </c>
      <c r="D48" s="124"/>
      <c r="E48" s="28"/>
      <c r="F48" s="128"/>
      <c r="G48" s="28"/>
      <c r="H48" s="128"/>
      <c r="I48" s="28"/>
      <c r="J48" s="128"/>
      <c r="K48" s="28"/>
      <c r="L48" s="128"/>
      <c r="M48" s="28"/>
      <c r="N48" s="128"/>
      <c r="O48" s="28"/>
      <c r="P48" s="128"/>
      <c r="Q48" s="28"/>
      <c r="R48" s="128"/>
      <c r="S48" s="28"/>
      <c r="T48" s="133">
        <f t="shared" si="5"/>
        <v>0</v>
      </c>
      <c r="U48" s="337"/>
      <c r="V48" s="337"/>
      <c r="W48" s="338"/>
    </row>
    <row r="49" spans="1:25" x14ac:dyDescent="0.3">
      <c r="A49" s="246"/>
      <c r="B49">
        <v>5004</v>
      </c>
      <c r="C49" s="104" t="s">
        <v>12</v>
      </c>
      <c r="D49" s="124"/>
      <c r="E49" s="28"/>
      <c r="F49" s="128"/>
      <c r="G49" s="28"/>
      <c r="H49" s="128"/>
      <c r="I49" s="28"/>
      <c r="J49" s="128"/>
      <c r="K49" s="28"/>
      <c r="L49" s="128"/>
      <c r="M49" s="28"/>
      <c r="N49" s="128"/>
      <c r="O49" s="28"/>
      <c r="P49" s="128"/>
      <c r="Q49" s="28"/>
      <c r="R49" s="128"/>
      <c r="S49" s="28"/>
      <c r="T49" s="133">
        <f t="shared" si="5"/>
        <v>0</v>
      </c>
      <c r="U49" s="337"/>
      <c r="V49" s="337"/>
      <c r="W49" s="338"/>
    </row>
    <row r="50" spans="1:25" x14ac:dyDescent="0.3">
      <c r="A50" s="246"/>
      <c r="B50">
        <v>5180</v>
      </c>
      <c r="C50" s="104" t="s">
        <v>13</v>
      </c>
      <c r="D50" s="125">
        <f>(D48+D47)*0.12</f>
        <v>0</v>
      </c>
      <c r="E50" s="28"/>
      <c r="F50" s="129">
        <f>(F48+F47)*0.12</f>
        <v>0</v>
      </c>
      <c r="G50" s="28"/>
      <c r="H50" s="129">
        <f>(H48+H47)*0.12</f>
        <v>0</v>
      </c>
      <c r="I50" s="28"/>
      <c r="J50" s="129">
        <f>(J48+J47)*0.12</f>
        <v>720</v>
      </c>
      <c r="K50" s="28"/>
      <c r="L50" s="129">
        <f>(L48+L47)*0.12</f>
        <v>0</v>
      </c>
      <c r="M50" s="28"/>
      <c r="N50" s="129">
        <f>(N48+N47)*0.12</f>
        <v>0</v>
      </c>
      <c r="O50" s="28"/>
      <c r="P50" s="129">
        <f>(P48+P47)*0.12</f>
        <v>0</v>
      </c>
      <c r="Q50" s="28"/>
      <c r="R50" s="129">
        <f>(R48+R47)*0.12</f>
        <v>0</v>
      </c>
      <c r="S50" s="28"/>
      <c r="T50" s="133">
        <f t="shared" si="5"/>
        <v>720</v>
      </c>
      <c r="U50" s="337"/>
      <c r="V50" s="337"/>
      <c r="W50" s="338"/>
    </row>
    <row r="51" spans="1:25" ht="28.8" x14ac:dyDescent="0.3">
      <c r="A51" s="246"/>
      <c r="B51">
        <v>5182</v>
      </c>
      <c r="C51" s="104" t="s">
        <v>14</v>
      </c>
      <c r="D51" s="125">
        <f>D50*0.141</f>
        <v>0</v>
      </c>
      <c r="E51" s="28"/>
      <c r="F51" s="129">
        <f>F50*0.141</f>
        <v>0</v>
      </c>
      <c r="G51" s="28"/>
      <c r="H51" s="129">
        <f>H50*0.141</f>
        <v>0</v>
      </c>
      <c r="I51" s="28"/>
      <c r="J51" s="129">
        <f>J50*0.141</f>
        <v>101.52</v>
      </c>
      <c r="K51" s="28"/>
      <c r="L51" s="129">
        <f>L50*0.141</f>
        <v>0</v>
      </c>
      <c r="M51" s="28"/>
      <c r="N51" s="129">
        <f>N50*0.141</f>
        <v>0</v>
      </c>
      <c r="O51" s="28"/>
      <c r="P51" s="129">
        <f>P50*0.141</f>
        <v>0</v>
      </c>
      <c r="Q51" s="28"/>
      <c r="R51" s="129">
        <f>R50*0.141</f>
        <v>0</v>
      </c>
      <c r="S51" s="28"/>
      <c r="T51" s="133">
        <f t="shared" si="5"/>
        <v>101.52</v>
      </c>
      <c r="U51" s="337"/>
      <c r="V51" s="337"/>
      <c r="W51" s="338"/>
      <c r="Y51" s="235"/>
    </row>
    <row r="52" spans="1:25" ht="15" thickBot="1" x14ac:dyDescent="0.35">
      <c r="A52" s="246"/>
      <c r="B52">
        <v>5400</v>
      </c>
      <c r="C52" s="239" t="s">
        <v>48</v>
      </c>
      <c r="D52" s="125">
        <f>(D47+D48+D49)*0.141</f>
        <v>0</v>
      </c>
      <c r="E52" s="28"/>
      <c r="F52" s="129">
        <f>(F47+F48+F49)*0.141</f>
        <v>0</v>
      </c>
      <c r="G52" s="28"/>
      <c r="H52" s="129">
        <f>(H47+H48+H49)*0.141</f>
        <v>0</v>
      </c>
      <c r="I52" s="28"/>
      <c r="J52" s="129">
        <f>(J47+J48+J49+J53)*0.141</f>
        <v>888.3</v>
      </c>
      <c r="K52" s="28"/>
      <c r="L52" s="129">
        <f>(L47+L48+L49)*0.141</f>
        <v>0</v>
      </c>
      <c r="M52" s="28"/>
      <c r="N52" s="129">
        <f>(N47+N48+N49)*0.141</f>
        <v>0</v>
      </c>
      <c r="O52" s="28"/>
      <c r="P52" s="129">
        <f>(P47+P48+P49)*0.141</f>
        <v>0</v>
      </c>
      <c r="Q52" s="28"/>
      <c r="R52" s="129">
        <f>(R47+R48+R49)*0.141</f>
        <v>0</v>
      </c>
      <c r="S52" s="28"/>
      <c r="T52" s="133">
        <f t="shared" si="5"/>
        <v>888.3</v>
      </c>
      <c r="U52" s="339"/>
      <c r="V52" s="339"/>
      <c r="W52" s="340"/>
    </row>
    <row r="53" spans="1:25" ht="15" thickBot="1" x14ac:dyDescent="0.35">
      <c r="A53" s="248"/>
      <c r="B53" s="41">
        <v>5990</v>
      </c>
      <c r="C53" s="249" t="s">
        <v>17</v>
      </c>
      <c r="D53" s="241"/>
      <c r="E53" s="62"/>
      <c r="F53" s="132"/>
      <c r="G53" s="62"/>
      <c r="H53" s="132"/>
      <c r="I53" s="62"/>
      <c r="J53" s="132">
        <f>SUM(J47*5%)</f>
        <v>300</v>
      </c>
      <c r="K53" s="62"/>
      <c r="L53" s="132"/>
      <c r="M53" s="62"/>
      <c r="N53" s="132"/>
      <c r="O53" s="62"/>
      <c r="P53" s="132"/>
      <c r="Q53" s="62"/>
      <c r="R53" s="132"/>
      <c r="S53" s="62"/>
      <c r="T53" s="252">
        <f>SUM(D53+F53+H53+J53+L53+N53+P53+R53)</f>
        <v>300</v>
      </c>
      <c r="U53" s="234"/>
      <c r="V53" s="234"/>
      <c r="W53" s="234"/>
    </row>
    <row r="54" spans="1:25" ht="15.6" x14ac:dyDescent="0.3">
      <c r="D54" s="22"/>
      <c r="E54" s="40"/>
      <c r="H54" s="22"/>
      <c r="I54" s="40"/>
      <c r="P54" s="22"/>
      <c r="Q54" s="40"/>
      <c r="R54" s="22"/>
      <c r="S54" s="40"/>
      <c r="T54" s="253"/>
    </row>
    <row r="55" spans="1:25" x14ac:dyDescent="0.3">
      <c r="D55" s="22"/>
      <c r="E55" s="40"/>
      <c r="H55" s="22"/>
      <c r="I55" s="40"/>
      <c r="P55" s="22"/>
      <c r="Q55" s="40"/>
      <c r="R55" s="22"/>
      <c r="S55" s="40"/>
    </row>
    <row r="56" spans="1:25" ht="15" thickBot="1" x14ac:dyDescent="0.35">
      <c r="D56" s="13"/>
      <c r="E56" s="42"/>
      <c r="F56" s="41"/>
      <c r="G56" s="41"/>
      <c r="H56" s="13"/>
      <c r="I56" s="42"/>
      <c r="J56" s="41"/>
      <c r="K56" s="41"/>
      <c r="L56" s="41"/>
      <c r="M56" s="41"/>
      <c r="N56" s="41"/>
      <c r="O56" s="41"/>
      <c r="P56" s="13"/>
      <c r="Q56" s="42"/>
      <c r="R56" s="13"/>
      <c r="S56" s="42"/>
      <c r="T56" s="66"/>
    </row>
    <row r="57" spans="1:25" ht="15" thickBot="1" x14ac:dyDescent="0.35">
      <c r="A57" s="156" t="s">
        <v>125</v>
      </c>
      <c r="B57" s="27"/>
      <c r="C57" s="159" t="s">
        <v>134</v>
      </c>
      <c r="D57" s="134">
        <f>SUM(D7:D52)</f>
        <v>322277.520915</v>
      </c>
      <c r="E57" s="78"/>
      <c r="F57" s="134">
        <f>SUM(F7:F52)</f>
        <v>204350.86877449998</v>
      </c>
      <c r="G57" s="78"/>
      <c r="H57" s="134">
        <f>SUM(H7:H52)</f>
        <v>204350.86877449998</v>
      </c>
      <c r="I57" s="78"/>
      <c r="J57" s="134">
        <f>SUM(J7:J52)</f>
        <v>132513.22836599997</v>
      </c>
      <c r="K57" s="78"/>
      <c r="L57" s="134">
        <f>SUM(L7:L52)</f>
        <v>8343.5625</v>
      </c>
      <c r="M57" s="78"/>
      <c r="N57" s="134">
        <f>SUM(N7:N52)</f>
        <v>8677.3050000000003</v>
      </c>
      <c r="O57" s="78"/>
      <c r="P57" s="134">
        <f>SUM(P7:P52)</f>
        <v>103511.52</v>
      </c>
      <c r="Q57" s="78"/>
      <c r="R57" s="134">
        <f>SUM(R7:R52)</f>
        <v>44727.199999999997</v>
      </c>
      <c r="S57" s="78"/>
      <c r="T57" s="134">
        <f>SUM(T7:T54)</f>
        <v>1029052.07433</v>
      </c>
    </row>
    <row r="58" spans="1:25" ht="15" thickBot="1" x14ac:dyDescent="0.35"/>
    <row r="59" spans="1:25" x14ac:dyDescent="0.3">
      <c r="B59" s="160">
        <v>5000</v>
      </c>
      <c r="C59" s="161" t="s">
        <v>10</v>
      </c>
      <c r="D59" s="162">
        <f>D7+D16+D23+D39+D47</f>
        <v>233719.5</v>
      </c>
      <c r="E59" s="163"/>
      <c r="F59" s="162">
        <f>F7+F16+F23+F39+F47</f>
        <v>70115.849999999991</v>
      </c>
      <c r="G59" s="163"/>
      <c r="H59" s="162">
        <f>H7+H16+H23+H39+H47</f>
        <v>70115.849999999991</v>
      </c>
      <c r="I59" s="163"/>
      <c r="J59" s="162">
        <f>J7+J16+J23+J39+J47</f>
        <v>99487.8</v>
      </c>
      <c r="K59" s="163"/>
      <c r="L59" s="162">
        <f>L7+L16+L23+L39+L47</f>
        <v>6250</v>
      </c>
      <c r="M59" s="163"/>
      <c r="N59" s="162">
        <f>N7+N16+N23+N39+N47</f>
        <v>6500</v>
      </c>
      <c r="O59" s="163"/>
      <c r="P59" s="162">
        <f>P7+P16+P23+P39+P47</f>
        <v>81000</v>
      </c>
      <c r="Q59" s="163"/>
      <c r="R59" s="162">
        <f>R7+R16+R23+R39+R47</f>
        <v>35000</v>
      </c>
      <c r="S59" s="163"/>
      <c r="T59" s="164">
        <f>T7+T16+T23+T39+T47</f>
        <v>602189</v>
      </c>
      <c r="U59" s="144"/>
    </row>
    <row r="60" spans="1:25" x14ac:dyDescent="0.3">
      <c r="B60" s="165">
        <v>5001</v>
      </c>
      <c r="C60" s="166" t="s">
        <v>11</v>
      </c>
      <c r="D60" s="167">
        <f>D8+D17+D24+D40+D48</f>
        <v>0</v>
      </c>
      <c r="E60" s="168"/>
      <c r="F60" s="167">
        <f>F8+F17+F24+F40+F48</f>
        <v>0</v>
      </c>
      <c r="G60" s="168"/>
      <c r="H60" s="167">
        <f>H8+H17+H24+H40+H48</f>
        <v>0</v>
      </c>
      <c r="I60" s="168"/>
      <c r="J60" s="167">
        <f>J8+J17+J24+J40+J48</f>
        <v>0</v>
      </c>
      <c r="K60" s="168"/>
      <c r="L60" s="167">
        <f>L8+L17+L24+L40+L48</f>
        <v>0</v>
      </c>
      <c r="M60" s="168"/>
      <c r="N60" s="167">
        <f>N8+N17+N24+N40+N48</f>
        <v>0</v>
      </c>
      <c r="O60" s="168"/>
      <c r="P60" s="167">
        <f>P8+P17+P24+P40+P48</f>
        <v>0</v>
      </c>
      <c r="Q60" s="168"/>
      <c r="R60" s="167">
        <f>R8+R17+R24+R40+R48</f>
        <v>0</v>
      </c>
      <c r="S60" s="168"/>
      <c r="T60" s="169">
        <f>T8+T17+T24+T40+T48</f>
        <v>0</v>
      </c>
      <c r="U60" s="22"/>
    </row>
    <row r="61" spans="1:25" x14ac:dyDescent="0.3">
      <c r="B61" s="165">
        <v>5004</v>
      </c>
      <c r="C61" s="166" t="s">
        <v>12</v>
      </c>
      <c r="D61" s="167">
        <f>D9+D18+D25+D41+D49</f>
        <v>0</v>
      </c>
      <c r="E61" s="168"/>
      <c r="F61" s="167">
        <f>F9+F18+F25+F41+F49</f>
        <v>0</v>
      </c>
      <c r="G61" s="168"/>
      <c r="H61" s="167">
        <f>H9+H18+H25+H41+H49</f>
        <v>0</v>
      </c>
      <c r="I61" s="168"/>
      <c r="J61" s="167">
        <f>J9+J18+J25+J41+J49</f>
        <v>0</v>
      </c>
      <c r="K61" s="168"/>
      <c r="L61" s="167">
        <f>L9+L18+L25+L41+L49</f>
        <v>0</v>
      </c>
      <c r="M61" s="168"/>
      <c r="N61" s="167">
        <f>N9+N18+N25+N41+N49</f>
        <v>0</v>
      </c>
      <c r="O61" s="168"/>
      <c r="P61" s="167">
        <f>P9+P18+P25+P41+P49</f>
        <v>0</v>
      </c>
      <c r="Q61" s="168"/>
      <c r="R61" s="167">
        <f>R9+R18+R25+R41+R49</f>
        <v>0</v>
      </c>
      <c r="S61" s="168"/>
      <c r="T61" s="169">
        <f>T9+T18+T25+T41+T49</f>
        <v>0</v>
      </c>
      <c r="U61" s="22"/>
    </row>
    <row r="62" spans="1:25" x14ac:dyDescent="0.3">
      <c r="B62" s="165">
        <v>5180</v>
      </c>
      <c r="C62" s="166" t="s">
        <v>13</v>
      </c>
      <c r="D62" s="167">
        <f>D10+D19+D26+D42+D50</f>
        <v>28046.34</v>
      </c>
      <c r="E62" s="168"/>
      <c r="F62" s="167">
        <f>F10+F19+F26+F42+F50</f>
        <v>8413.9019999999982</v>
      </c>
      <c r="G62" s="168"/>
      <c r="H62" s="167">
        <f>H10+H19+H26+H42+H50</f>
        <v>8413.9019999999982</v>
      </c>
      <c r="I62" s="168"/>
      <c r="J62" s="167">
        <f>J10+J19+J26+J42+J50</f>
        <v>11938.536</v>
      </c>
      <c r="K62" s="168"/>
      <c r="L62" s="167">
        <f>L10+L19+L26+L42+L50</f>
        <v>750</v>
      </c>
      <c r="M62" s="168"/>
      <c r="N62" s="167">
        <f>N10+N19+N26+N42+N50</f>
        <v>780</v>
      </c>
      <c r="O62" s="168"/>
      <c r="P62" s="167">
        <f>P10+P19+P26+P42+P50</f>
        <v>9720</v>
      </c>
      <c r="Q62" s="168"/>
      <c r="R62" s="167">
        <f>R10+R19+R26+R42+R50</f>
        <v>4200</v>
      </c>
      <c r="S62" s="168"/>
      <c r="T62" s="169">
        <f>T10+T19+T26+T42+T50</f>
        <v>72262.679999999993</v>
      </c>
      <c r="U62" s="22"/>
    </row>
    <row r="63" spans="1:25" ht="28.8" x14ac:dyDescent="0.3">
      <c r="B63" s="165">
        <v>5182</v>
      </c>
      <c r="C63" s="166" t="s">
        <v>14</v>
      </c>
      <c r="D63" s="167">
        <f>D11+D20+D27+D43+D51</f>
        <v>3954.5339399999998</v>
      </c>
      <c r="E63" s="168"/>
      <c r="F63" s="167">
        <f>F11+F20+F27+F43+F51</f>
        <v>1186.3601819999997</v>
      </c>
      <c r="G63" s="168"/>
      <c r="H63" s="167">
        <f>H11+H20+H27+H43+H51</f>
        <v>1186.3601819999997</v>
      </c>
      <c r="I63" s="168"/>
      <c r="J63" s="167">
        <f>J11+J20+J27+J43+J51</f>
        <v>1683.3335759999998</v>
      </c>
      <c r="K63" s="168"/>
      <c r="L63" s="167">
        <f>L11+L20+L27+L43+L51</f>
        <v>105.74999999999999</v>
      </c>
      <c r="M63" s="168"/>
      <c r="N63" s="167">
        <f>N11+N20+N27+N43+N51</f>
        <v>109.97999999999999</v>
      </c>
      <c r="O63" s="168"/>
      <c r="P63" s="167">
        <f>P11+P20+P27+P43+P51</f>
        <v>1370.5199999999998</v>
      </c>
      <c r="Q63" s="168"/>
      <c r="R63" s="167">
        <f>R11+R20+R27+R43+R51</f>
        <v>592.19999999999993</v>
      </c>
      <c r="S63" s="168"/>
      <c r="T63" s="169">
        <f>T11+T20+T27+T43+T51</f>
        <v>10189.03788</v>
      </c>
      <c r="U63" s="22"/>
    </row>
    <row r="64" spans="1:25" x14ac:dyDescent="0.3">
      <c r="B64" s="165">
        <v>5211</v>
      </c>
      <c r="C64" s="166" t="s">
        <v>153</v>
      </c>
      <c r="D64" s="167">
        <f>D12</f>
        <v>9000</v>
      </c>
      <c r="E64" s="168"/>
      <c r="F64" s="167">
        <f>F12</f>
        <v>0</v>
      </c>
      <c r="G64" s="168"/>
      <c r="H64" s="167">
        <f>H12</f>
        <v>0</v>
      </c>
      <c r="I64" s="168"/>
      <c r="J64" s="167">
        <f>J12</f>
        <v>0</v>
      </c>
      <c r="K64" s="168"/>
      <c r="L64" s="167">
        <f>L12</f>
        <v>0</v>
      </c>
      <c r="M64" s="168"/>
      <c r="N64" s="167">
        <f>N12</f>
        <v>0</v>
      </c>
      <c r="O64" s="168"/>
      <c r="P64" s="167">
        <f>P12</f>
        <v>0</v>
      </c>
      <c r="Q64" s="168"/>
      <c r="R64" s="167">
        <f>R12</f>
        <v>0</v>
      </c>
      <c r="S64" s="168"/>
      <c r="T64" s="169">
        <f>T12</f>
        <v>9000</v>
      </c>
      <c r="U64" s="22"/>
    </row>
    <row r="65" spans="2:21" x14ac:dyDescent="0.3">
      <c r="B65" s="165">
        <v>5400</v>
      </c>
      <c r="C65" s="166" t="s">
        <v>48</v>
      </c>
      <c r="D65" s="167">
        <f>D13+D21+D28+D44+D52</f>
        <v>35871.171974999997</v>
      </c>
      <c r="E65" s="168"/>
      <c r="F65" s="167">
        <f>F13+F21+F28+F44+F52</f>
        <v>10380.651592499997</v>
      </c>
      <c r="G65" s="168"/>
      <c r="H65" s="167">
        <f>H13+H21+H28+H44+H52</f>
        <v>10380.651592499997</v>
      </c>
      <c r="I65" s="168"/>
      <c r="J65" s="167">
        <f>J13+J21+J28+J44+J52</f>
        <v>14729.168789999998</v>
      </c>
      <c r="K65" s="168"/>
      <c r="L65" s="167">
        <f>L13+L21+L28+L44+L52</f>
        <v>925.31249999999989</v>
      </c>
      <c r="M65" s="168"/>
      <c r="N65" s="167">
        <f>N13+N21+N28+N44+N52</f>
        <v>962.32499999999993</v>
      </c>
      <c r="O65" s="168"/>
      <c r="P65" s="167">
        <f>P13+P21+P28+P44+P52</f>
        <v>11420.999999999998</v>
      </c>
      <c r="Q65" s="168"/>
      <c r="R65" s="167">
        <f>R13+R21+R28+R44+R52</f>
        <v>4934.9999999999991</v>
      </c>
      <c r="S65" s="168"/>
      <c r="T65" s="169">
        <f>T13+T21+T28+T44+T52</f>
        <v>89605.28144999998</v>
      </c>
      <c r="U65" s="22"/>
    </row>
    <row r="66" spans="2:21" ht="15" thickBot="1" x14ac:dyDescent="0.35">
      <c r="B66" s="170">
        <v>5990</v>
      </c>
      <c r="C66" s="171" t="s">
        <v>152</v>
      </c>
      <c r="D66" s="172">
        <f>D14</f>
        <v>11685.975</v>
      </c>
      <c r="E66" s="173"/>
      <c r="F66" s="172">
        <f>F14</f>
        <v>3505.7924999999996</v>
      </c>
      <c r="G66" s="173"/>
      <c r="H66" s="172">
        <f>H14</f>
        <v>3505.7924999999996</v>
      </c>
      <c r="I66" s="173"/>
      <c r="J66" s="172">
        <f>J14</f>
        <v>4674.3900000000003</v>
      </c>
      <c r="K66" s="173"/>
      <c r="L66" s="172">
        <f>L14</f>
        <v>0</v>
      </c>
      <c r="M66" s="173"/>
      <c r="N66" s="172">
        <f>N14</f>
        <v>0</v>
      </c>
      <c r="O66" s="173"/>
      <c r="P66" s="172">
        <f>P14</f>
        <v>0</v>
      </c>
      <c r="Q66" s="173"/>
      <c r="R66" s="172">
        <f>R14</f>
        <v>0</v>
      </c>
      <c r="S66" s="173"/>
      <c r="T66" s="174">
        <f>T14</f>
        <v>23371.949999999997</v>
      </c>
      <c r="U66" s="13"/>
    </row>
    <row r="68" spans="2:21" x14ac:dyDescent="0.3">
      <c r="D68" s="143"/>
      <c r="L68">
        <f>881*2</f>
        <v>1762</v>
      </c>
    </row>
  </sheetData>
  <sheetProtection algorithmName="SHA-512" hashValue="Hl6ywmN+Y+JXdG2rTemW4eAW0cAHnpARl3IrMthzeZY2rlCN0Z4jXmMtZ+EhRXJqTEy+7LXlBo/Kd0DKkdv3wQ==" saltValue="vZm7QeUwhiDLL/ZSGcOWpw==" spinCount="100000" sheet="1" objects="1" scenarios="1"/>
  <mergeCells count="8">
    <mergeCell ref="U23:W28"/>
    <mergeCell ref="U39:W44"/>
    <mergeCell ref="U47:W52"/>
    <mergeCell ref="B1:C1"/>
    <mergeCell ref="B2:C2"/>
    <mergeCell ref="U6:W14"/>
    <mergeCell ref="U16:W21"/>
    <mergeCell ref="U30:W3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4"/>
  <sheetViews>
    <sheetView topLeftCell="B1" zoomScale="95" zoomScaleNormal="95" workbookViewId="0">
      <selection activeCell="K7" sqref="K7"/>
    </sheetView>
  </sheetViews>
  <sheetFormatPr baseColWidth="10" defaultColWidth="11.5546875" defaultRowHeight="14.4" x14ac:dyDescent="0.3"/>
  <cols>
    <col min="1" max="1" width="7.44140625" bestFit="1" customWidth="1"/>
    <col min="2" max="2" width="11.44140625" bestFit="1" customWidth="1"/>
    <col min="3" max="3" width="30.5546875" style="104" customWidth="1"/>
    <col min="4" max="5" width="16" style="104" bestFit="1" customWidth="1"/>
    <col min="6" max="6" width="16" bestFit="1" customWidth="1"/>
    <col min="7" max="7" width="26.5546875" style="73" bestFit="1" customWidth="1"/>
  </cols>
  <sheetData>
    <row r="1" spans="1:7" ht="15" thickBot="1" x14ac:dyDescent="0.35"/>
    <row r="2" spans="1:7" ht="15" thickBot="1" x14ac:dyDescent="0.35">
      <c r="A2" s="43"/>
      <c r="B2" s="44"/>
      <c r="C2" s="145"/>
      <c r="D2" s="356" t="s">
        <v>376</v>
      </c>
      <c r="E2" s="357"/>
      <c r="F2" s="358"/>
      <c r="G2"/>
    </row>
    <row r="3" spans="1:7" ht="15" thickBot="1" x14ac:dyDescent="0.35">
      <c r="A3" s="26"/>
      <c r="B3" s="27"/>
      <c r="C3" s="146" t="s">
        <v>112</v>
      </c>
      <c r="D3" s="68">
        <f>D6+D21+D26+D33+D46+D56+D78+D67+D87</f>
        <v>-377153.67999999993</v>
      </c>
      <c r="E3" s="68">
        <f>E6+E21+E26+E33+E46+E56+E78+E67+E87</f>
        <v>229570</v>
      </c>
      <c r="F3" s="360">
        <f>F6+F21+F26+F33+F46+F56+F78+F67+F87</f>
        <v>-342770.77432999993</v>
      </c>
      <c r="G3" s="79"/>
    </row>
    <row r="4" spans="1:7" ht="15" thickBot="1" x14ac:dyDescent="0.35">
      <c r="G4" s="218" t="s">
        <v>366</v>
      </c>
    </row>
    <row r="5" spans="1:7" ht="15" thickBot="1" x14ac:dyDescent="0.35">
      <c r="A5" s="43" t="s">
        <v>111</v>
      </c>
      <c r="B5" s="44" t="s">
        <v>109</v>
      </c>
      <c r="C5" s="147" t="s">
        <v>110</v>
      </c>
      <c r="D5" s="355" t="s">
        <v>374</v>
      </c>
      <c r="E5" s="355" t="s">
        <v>343</v>
      </c>
      <c r="F5" s="359" t="s">
        <v>366</v>
      </c>
      <c r="G5" s="219" t="s">
        <v>309</v>
      </c>
    </row>
    <row r="6" spans="1:7" x14ac:dyDescent="0.3">
      <c r="A6" s="46" t="s">
        <v>84</v>
      </c>
      <c r="B6" s="342" t="s">
        <v>172</v>
      </c>
      <c r="C6" s="343"/>
      <c r="D6" s="69">
        <f>SUM(D7:D19)</f>
        <v>1360358.37</v>
      </c>
      <c r="E6" s="69">
        <f>SUM(E7:E19)</f>
        <v>1578699</v>
      </c>
      <c r="F6" s="69">
        <f>SUM(F7:F19)</f>
        <v>1333622.479085</v>
      </c>
      <c r="G6" s="217">
        <f>('1 Administrasjon'!BF69)/('1 Administrasjon'!BF69+'2 Ekstern kommunikasjon'!AA55+'3 Forbundsutvikling'!AE52+'4. Utvilklingstiltak'!BC58+'5 Klubbutvikling'!AQ54+'6 Barn og Ungdom'!AQ55+'7 Konkurranse'!AU68+'8 Eliteaktivitet'!AU58+'9 Anlegg og infrastruktur'!AA55)</f>
        <v>0.23089065631033984</v>
      </c>
    </row>
    <row r="7" spans="1:7" x14ac:dyDescent="0.3">
      <c r="A7" s="22"/>
      <c r="B7">
        <v>10000</v>
      </c>
      <c r="C7" s="148" t="s">
        <v>85</v>
      </c>
      <c r="D7" s="353">
        <v>-440485.63</v>
      </c>
      <c r="E7" s="353">
        <v>-451119</v>
      </c>
      <c r="F7" s="71">
        <f>SUM('1 Administrasjon'!D70)</f>
        <v>-467977.520915</v>
      </c>
      <c r="G7" s="75"/>
    </row>
    <row r="8" spans="1:7" x14ac:dyDescent="0.3">
      <c r="A8" s="22"/>
      <c r="B8">
        <v>11000</v>
      </c>
      <c r="C8" s="148" t="s">
        <v>54</v>
      </c>
      <c r="D8" s="353">
        <v>-27256</v>
      </c>
      <c r="E8" s="353"/>
      <c r="F8" s="71">
        <f>SUM('1 Administrasjon'!H70)</f>
        <v>-27256</v>
      </c>
      <c r="G8" s="75"/>
    </row>
    <row r="9" spans="1:7" x14ac:dyDescent="0.3">
      <c r="A9" s="22"/>
      <c r="B9">
        <v>12000</v>
      </c>
      <c r="C9" s="148" t="s">
        <v>55</v>
      </c>
      <c r="D9" s="353">
        <v>-39200</v>
      </c>
      <c r="E9" s="353">
        <v>-25491</v>
      </c>
      <c r="F9" s="71">
        <f>SUM('1 Administrasjon'!L70)</f>
        <v>-24200</v>
      </c>
      <c r="G9" s="75"/>
    </row>
    <row r="10" spans="1:7" x14ac:dyDescent="0.3">
      <c r="A10" s="22"/>
      <c r="B10">
        <v>13000</v>
      </c>
      <c r="C10" s="148" t="s">
        <v>301</v>
      </c>
      <c r="D10" s="353">
        <v>-4700</v>
      </c>
      <c r="E10" s="353"/>
      <c r="F10" s="71">
        <f>SUM('1 Administrasjon'!P70)</f>
        <v>-18500</v>
      </c>
      <c r="G10" s="75"/>
    </row>
    <row r="11" spans="1:7" x14ac:dyDescent="0.3">
      <c r="A11" s="22"/>
      <c r="B11">
        <v>13001</v>
      </c>
      <c r="C11" s="148" t="s">
        <v>290</v>
      </c>
      <c r="D11" s="353">
        <v>-8000</v>
      </c>
      <c r="E11" s="353">
        <v>-4862</v>
      </c>
      <c r="F11" s="71">
        <f>SUM('1 Administrasjon'!T70)</f>
        <v>-3000</v>
      </c>
      <c r="G11" s="75"/>
    </row>
    <row r="12" spans="1:7" x14ac:dyDescent="0.3">
      <c r="A12" s="22"/>
      <c r="B12">
        <v>14000</v>
      </c>
      <c r="C12" s="148" t="s">
        <v>302</v>
      </c>
      <c r="D12" s="353"/>
      <c r="E12" s="353">
        <v>-5369</v>
      </c>
      <c r="F12" s="71">
        <f>SUM('1 Administrasjon'!X70)</f>
        <v>-22000</v>
      </c>
      <c r="G12" s="75"/>
    </row>
    <row r="13" spans="1:7" x14ac:dyDescent="0.3">
      <c r="A13" s="22"/>
      <c r="B13">
        <v>19001</v>
      </c>
      <c r="C13" s="148" t="s">
        <v>225</v>
      </c>
      <c r="D13" s="353">
        <v>760000</v>
      </c>
      <c r="E13" s="353">
        <v>837552</v>
      </c>
      <c r="F13" s="71">
        <f>SUM('1 Administrasjon'!AB70)</f>
        <v>781773</v>
      </c>
      <c r="G13" s="75"/>
    </row>
    <row r="14" spans="1:7" ht="28.8" x14ac:dyDescent="0.3">
      <c r="A14" s="22"/>
      <c r="B14">
        <v>19002</v>
      </c>
      <c r="C14" s="148" t="s">
        <v>226</v>
      </c>
      <c r="D14" s="353">
        <v>200000</v>
      </c>
      <c r="E14" s="353">
        <v>186573</v>
      </c>
      <c r="F14" s="71">
        <f>SUM('1 Administrasjon'!AF70)</f>
        <v>194783</v>
      </c>
      <c r="G14" s="75"/>
    </row>
    <row r="15" spans="1:7" x14ac:dyDescent="0.3">
      <c r="A15" s="22"/>
      <c r="B15">
        <v>19003</v>
      </c>
      <c r="C15" s="148" t="s">
        <v>144</v>
      </c>
      <c r="D15" s="353">
        <v>550000</v>
      </c>
      <c r="E15" s="353">
        <v>637664</v>
      </c>
      <c r="F15" s="71">
        <f>SUM('1 Administrasjon'!AJ70)</f>
        <v>550000</v>
      </c>
      <c r="G15" s="75"/>
    </row>
    <row r="16" spans="1:7" x14ac:dyDescent="0.3">
      <c r="A16" s="22"/>
      <c r="B16">
        <v>19004</v>
      </c>
      <c r="C16" s="148" t="s">
        <v>177</v>
      </c>
      <c r="D16" s="353">
        <v>0</v>
      </c>
      <c r="E16" s="353">
        <v>2728</v>
      </c>
      <c r="F16" s="71">
        <f>SUM('1 Administrasjon'!AN70)</f>
        <v>0</v>
      </c>
      <c r="G16" s="75"/>
    </row>
    <row r="17" spans="1:12" x14ac:dyDescent="0.3">
      <c r="A17" s="22"/>
      <c r="B17">
        <v>19005</v>
      </c>
      <c r="C17" s="148" t="s">
        <v>174</v>
      </c>
      <c r="D17" s="353">
        <v>250000</v>
      </c>
      <c r="E17" s="353">
        <v>296792</v>
      </c>
      <c r="F17" s="71">
        <f>SUM('1 Administrasjon'!AR70)</f>
        <v>250000</v>
      </c>
      <c r="G17" s="75"/>
    </row>
    <row r="18" spans="1:12" x14ac:dyDescent="0.3">
      <c r="A18" s="22"/>
      <c r="B18">
        <v>19006</v>
      </c>
      <c r="C18" s="148" t="s">
        <v>212</v>
      </c>
      <c r="D18" s="353">
        <v>100000</v>
      </c>
      <c r="E18" s="353">
        <v>104231</v>
      </c>
      <c r="F18" s="71">
        <f>SUM('1 Administrasjon'!AV70)</f>
        <v>100000</v>
      </c>
      <c r="G18" s="75"/>
    </row>
    <row r="19" spans="1:12" x14ac:dyDescent="0.3">
      <c r="A19" s="22"/>
      <c r="B19">
        <v>19007</v>
      </c>
      <c r="C19" s="148" t="s">
        <v>213</v>
      </c>
      <c r="D19" s="353">
        <v>20000</v>
      </c>
      <c r="E19" s="353">
        <v>0</v>
      </c>
      <c r="F19" s="71">
        <f>SUM('1 Administrasjon'!AZ70)</f>
        <v>20000</v>
      </c>
      <c r="G19" s="75"/>
    </row>
    <row r="20" spans="1:12" ht="15" thickBot="1" x14ac:dyDescent="0.35">
      <c r="A20" s="22"/>
      <c r="C20" s="148"/>
      <c r="D20" s="353"/>
      <c r="E20" s="353"/>
      <c r="F20" s="71"/>
      <c r="G20" s="75"/>
    </row>
    <row r="21" spans="1:12" x14ac:dyDescent="0.3">
      <c r="A21" s="46" t="s">
        <v>86</v>
      </c>
      <c r="B21" s="342" t="s">
        <v>87</v>
      </c>
      <c r="C21" s="343"/>
      <c r="D21" s="70">
        <f t="shared" ref="D21:E21" si="0">SUM(D22:D24)</f>
        <v>-27500</v>
      </c>
      <c r="E21" s="70">
        <f t="shared" si="0"/>
        <v>-36063</v>
      </c>
      <c r="F21" s="70">
        <f>SUM(F22:F24)</f>
        <v>-34500</v>
      </c>
      <c r="G21" s="77">
        <f>('2 Ekstern kommunikasjon'!AA55)/('1 Administrasjon'!BF69+'2 Ekstern kommunikasjon'!AA55+'3 Forbundsutvikling'!AE52+'4. Utvilklingstiltak'!BC58+'5 Klubbutvikling'!AQ54+'6 Barn og Ungdom'!AQ55+'7 Konkurranse'!AU68+'8 Eliteaktivitet'!AU58+'9 Anlegg og infrastruktur'!AA55)</f>
        <v>2.4975160214059378E-2</v>
      </c>
    </row>
    <row r="22" spans="1:12" x14ac:dyDescent="0.3">
      <c r="A22" s="22"/>
      <c r="B22">
        <v>20000</v>
      </c>
      <c r="C22" s="148" t="s">
        <v>85</v>
      </c>
      <c r="D22" s="353">
        <v>-3000</v>
      </c>
      <c r="E22" s="353">
        <v>-21705</v>
      </c>
      <c r="F22" s="71">
        <f>SUM('2 Ekstern kommunikasjon'!D56)</f>
        <v>-5000</v>
      </c>
      <c r="G22" s="75"/>
    </row>
    <row r="23" spans="1:12" x14ac:dyDescent="0.3">
      <c r="A23" s="22"/>
      <c r="B23">
        <v>21000</v>
      </c>
      <c r="C23" s="148" t="s">
        <v>303</v>
      </c>
      <c r="D23" s="353">
        <v>-54500</v>
      </c>
      <c r="E23" s="353">
        <v>-14358</v>
      </c>
      <c r="F23" s="71">
        <f>SUM('2 Ekstern kommunikasjon'!H56)</f>
        <v>-54500</v>
      </c>
      <c r="G23" s="75"/>
    </row>
    <row r="24" spans="1:12" x14ac:dyDescent="0.3">
      <c r="A24" s="22"/>
      <c r="B24">
        <v>22000</v>
      </c>
      <c r="C24" s="148" t="s">
        <v>4</v>
      </c>
      <c r="D24" s="353">
        <v>30000</v>
      </c>
      <c r="E24" s="353">
        <v>0</v>
      </c>
      <c r="F24" s="71">
        <f>SUM('2 Ekstern kommunikasjon'!L56)</f>
        <v>25000</v>
      </c>
      <c r="G24" s="75"/>
    </row>
    <row r="25" spans="1:12" ht="15" thickBot="1" x14ac:dyDescent="0.35">
      <c r="A25" s="22"/>
      <c r="C25" s="148"/>
      <c r="D25" s="353"/>
      <c r="E25" s="353"/>
      <c r="F25" s="71"/>
      <c r="G25" s="75"/>
      <c r="L25" s="74"/>
    </row>
    <row r="26" spans="1:12" x14ac:dyDescent="0.3">
      <c r="A26" s="46" t="s">
        <v>89</v>
      </c>
      <c r="B26" s="342" t="s">
        <v>90</v>
      </c>
      <c r="C26" s="343"/>
      <c r="D26" s="70">
        <f t="shared" ref="D26:E26" si="1">SUM(D27:D31)</f>
        <v>-82570</v>
      </c>
      <c r="E26" s="70">
        <v>-90988</v>
      </c>
      <c r="F26" s="70">
        <f>SUM(F27:F31)</f>
        <v>-103830</v>
      </c>
      <c r="G26" s="77">
        <f>('3 Forbundsutvikling'!AE52)/('1 Administrasjon'!BF69+'2 Ekstern kommunikasjon'!AA55+'3 Forbundsutvikling'!AE52+'4. Utvilklingstiltak'!BC58+'5 Klubbutvikling'!AQ54+'6 Barn og Ungdom'!AQ55+'7 Konkurranse'!AU68+'8 Eliteaktivitet'!AU58+'9 Anlegg og infrastruktur'!AA55)</f>
        <v>4.3739284683081366E-2</v>
      </c>
    </row>
    <row r="27" spans="1:12" x14ac:dyDescent="0.3">
      <c r="A27" s="22"/>
      <c r="B27">
        <v>30000</v>
      </c>
      <c r="C27" s="148" t="s">
        <v>85</v>
      </c>
      <c r="D27" s="353">
        <v>-15070</v>
      </c>
      <c r="E27" s="353">
        <v>-20888</v>
      </c>
      <c r="F27" s="71">
        <f>SUM('3 Forbundsutvikling'!D53)</f>
        <v>-21330</v>
      </c>
      <c r="G27" s="75"/>
    </row>
    <row r="28" spans="1:12" x14ac:dyDescent="0.3">
      <c r="A28" s="22"/>
      <c r="B28">
        <v>31000</v>
      </c>
      <c r="C28" s="148" t="s">
        <v>272</v>
      </c>
      <c r="D28" s="353">
        <v>0</v>
      </c>
      <c r="E28" s="353">
        <v>0</v>
      </c>
      <c r="F28" s="71">
        <f>SUM('3 Forbundsutvikling'!H53)</f>
        <v>0</v>
      </c>
      <c r="G28" s="75"/>
    </row>
    <row r="29" spans="1:12" x14ac:dyDescent="0.3">
      <c r="A29" s="22"/>
      <c r="B29">
        <v>31001</v>
      </c>
      <c r="C29" s="148" t="s">
        <v>281</v>
      </c>
      <c r="D29" s="353">
        <v>-59000</v>
      </c>
      <c r="E29" s="353">
        <v>-63895</v>
      </c>
      <c r="F29" s="71">
        <f>SUM('3 Forbundsutvikling'!L53)</f>
        <v>-49000</v>
      </c>
      <c r="G29" s="75"/>
    </row>
    <row r="30" spans="1:12" x14ac:dyDescent="0.3">
      <c r="A30" s="22"/>
      <c r="B30">
        <v>32000</v>
      </c>
      <c r="C30" s="148" t="s">
        <v>57</v>
      </c>
      <c r="D30" s="353">
        <v>-8500</v>
      </c>
      <c r="E30" s="353">
        <v>-6206</v>
      </c>
      <c r="F30" s="71">
        <f>SUM('3 Forbundsutvikling'!P53)</f>
        <v>-8500</v>
      </c>
      <c r="G30" s="75"/>
    </row>
    <row r="31" spans="1:12" x14ac:dyDescent="0.3">
      <c r="A31" s="22"/>
      <c r="B31">
        <v>32001</v>
      </c>
      <c r="C31" s="148" t="s">
        <v>293</v>
      </c>
      <c r="D31" s="353"/>
      <c r="E31" s="353"/>
      <c r="F31" s="71">
        <f>SUM('3 Forbundsutvikling'!T53)</f>
        <v>-25000</v>
      </c>
      <c r="G31" s="75"/>
    </row>
    <row r="32" spans="1:12" ht="15" thickBot="1" x14ac:dyDescent="0.35">
      <c r="A32" s="13"/>
      <c r="B32" s="41"/>
      <c r="C32" s="149"/>
      <c r="D32" s="354"/>
      <c r="E32" s="354"/>
      <c r="F32" s="72"/>
      <c r="G32" s="76"/>
    </row>
    <row r="33" spans="1:7" x14ac:dyDescent="0.3">
      <c r="A33" s="46" t="s">
        <v>91</v>
      </c>
      <c r="B33" s="342" t="s">
        <v>93</v>
      </c>
      <c r="C33" s="343"/>
      <c r="D33" s="70">
        <f t="shared" ref="D33:E33" si="2">SUM(D34:D44)</f>
        <v>-293231.31</v>
      </c>
      <c r="E33" s="70">
        <f t="shared" si="2"/>
        <v>-176091</v>
      </c>
      <c r="F33" s="70">
        <f>SUM(F34:F44)</f>
        <v>-393707.06877449999</v>
      </c>
      <c r="G33" s="77">
        <f>('4. Utvilklingstiltak'!BC58)/('1 Administrasjon'!BF69+'2 Ekstern kommunikasjon'!AA55+'3 Forbundsutvikling'!AE52+'4. Utvilklingstiltak'!BC58+'5 Klubbutvikling'!AQ54+'6 Barn og Ungdom'!AQ55+'7 Konkurranse'!AU68+'8 Eliteaktivitet'!AU58+'9 Anlegg og infrastruktur'!AA55)</f>
        <v>0.16119503475493166</v>
      </c>
    </row>
    <row r="34" spans="1:7" x14ac:dyDescent="0.3">
      <c r="A34" s="22"/>
      <c r="B34">
        <v>40000</v>
      </c>
      <c r="C34" s="148" t="s">
        <v>85</v>
      </c>
      <c r="D34" s="353">
        <v>-114375.11</v>
      </c>
      <c r="E34" s="353">
        <v>-123225</v>
      </c>
      <c r="F34" s="71">
        <f>SUM('4. Utvilklingstiltak'!D59)</f>
        <v>-204350.86877449998</v>
      </c>
      <c r="G34" s="75"/>
    </row>
    <row r="35" spans="1:7" x14ac:dyDescent="0.3">
      <c r="A35" s="22"/>
      <c r="B35">
        <v>41000</v>
      </c>
      <c r="C35" s="148" t="s">
        <v>58</v>
      </c>
      <c r="D35" s="353"/>
      <c r="E35" s="353"/>
      <c r="F35" s="71">
        <f>SUM('4. Utvilklingstiltak'!H59)</f>
        <v>0</v>
      </c>
      <c r="G35" s="75"/>
    </row>
    <row r="36" spans="1:7" x14ac:dyDescent="0.3">
      <c r="A36" s="22"/>
      <c r="B36">
        <v>42000</v>
      </c>
      <c r="C36" s="148" t="s">
        <v>59</v>
      </c>
      <c r="D36" s="353"/>
      <c r="E36" s="353"/>
      <c r="F36" s="71">
        <f>SUM('4. Utvilklingstiltak'!L59)</f>
        <v>-22500</v>
      </c>
      <c r="G36" s="75"/>
    </row>
    <row r="37" spans="1:7" x14ac:dyDescent="0.3">
      <c r="A37" s="22"/>
      <c r="B37">
        <v>42100</v>
      </c>
      <c r="C37" s="148" t="s">
        <v>227</v>
      </c>
      <c r="D37" s="353">
        <v>-31000</v>
      </c>
      <c r="E37" s="353">
        <v>-334</v>
      </c>
      <c r="F37" s="71">
        <f>SUM('4. Utvilklingstiltak'!T59)</f>
        <v>-31000</v>
      </c>
      <c r="G37" s="75"/>
    </row>
    <row r="38" spans="1:7" x14ac:dyDescent="0.3">
      <c r="A38" s="22"/>
      <c r="B38">
        <v>42200</v>
      </c>
      <c r="C38" s="148" t="s">
        <v>242</v>
      </c>
      <c r="D38" s="353">
        <v>-31000</v>
      </c>
      <c r="E38" s="353">
        <v>0</v>
      </c>
      <c r="F38" s="71">
        <f>SUM('4. Utvilklingstiltak'!X59)</f>
        <v>-31000</v>
      </c>
      <c r="G38" s="75"/>
    </row>
    <row r="39" spans="1:7" x14ac:dyDescent="0.3">
      <c r="A39" s="22"/>
      <c r="B39">
        <v>42500</v>
      </c>
      <c r="C39" s="148" t="s">
        <v>179</v>
      </c>
      <c r="D39" s="353"/>
      <c r="E39" s="353">
        <v>0</v>
      </c>
      <c r="F39" s="71">
        <f>SUM('4. Utvilklingstiltak'!P59)</f>
        <v>0</v>
      </c>
      <c r="G39" s="75"/>
    </row>
    <row r="40" spans="1:7" x14ac:dyDescent="0.3">
      <c r="A40" s="22"/>
      <c r="B40">
        <v>43000</v>
      </c>
      <c r="C40" s="148" t="s">
        <v>60</v>
      </c>
      <c r="D40" s="353">
        <v>-26215.200000000001</v>
      </c>
      <c r="E40" s="353">
        <v>-17448</v>
      </c>
      <c r="F40" s="71">
        <f>SUM('4. Utvilklingstiltak'!AB59)</f>
        <v>-33715.199999999997</v>
      </c>
      <c r="G40" s="75"/>
    </row>
    <row r="41" spans="1:7" x14ac:dyDescent="0.3">
      <c r="A41" s="22"/>
      <c r="B41">
        <v>44000</v>
      </c>
      <c r="C41" s="148" t="s">
        <v>61</v>
      </c>
      <c r="D41" s="353">
        <v>-16141</v>
      </c>
      <c r="E41" s="353">
        <v>-8340</v>
      </c>
      <c r="F41" s="71">
        <f>SUM('4. Utvilklingstiltak'!AF59)</f>
        <v>-16141</v>
      </c>
      <c r="G41" s="75"/>
    </row>
    <row r="42" spans="1:7" x14ac:dyDescent="0.3">
      <c r="A42" s="22"/>
      <c r="B42">
        <v>45000</v>
      </c>
      <c r="C42" s="148" t="s">
        <v>92</v>
      </c>
      <c r="D42" s="353">
        <v>-34500</v>
      </c>
      <c r="E42" s="353">
        <v>-26744</v>
      </c>
      <c r="F42" s="71">
        <f>SUM('4. Utvilklingstiltak'!AJ59)</f>
        <v>-15000</v>
      </c>
      <c r="G42" s="75"/>
    </row>
    <row r="43" spans="1:7" x14ac:dyDescent="0.3">
      <c r="A43" s="22"/>
      <c r="B43">
        <v>46000</v>
      </c>
      <c r="C43" s="148" t="s">
        <v>62</v>
      </c>
      <c r="D43" s="353">
        <v>-10000</v>
      </c>
      <c r="E43" s="353">
        <v>0</v>
      </c>
      <c r="F43" s="71">
        <f>SUM('4. Utvilklingstiltak'!AN59)</f>
        <v>-10000</v>
      </c>
      <c r="G43" s="75"/>
    </row>
    <row r="44" spans="1:7" x14ac:dyDescent="0.3">
      <c r="A44" s="22"/>
      <c r="B44">
        <v>46001</v>
      </c>
      <c r="C44" s="148" t="s">
        <v>214</v>
      </c>
      <c r="D44" s="353">
        <v>-30000</v>
      </c>
      <c r="E44" s="353">
        <v>0</v>
      </c>
      <c r="F44" s="71">
        <f>SUM('4. Utvilklingstiltak'!AR59)</f>
        <v>-30000</v>
      </c>
      <c r="G44" s="75"/>
    </row>
    <row r="45" spans="1:7" ht="15" thickBot="1" x14ac:dyDescent="0.35">
      <c r="A45" s="22"/>
      <c r="C45" s="148"/>
      <c r="D45" s="353"/>
      <c r="E45" s="353"/>
      <c r="F45" s="71"/>
      <c r="G45" s="75"/>
    </row>
    <row r="46" spans="1:7" x14ac:dyDescent="0.3">
      <c r="A46" s="46" t="s">
        <v>94</v>
      </c>
      <c r="B46" s="342" t="s">
        <v>95</v>
      </c>
      <c r="C46" s="343"/>
      <c r="D46" s="70">
        <f t="shared" ref="D46:E46" si="3">SUM(D47:D54)</f>
        <v>-74000</v>
      </c>
      <c r="E46" s="70">
        <f t="shared" si="3"/>
        <v>-79698</v>
      </c>
      <c r="F46" s="70">
        <f>SUM(F47:F54)</f>
        <v>-124000</v>
      </c>
      <c r="G46" s="77">
        <f>('5 Klubbutvikling'!AQ54)/('1 Administrasjon'!BF69+'2 Ekstern kommunikasjon'!AA55+'3 Forbundsutvikling'!AE52+'4. Utvilklingstiltak'!BC58+'5 Klubbutvikling'!AQ54+'6 Barn og Ungdom'!AQ55+'7 Konkurranse'!AU68+'8 Eliteaktivitet'!AU58+'9 Anlegg og infrastruktur'!AA55)</f>
        <v>5.0769178140055132E-2</v>
      </c>
    </row>
    <row r="47" spans="1:7" x14ac:dyDescent="0.3">
      <c r="A47" s="22"/>
      <c r="B47">
        <v>50000</v>
      </c>
      <c r="C47" s="148" t="s">
        <v>85</v>
      </c>
      <c r="D47" s="353"/>
      <c r="E47" s="353">
        <v>-27954</v>
      </c>
      <c r="F47" s="71">
        <f>SUM('5 Klubbutvikling'!D55)</f>
        <v>0</v>
      </c>
      <c r="G47" s="75"/>
    </row>
    <row r="48" spans="1:7" x14ac:dyDescent="0.3">
      <c r="A48" s="22"/>
      <c r="B48">
        <v>51000</v>
      </c>
      <c r="C48" s="148" t="s">
        <v>96</v>
      </c>
      <c r="D48" s="353"/>
      <c r="E48" s="353"/>
      <c r="F48" s="71">
        <f>SUM('5 Klubbutvikling'!H55)</f>
        <v>0</v>
      </c>
      <c r="G48" s="75"/>
    </row>
    <row r="49" spans="1:7" x14ac:dyDescent="0.3">
      <c r="A49" s="22"/>
      <c r="B49">
        <v>52000</v>
      </c>
      <c r="C49" s="148" t="s">
        <v>62</v>
      </c>
      <c r="D49" s="353"/>
      <c r="E49" s="353"/>
      <c r="F49" s="71">
        <f>SUM('5 Klubbutvikling'!L55)</f>
        <v>-50000</v>
      </c>
      <c r="G49" s="75"/>
    </row>
    <row r="50" spans="1:7" ht="28.8" x14ac:dyDescent="0.3">
      <c r="A50" s="22"/>
      <c r="B50">
        <v>52100</v>
      </c>
      <c r="C50" s="148" t="s">
        <v>154</v>
      </c>
      <c r="D50" s="353">
        <v>-6000</v>
      </c>
      <c r="E50" s="353"/>
      <c r="F50" s="71">
        <f>SUM('5 Klubbutvikling'!P55)</f>
        <v>-6000</v>
      </c>
      <c r="G50" s="75"/>
    </row>
    <row r="51" spans="1:7" x14ac:dyDescent="0.3">
      <c r="A51" s="22"/>
      <c r="B51">
        <v>52200</v>
      </c>
      <c r="C51" s="148" t="s">
        <v>155</v>
      </c>
      <c r="D51" s="353">
        <v>-4000</v>
      </c>
      <c r="E51" s="353"/>
      <c r="F51" s="71">
        <f>SUM('5 Klubbutvikling'!T55)</f>
        <v>-4000</v>
      </c>
      <c r="G51" s="75"/>
    </row>
    <row r="52" spans="1:7" x14ac:dyDescent="0.3">
      <c r="A52" s="22"/>
      <c r="B52">
        <v>52300</v>
      </c>
      <c r="C52" s="148" t="s">
        <v>158</v>
      </c>
      <c r="D52" s="353">
        <v>-24000</v>
      </c>
      <c r="E52" s="353">
        <v>-25513</v>
      </c>
      <c r="F52" s="71">
        <f>SUM('5 Klubbutvikling'!X55)</f>
        <v>-24000</v>
      </c>
      <c r="G52" s="75"/>
    </row>
    <row r="53" spans="1:7" x14ac:dyDescent="0.3">
      <c r="A53" s="22"/>
      <c r="B53">
        <v>53000</v>
      </c>
      <c r="C53" s="148" t="s">
        <v>63</v>
      </c>
      <c r="D53" s="353">
        <v>-5000</v>
      </c>
      <c r="E53" s="353"/>
      <c r="F53" s="71">
        <f>SUM('5 Klubbutvikling'!AF55)</f>
        <v>-5000</v>
      </c>
      <c r="G53" s="75"/>
    </row>
    <row r="54" spans="1:7" x14ac:dyDescent="0.3">
      <c r="A54" s="22"/>
      <c r="B54">
        <v>54000</v>
      </c>
      <c r="C54" s="148" t="s">
        <v>64</v>
      </c>
      <c r="D54" s="353">
        <v>-35000</v>
      </c>
      <c r="E54" s="353">
        <v>-26231</v>
      </c>
      <c r="F54" s="71">
        <f>SUM('5 Klubbutvikling'!AJ55)</f>
        <v>-35000</v>
      </c>
      <c r="G54" s="75"/>
    </row>
    <row r="55" spans="1:7" ht="15" thickBot="1" x14ac:dyDescent="0.35">
      <c r="A55" s="13"/>
      <c r="B55" s="41"/>
      <c r="C55" s="149"/>
      <c r="D55" s="354"/>
      <c r="E55" s="354"/>
      <c r="F55" s="72"/>
      <c r="G55" s="76"/>
    </row>
    <row r="56" spans="1:7" x14ac:dyDescent="0.3">
      <c r="A56" s="46" t="s">
        <v>97</v>
      </c>
      <c r="B56" s="342" t="s">
        <v>98</v>
      </c>
      <c r="C56" s="343"/>
      <c r="D56" s="70">
        <f t="shared" ref="D56:E56" si="4">SUM(D57:D65)</f>
        <v>-230552.31</v>
      </c>
      <c r="E56" s="70">
        <f t="shared" si="4"/>
        <v>-120622</v>
      </c>
      <c r="F56" s="70">
        <f>SUM(F57:F65)</f>
        <v>-332696.86877449998</v>
      </c>
      <c r="G56" s="77">
        <f>('6 Barn og Ungdom'!AQ55)/('1 Administrasjon'!BF69+'2 Ekstern kommunikasjon'!AA55+'3 Forbundsutvikling'!AE52+'4. Utvilklingstiltak'!BC58+'5 Klubbutvikling'!AQ54+'6 Barn og Ungdom'!AQ55+'7 Konkurranse'!AU68+'8 Eliteaktivitet'!AU58+'9 Anlegg og infrastruktur'!AA55)</f>
        <v>0.1362156983665414</v>
      </c>
    </row>
    <row r="57" spans="1:7" x14ac:dyDescent="0.3">
      <c r="A57" s="22"/>
      <c r="B57">
        <v>60000</v>
      </c>
      <c r="C57" s="148" t="s">
        <v>85</v>
      </c>
      <c r="D57" s="353">
        <v>-110206.31</v>
      </c>
      <c r="E57" s="353">
        <v>-101299</v>
      </c>
      <c r="F57" s="71">
        <f>SUM('6 Barn og Ungdom'!D56)</f>
        <v>-219350.86877449998</v>
      </c>
      <c r="G57" s="75"/>
    </row>
    <row r="58" spans="1:7" x14ac:dyDescent="0.3">
      <c r="A58" s="22"/>
      <c r="B58">
        <v>61001</v>
      </c>
      <c r="C58" s="148" t="s">
        <v>218</v>
      </c>
      <c r="D58" s="353"/>
      <c r="E58" s="353"/>
      <c r="F58" s="71"/>
      <c r="G58" s="75"/>
    </row>
    <row r="59" spans="1:7" x14ac:dyDescent="0.3">
      <c r="A59" s="22"/>
      <c r="B59">
        <v>61000</v>
      </c>
      <c r="C59" s="148" t="s">
        <v>99</v>
      </c>
      <c r="D59" s="353">
        <v>-49346</v>
      </c>
      <c r="E59" s="353"/>
      <c r="F59" s="71">
        <f>SUM('6 Barn og Ungdom'!H56)</f>
        <v>-49346</v>
      </c>
      <c r="G59" s="75"/>
    </row>
    <row r="60" spans="1:7" x14ac:dyDescent="0.3">
      <c r="A60" s="22"/>
      <c r="B60">
        <v>62000</v>
      </c>
      <c r="C60" s="148" t="s">
        <v>100</v>
      </c>
      <c r="D60" s="353">
        <v>-13000</v>
      </c>
      <c r="E60" s="353">
        <v>4677</v>
      </c>
      <c r="F60" s="71">
        <f>SUM('6 Barn og Ungdom'!L56)</f>
        <v>-13000</v>
      </c>
      <c r="G60" s="75"/>
    </row>
    <row r="61" spans="1:7" x14ac:dyDescent="0.3">
      <c r="A61" s="22"/>
      <c r="B61">
        <v>63000</v>
      </c>
      <c r="C61" s="148" t="s">
        <v>65</v>
      </c>
      <c r="D61" s="353">
        <v>-15000</v>
      </c>
      <c r="E61" s="353">
        <v>-15000</v>
      </c>
      <c r="F61" s="71">
        <f>SUM('6 Barn og Ungdom'!P56)</f>
        <v>-15000</v>
      </c>
      <c r="G61" s="75"/>
    </row>
    <row r="62" spans="1:7" x14ac:dyDescent="0.3">
      <c r="A62" s="22"/>
      <c r="B62">
        <v>63001</v>
      </c>
      <c r="C62" s="148" t="s">
        <v>375</v>
      </c>
      <c r="D62" s="353"/>
      <c r="E62" s="353"/>
      <c r="F62" s="71">
        <f>SUM('6 Barn og Ungdom'!T56)</f>
        <v>0</v>
      </c>
      <c r="G62" s="75"/>
    </row>
    <row r="63" spans="1:7" x14ac:dyDescent="0.3">
      <c r="A63" s="22"/>
      <c r="B63">
        <v>63002</v>
      </c>
      <c r="C63" s="148" t="s">
        <v>251</v>
      </c>
      <c r="D63" s="353"/>
      <c r="E63" s="353"/>
      <c r="F63" s="71">
        <f>SUM('6 Barn og Ungdom'!X56)</f>
        <v>0</v>
      </c>
      <c r="G63" s="75"/>
    </row>
    <row r="64" spans="1:7" x14ac:dyDescent="0.3">
      <c r="A64" s="22"/>
      <c r="B64">
        <v>64000</v>
      </c>
      <c r="C64" s="148" t="s">
        <v>80</v>
      </c>
      <c r="D64" s="353">
        <v>-23000</v>
      </c>
      <c r="E64" s="353">
        <v>-3000</v>
      </c>
      <c r="F64" s="71">
        <f>SUM('6 Barn og Ungdom'!AB56)</f>
        <v>-26000</v>
      </c>
      <c r="G64" s="75"/>
    </row>
    <row r="65" spans="1:10" x14ac:dyDescent="0.3">
      <c r="A65" s="22"/>
      <c r="B65">
        <v>65000</v>
      </c>
      <c r="C65" s="148" t="s">
        <v>66</v>
      </c>
      <c r="D65" s="353">
        <v>-20000</v>
      </c>
      <c r="E65" s="353">
        <v>-6000</v>
      </c>
      <c r="F65" s="71">
        <f>SUM('6 Barn og Ungdom'!AF56)</f>
        <v>-10000</v>
      </c>
      <c r="G65" s="75"/>
    </row>
    <row r="66" spans="1:10" ht="15" thickBot="1" x14ac:dyDescent="0.35">
      <c r="A66" s="22"/>
      <c r="C66" s="148"/>
      <c r="D66" s="353"/>
      <c r="E66" s="353"/>
      <c r="F66" s="71"/>
      <c r="G66" s="75"/>
    </row>
    <row r="67" spans="1:10" x14ac:dyDescent="0.3">
      <c r="A67" s="46" t="s">
        <v>101</v>
      </c>
      <c r="B67" s="342" t="s">
        <v>102</v>
      </c>
      <c r="C67" s="343"/>
      <c r="D67" s="70">
        <f t="shared" ref="D67:E67" si="5">SUM(D68:D75)</f>
        <v>-265796.70999999996</v>
      </c>
      <c r="E67" s="70">
        <v>-265195</v>
      </c>
      <c r="F67" s="70">
        <f>SUM(F68:F75)</f>
        <v>-260449.59586600002</v>
      </c>
      <c r="G67" s="77">
        <f>('7 Konkurranse'!AU68)/('1 Administrasjon'!BF69+'2 Ekstern kommunikasjon'!AA55+'3 Forbundsutvikling'!AE52+'4. Utvilklingstiltak'!BC58+'5 Klubbutvikling'!AQ54+'6 Barn og Ungdom'!AQ55+'7 Konkurranse'!AU68+'8 Eliteaktivitet'!AU58+'9 Anlegg og infrastruktur'!AA55)</f>
        <v>0.15765041552642894</v>
      </c>
    </row>
    <row r="68" spans="1:10" x14ac:dyDescent="0.3">
      <c r="A68" s="22"/>
      <c r="B68">
        <v>70000</v>
      </c>
      <c r="C68" s="148" t="s">
        <v>85</v>
      </c>
      <c r="D68" s="353">
        <v>5000</v>
      </c>
      <c r="E68" s="353">
        <v>-9381</v>
      </c>
      <c r="F68" s="71">
        <f>SUM('7 Konkurranse'!D69)</f>
        <v>5000</v>
      </c>
      <c r="G68" s="75"/>
    </row>
    <row r="69" spans="1:10" x14ac:dyDescent="0.3">
      <c r="A69" s="22"/>
      <c r="B69">
        <v>71000</v>
      </c>
      <c r="C69" s="148" t="s">
        <v>81</v>
      </c>
      <c r="D69" s="353">
        <v>-161990.71</v>
      </c>
      <c r="E69" s="353">
        <v>-243466</v>
      </c>
      <c r="F69" s="71">
        <f>SUM('7 Konkurranse'!H69)</f>
        <v>-168913.22836600002</v>
      </c>
      <c r="G69" s="75"/>
    </row>
    <row r="70" spans="1:10" x14ac:dyDescent="0.3">
      <c r="A70" s="22"/>
      <c r="B70">
        <v>71100</v>
      </c>
      <c r="C70" s="148" t="s">
        <v>211</v>
      </c>
      <c r="D70" s="353">
        <v>-17109.400000000001</v>
      </c>
      <c r="E70" s="353">
        <v>9033</v>
      </c>
      <c r="F70" s="71">
        <f>SUM('7 Konkurranse'!L69)</f>
        <v>-16838.0625</v>
      </c>
      <c r="G70" s="75"/>
      <c r="H70" s="65"/>
      <c r="I70" s="65"/>
      <c r="J70" s="65"/>
    </row>
    <row r="71" spans="1:10" x14ac:dyDescent="0.3">
      <c r="A71" s="22"/>
      <c r="B71">
        <v>71200</v>
      </c>
      <c r="C71" s="148" t="s">
        <v>210</v>
      </c>
      <c r="D71" s="353">
        <v>-29881.200000000001</v>
      </c>
      <c r="E71" s="353">
        <v>1330</v>
      </c>
      <c r="F71" s="71">
        <f>SUM('7 Konkurranse'!P69)</f>
        <v>-14044.305</v>
      </c>
      <c r="G71" s="75"/>
      <c r="H71" s="65"/>
      <c r="I71" s="65"/>
      <c r="J71" s="65"/>
    </row>
    <row r="72" spans="1:10" x14ac:dyDescent="0.3">
      <c r="A72" s="22"/>
      <c r="B72">
        <v>71300</v>
      </c>
      <c r="C72" s="148" t="s">
        <v>128</v>
      </c>
      <c r="D72" s="353">
        <v>-39507.4</v>
      </c>
      <c r="E72" s="353">
        <v>-21499</v>
      </c>
      <c r="F72" s="71">
        <f>SUM('7 Konkurranse'!T69)</f>
        <v>-33346</v>
      </c>
      <c r="G72" s="75"/>
      <c r="H72" s="65"/>
      <c r="I72" s="65"/>
      <c r="J72" s="65"/>
    </row>
    <row r="73" spans="1:10" x14ac:dyDescent="0.3">
      <c r="A73" s="22"/>
      <c r="B73">
        <v>71400</v>
      </c>
      <c r="C73" s="148" t="s">
        <v>129</v>
      </c>
      <c r="D73" s="353">
        <v>-16603</v>
      </c>
      <c r="E73" s="353">
        <v>0</v>
      </c>
      <c r="F73" s="71">
        <f>SUM('7 Konkurranse'!AB69)</f>
        <v>-16603</v>
      </c>
      <c r="G73" s="75"/>
      <c r="H73" s="65"/>
      <c r="I73" s="65"/>
      <c r="J73" s="65"/>
    </row>
    <row r="74" spans="1:10" x14ac:dyDescent="0.3">
      <c r="A74" s="22"/>
      <c r="B74">
        <v>71500</v>
      </c>
      <c r="C74" s="148" t="s">
        <v>130</v>
      </c>
      <c r="D74" s="353">
        <v>-5705</v>
      </c>
      <c r="E74" s="353">
        <v>1212</v>
      </c>
      <c r="F74" s="71">
        <f>SUM('7 Konkurranse'!AF69)</f>
        <v>-15705</v>
      </c>
      <c r="G74" s="75"/>
      <c r="H74" s="65"/>
      <c r="I74" s="65"/>
      <c r="J74" s="65"/>
    </row>
    <row r="75" spans="1:10" x14ac:dyDescent="0.3">
      <c r="A75" s="22"/>
      <c r="B75">
        <v>71600</v>
      </c>
      <c r="C75" s="148" t="s">
        <v>131</v>
      </c>
      <c r="D75" s="353">
        <v>0</v>
      </c>
      <c r="E75" s="353">
        <v>0</v>
      </c>
      <c r="F75" s="71">
        <f>SUM('7 Konkurranse'!AJ69)</f>
        <v>0</v>
      </c>
      <c r="G75" s="75"/>
      <c r="H75" s="65"/>
      <c r="I75" s="65"/>
      <c r="J75" s="65"/>
    </row>
    <row r="76" spans="1:10" x14ac:dyDescent="0.3">
      <c r="A76" s="22"/>
      <c r="C76" s="148"/>
      <c r="D76" s="353"/>
      <c r="E76" s="353"/>
      <c r="F76" s="71"/>
      <c r="G76" s="75"/>
      <c r="H76" s="65"/>
      <c r="I76" s="65"/>
      <c r="J76" s="65"/>
    </row>
    <row r="77" spans="1:10" ht="15" thickBot="1" x14ac:dyDescent="0.35">
      <c r="A77" s="13"/>
      <c r="B77" s="41"/>
      <c r="C77" s="149"/>
      <c r="D77" s="354"/>
      <c r="E77" s="354"/>
      <c r="F77" s="72"/>
      <c r="G77" s="76"/>
    </row>
    <row r="78" spans="1:10" x14ac:dyDescent="0.3">
      <c r="A78" s="46" t="s">
        <v>103</v>
      </c>
      <c r="B78" s="342" t="s">
        <v>105</v>
      </c>
      <c r="C78" s="343"/>
      <c r="D78" s="70">
        <f t="shared" ref="D78:E78" si="6">SUM(D79:D85)</f>
        <v>-463861.72</v>
      </c>
      <c r="E78" s="70">
        <v>-325836</v>
      </c>
      <c r="F78" s="70">
        <f>SUM(F79:F85)</f>
        <v>-277209.72000000003</v>
      </c>
      <c r="G78" s="77">
        <f>('8 Eliteaktivitet'!AU58)/('1 Administrasjon'!BF69+'2 Ekstern kommunikasjon'!AA55+'3 Forbundsutvikling'!AE52+'4. Utvilklingstiltak'!BC58+'5 Klubbutvikling'!AQ54+'6 Barn og Ungdom'!AQ55+'7 Konkurranse'!AU68+'8 Eliteaktivitet'!AU58+'9 Anlegg og infrastruktur'!AA55)</f>
        <v>0.13315024360933428</v>
      </c>
    </row>
    <row r="79" spans="1:10" x14ac:dyDescent="0.3">
      <c r="A79" s="22"/>
      <c r="B79">
        <v>80000</v>
      </c>
      <c r="C79" s="148" t="s">
        <v>85</v>
      </c>
      <c r="D79" s="353"/>
      <c r="E79" s="353">
        <v>84317</v>
      </c>
      <c r="F79" s="71">
        <f>SUM('8 Eliteaktivitet'!D59)</f>
        <v>0</v>
      </c>
      <c r="G79" s="75"/>
    </row>
    <row r="80" spans="1:10" x14ac:dyDescent="0.3">
      <c r="A80" s="22"/>
      <c r="B80">
        <v>81000</v>
      </c>
      <c r="C80" s="148" t="s">
        <v>221</v>
      </c>
      <c r="D80" s="353">
        <v>-171216.52</v>
      </c>
      <c r="E80" s="353">
        <v>-132255</v>
      </c>
      <c r="F80" s="71">
        <f>SUM('8 Eliteaktivitet'!H59)</f>
        <v>-171216.52000000002</v>
      </c>
      <c r="G80" s="75"/>
    </row>
    <row r="81" spans="1:7" ht="28.8" x14ac:dyDescent="0.3">
      <c r="A81" s="22"/>
      <c r="B81">
        <v>81100</v>
      </c>
      <c r="C81" s="148" t="s">
        <v>219</v>
      </c>
      <c r="D81" s="353">
        <v>-58588</v>
      </c>
      <c r="E81" s="353">
        <v>-27752</v>
      </c>
      <c r="F81" s="71">
        <f>SUM('8 Eliteaktivitet'!L59)</f>
        <v>-58588</v>
      </c>
      <c r="G81" s="75"/>
    </row>
    <row r="82" spans="1:7" ht="28.8" x14ac:dyDescent="0.3">
      <c r="A82" s="22"/>
      <c r="B82">
        <v>81200</v>
      </c>
      <c r="C82" s="148" t="s">
        <v>220</v>
      </c>
      <c r="D82" s="353"/>
      <c r="E82" s="353"/>
      <c r="F82" s="71">
        <v>0</v>
      </c>
      <c r="G82" s="75"/>
    </row>
    <row r="83" spans="1:7" x14ac:dyDescent="0.3">
      <c r="A83" s="22"/>
      <c r="B83">
        <v>82000</v>
      </c>
      <c r="C83" s="148" t="s">
        <v>222</v>
      </c>
      <c r="D83" s="353">
        <v>-8779.2000000000007</v>
      </c>
      <c r="E83" s="353">
        <v>-21426</v>
      </c>
      <c r="F83" s="71">
        <f>SUM('8 Eliteaktivitet'!P59)</f>
        <v>-34727.199999999997</v>
      </c>
      <c r="G83" s="75"/>
    </row>
    <row r="84" spans="1:7" ht="28.8" x14ac:dyDescent="0.3">
      <c r="A84" s="22"/>
      <c r="B84">
        <v>82100</v>
      </c>
      <c r="C84" s="148" t="s">
        <v>223</v>
      </c>
      <c r="D84" s="353">
        <v>-12678</v>
      </c>
      <c r="E84" s="353">
        <v>-40517</v>
      </c>
      <c r="F84" s="71">
        <f>SUM('8 Eliteaktivitet'!T59)</f>
        <v>-12678</v>
      </c>
      <c r="G84" s="75"/>
    </row>
    <row r="85" spans="1:7" x14ac:dyDescent="0.3">
      <c r="A85" s="22"/>
      <c r="B85">
        <v>82200</v>
      </c>
      <c r="C85" s="148" t="s">
        <v>224</v>
      </c>
      <c r="D85" s="353">
        <v>-212600</v>
      </c>
      <c r="E85" s="353">
        <v>-188205</v>
      </c>
      <c r="F85" s="71">
        <f>SUM('8 Eliteaktivitet'!X59)</f>
        <v>0</v>
      </c>
      <c r="G85" s="75"/>
    </row>
    <row r="86" spans="1:7" ht="15" thickBot="1" x14ac:dyDescent="0.35">
      <c r="A86" s="22"/>
      <c r="C86" s="148"/>
      <c r="D86" s="353"/>
      <c r="E86" s="353"/>
      <c r="F86" s="71"/>
      <c r="G86" s="75"/>
    </row>
    <row r="87" spans="1:7" x14ac:dyDescent="0.3">
      <c r="A87" s="46" t="s">
        <v>104</v>
      </c>
      <c r="B87" s="342" t="s">
        <v>106</v>
      </c>
      <c r="C87" s="343"/>
      <c r="D87" s="70">
        <f t="shared" ref="D87:E87" si="7">SUM(D88:D90)</f>
        <v>-300000</v>
      </c>
      <c r="E87" s="70">
        <f t="shared" si="7"/>
        <v>-254636</v>
      </c>
      <c r="F87" s="70">
        <f>SUM(F88:F90)</f>
        <v>-150000</v>
      </c>
      <c r="G87" s="77">
        <f>('9 Anlegg og infrastruktur'!AA55)/('1 Administrasjon'!BF69+'2 Ekstern kommunikasjon'!AA55+'3 Forbundsutvikling'!AE52+'4. Utvilklingstiltak'!BC58+'5 Klubbutvikling'!AQ54+'6 Barn og Ungdom'!AQ55+'7 Konkurranse'!AU68+'8 Eliteaktivitet'!AU58+'9 Anlegg og infrastruktur'!AA55)</f>
        <v>6.1414328395227979E-2</v>
      </c>
    </row>
    <row r="88" spans="1:7" x14ac:dyDescent="0.3">
      <c r="A88" s="22"/>
      <c r="B88">
        <v>90000</v>
      </c>
      <c r="C88" s="148" t="s">
        <v>85</v>
      </c>
      <c r="D88" s="353"/>
      <c r="E88" s="353"/>
      <c r="F88" s="71">
        <f>SUM('9 Anlegg og infrastruktur'!D56)</f>
        <v>0</v>
      </c>
      <c r="G88" s="75"/>
    </row>
    <row r="89" spans="1:7" x14ac:dyDescent="0.3">
      <c r="A89" s="22"/>
      <c r="B89">
        <v>91000</v>
      </c>
      <c r="C89" s="148" t="s">
        <v>69</v>
      </c>
      <c r="D89" s="353">
        <v>-300000</v>
      </c>
      <c r="E89" s="353">
        <v>-254636</v>
      </c>
      <c r="F89" s="71">
        <f>SUM('9 Anlegg og infrastruktur'!H56)</f>
        <v>-150000</v>
      </c>
      <c r="G89" s="75"/>
    </row>
    <row r="90" spans="1:7" x14ac:dyDescent="0.3">
      <c r="A90" s="22"/>
      <c r="B90">
        <v>92000</v>
      </c>
      <c r="C90" s="148" t="s">
        <v>178</v>
      </c>
      <c r="D90" s="353"/>
      <c r="E90" s="353"/>
      <c r="F90" s="71">
        <f>SUM('9 Anlegg og infrastruktur'!L56)</f>
        <v>0</v>
      </c>
      <c r="G90" s="75"/>
    </row>
    <row r="91" spans="1:7" ht="15" thickBot="1" x14ac:dyDescent="0.35">
      <c r="A91" s="13"/>
      <c r="B91" s="41"/>
      <c r="C91" s="149"/>
      <c r="D91" s="354"/>
      <c r="E91" s="354"/>
      <c r="F91" s="72"/>
      <c r="G91" s="76"/>
    </row>
    <row r="94" spans="1:7" x14ac:dyDescent="0.3">
      <c r="F94" s="79"/>
    </row>
  </sheetData>
  <sheetProtection algorithmName="SHA-512" hashValue="zYU8savSLkp7qfPpdtDd97zkooQMSWq7a1o+Rn2Z/XeFZTez2DCbXbyONtb0rQwXtQHREEjxZkIjLEFS5xpuLQ==" saltValue="sXmBhFpQktXrcNPASp3d2A==" spinCount="100000" sheet="1" objects="1" scenarios="1"/>
  <mergeCells count="10">
    <mergeCell ref="D2:F2"/>
    <mergeCell ref="B87:C87"/>
    <mergeCell ref="B78:C78"/>
    <mergeCell ref="B67:C67"/>
    <mergeCell ref="B6:C6"/>
    <mergeCell ref="B21:C21"/>
    <mergeCell ref="B26:C26"/>
    <mergeCell ref="B33:C33"/>
    <mergeCell ref="B46:C46"/>
    <mergeCell ref="B56:C56"/>
  </mergeCells>
  <pageMargins left="0.62992125984251968" right="0.23622047244094491" top="0.35433070866141736" bottom="0.35433070866141736" header="0.31496062992125984" footer="0.31496062992125984"/>
  <pageSetup paperSize="9" scale="56" orientation="portrait" horizontalDpi="1200" verticalDpi="1200" r:id="rId1"/>
  <ignoredErrors>
    <ignoredError sqref="F3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75"/>
  <sheetViews>
    <sheetView zoomScale="70" zoomScaleNormal="70" workbookViewId="0">
      <selection activeCell="C15" sqref="C15"/>
    </sheetView>
  </sheetViews>
  <sheetFormatPr baseColWidth="10" defaultColWidth="11.5546875" defaultRowHeight="14.4" x14ac:dyDescent="0.3"/>
  <cols>
    <col min="1" max="1" width="8.5546875" bestFit="1" customWidth="1"/>
    <col min="2" max="2" width="37.88671875" bestFit="1" customWidth="1"/>
    <col min="3" max="3" width="16.44140625" bestFit="1" customWidth="1"/>
    <col min="4" max="4" width="14.88671875" bestFit="1" customWidth="1"/>
    <col min="5" max="6" width="15.5546875" bestFit="1" customWidth="1"/>
    <col min="7" max="7" width="14.88671875" bestFit="1" customWidth="1"/>
    <col min="8" max="9" width="16" bestFit="1" customWidth="1"/>
    <col min="10" max="10" width="15.5546875" bestFit="1" customWidth="1"/>
    <col min="11" max="11" width="16" bestFit="1" customWidth="1"/>
    <col min="12" max="12" width="16.5546875" bestFit="1" customWidth="1"/>
    <col min="13" max="13" width="16.33203125" bestFit="1" customWidth="1"/>
  </cols>
  <sheetData>
    <row r="2" spans="1:12" ht="15" thickBot="1" x14ac:dyDescent="0.35"/>
    <row r="3" spans="1:12" ht="15" thickBot="1" x14ac:dyDescent="0.35">
      <c r="A3" s="3" t="s">
        <v>0</v>
      </c>
      <c r="B3" s="18" t="s">
        <v>47</v>
      </c>
      <c r="C3" s="101" t="s">
        <v>181</v>
      </c>
      <c r="D3" s="101" t="s">
        <v>182</v>
      </c>
      <c r="E3" s="101" t="s">
        <v>183</v>
      </c>
      <c r="F3" s="101" t="s">
        <v>184</v>
      </c>
      <c r="G3" s="101" t="s">
        <v>185</v>
      </c>
      <c r="H3" s="101" t="s">
        <v>186</v>
      </c>
      <c r="I3" s="101" t="s">
        <v>189</v>
      </c>
      <c r="J3" s="101" t="s">
        <v>187</v>
      </c>
      <c r="K3" s="101" t="s">
        <v>188</v>
      </c>
      <c r="L3" s="101" t="s">
        <v>52</v>
      </c>
    </row>
    <row r="4" spans="1:12" ht="15" thickBot="1" x14ac:dyDescent="0.35">
      <c r="A4" s="6">
        <v>3010</v>
      </c>
      <c r="B4" s="7" t="s">
        <v>146</v>
      </c>
      <c r="C4" s="100"/>
      <c r="D4" s="100"/>
      <c r="E4" s="100"/>
      <c r="F4" s="100"/>
      <c r="G4" s="100"/>
      <c r="H4" s="100"/>
      <c r="I4" s="100">
        <f>'7 Konkurranse'!AR4</f>
        <v>0</v>
      </c>
      <c r="J4" s="100"/>
      <c r="K4" s="100"/>
      <c r="L4" s="92">
        <f>SUM(C4:K4)</f>
        <v>0</v>
      </c>
    </row>
    <row r="5" spans="1:12" ht="15" thickBot="1" x14ac:dyDescent="0.35">
      <c r="A5" s="6">
        <v>3011</v>
      </c>
      <c r="B5" s="7" t="s">
        <v>147</v>
      </c>
      <c r="C5" s="95"/>
      <c r="D5" s="95"/>
      <c r="E5" s="95"/>
      <c r="F5" s="95"/>
      <c r="G5" s="95"/>
      <c r="H5" s="95"/>
      <c r="I5" s="95">
        <f>'7 Konkurranse'!AR5</f>
        <v>0</v>
      </c>
      <c r="J5" s="95"/>
      <c r="K5" s="95"/>
      <c r="L5" s="92">
        <f t="shared" ref="L5:L68" si="0">SUM(C5:K5)</f>
        <v>0</v>
      </c>
    </row>
    <row r="6" spans="1:12" ht="15" thickBot="1" x14ac:dyDescent="0.35">
      <c r="A6" s="6">
        <v>3012</v>
      </c>
      <c r="B6" s="7" t="s">
        <v>297</v>
      </c>
      <c r="C6" s="95"/>
      <c r="D6" s="95"/>
      <c r="E6" s="95"/>
      <c r="F6" s="95"/>
      <c r="G6" s="95"/>
      <c r="H6" s="95"/>
      <c r="I6" s="95">
        <v>8500</v>
      </c>
      <c r="J6" s="95"/>
      <c r="K6" s="95"/>
      <c r="L6" s="92">
        <f t="shared" si="0"/>
        <v>8500</v>
      </c>
    </row>
    <row r="7" spans="1:12" ht="15" thickBot="1" x14ac:dyDescent="0.35">
      <c r="A7" s="6">
        <v>3016</v>
      </c>
      <c r="B7" s="7" t="s">
        <v>148</v>
      </c>
      <c r="C7" s="95"/>
      <c r="D7" s="95"/>
      <c r="E7" s="95"/>
      <c r="F7" s="95"/>
      <c r="G7" s="95"/>
      <c r="H7" s="95"/>
      <c r="I7" s="95">
        <f>'7 Konkurranse'!AR7</f>
        <v>0</v>
      </c>
      <c r="J7" s="95"/>
      <c r="K7" s="95"/>
      <c r="L7" s="92">
        <f t="shared" si="0"/>
        <v>0</v>
      </c>
    </row>
    <row r="8" spans="1:12" ht="15" thickBot="1" x14ac:dyDescent="0.35">
      <c r="A8" s="6">
        <v>3017</v>
      </c>
      <c r="B8" s="7" t="s">
        <v>149</v>
      </c>
      <c r="C8" s="95"/>
      <c r="D8" s="95"/>
      <c r="E8" s="95"/>
      <c r="F8" s="95"/>
      <c r="G8" s="95"/>
      <c r="H8" s="95"/>
      <c r="I8" s="95">
        <f>SUM('7 Konkurranse'!AR9)</f>
        <v>0</v>
      </c>
      <c r="J8" s="95"/>
      <c r="K8" s="95"/>
      <c r="L8" s="92">
        <f t="shared" si="0"/>
        <v>0</v>
      </c>
    </row>
    <row r="9" spans="1:12" ht="15" thickBot="1" x14ac:dyDescent="0.35">
      <c r="A9" s="6">
        <v>3100</v>
      </c>
      <c r="B9" s="17" t="s">
        <v>3</v>
      </c>
      <c r="C9" s="95">
        <f>'1 Administrasjon'!BC4</f>
        <v>0</v>
      </c>
      <c r="D9" s="95">
        <f>'2 Ekstern kommunikasjon'!X4</f>
        <v>0</v>
      </c>
      <c r="E9" s="95">
        <f>'3 Forbundsutvikling'!AB4</f>
        <v>0</v>
      </c>
      <c r="F9" s="95">
        <f>'4. Utvilklingstiltak'!AZ4</f>
        <v>0</v>
      </c>
      <c r="G9" s="95">
        <f>'5 Klubbutvikling'!AN4</f>
        <v>0</v>
      </c>
      <c r="H9" s="95">
        <f>'6 Barn og Ungdom'!AN4</f>
        <v>0</v>
      </c>
      <c r="I9" s="95">
        <f>'7 Konkurranse'!AR10</f>
        <v>0</v>
      </c>
      <c r="J9" s="95">
        <f>'8 Eliteaktivitet'!AR4</f>
        <v>0</v>
      </c>
      <c r="K9" s="95">
        <f>'9 Anlegg og infrastruktur'!X4</f>
        <v>0</v>
      </c>
      <c r="L9" s="92">
        <f t="shared" si="0"/>
        <v>0</v>
      </c>
    </row>
    <row r="10" spans="1:12" ht="15" thickBot="1" x14ac:dyDescent="0.35">
      <c r="A10" s="6">
        <v>3120</v>
      </c>
      <c r="B10" s="7" t="s">
        <v>4</v>
      </c>
      <c r="C10" s="95">
        <f>'1 Administrasjon'!BC5</f>
        <v>0</v>
      </c>
      <c r="D10" s="95">
        <f>'2 Ekstern kommunikasjon'!X5</f>
        <v>0</v>
      </c>
      <c r="E10" s="95">
        <f>'3 Forbundsutvikling'!AB5</f>
        <v>0</v>
      </c>
      <c r="F10" s="95">
        <f>'4. Utvilklingstiltak'!AZ5</f>
        <v>0</v>
      </c>
      <c r="G10" s="95">
        <f>'5 Klubbutvikling'!AN5</f>
        <v>0</v>
      </c>
      <c r="H10" s="95">
        <f>'6 Barn og Ungdom'!AN5</f>
        <v>0</v>
      </c>
      <c r="I10" s="95">
        <f>'7 Konkurranse'!AR11</f>
        <v>0</v>
      </c>
      <c r="J10" s="95">
        <f>'8 Eliteaktivitet'!AR5</f>
        <v>0</v>
      </c>
      <c r="K10" s="95">
        <f>'9 Anlegg og infrastruktur'!X5</f>
        <v>0</v>
      </c>
      <c r="L10" s="92">
        <f t="shared" si="0"/>
        <v>0</v>
      </c>
    </row>
    <row r="11" spans="1:12" ht="15" thickBot="1" x14ac:dyDescent="0.35">
      <c r="A11" s="6">
        <v>3400</v>
      </c>
      <c r="B11" s="7" t="s">
        <v>5</v>
      </c>
      <c r="C11" s="95">
        <f>'1 Administrasjon'!BC6</f>
        <v>0</v>
      </c>
      <c r="D11" s="95">
        <f>'2 Ekstern kommunikasjon'!X6</f>
        <v>0</v>
      </c>
      <c r="E11" s="95">
        <f>'3 Forbundsutvikling'!AB6</f>
        <v>0</v>
      </c>
      <c r="F11" s="95">
        <f>'4. Utvilklingstiltak'!AZ6</f>
        <v>0</v>
      </c>
      <c r="G11" s="95">
        <f>'5 Klubbutvikling'!AN6</f>
        <v>0</v>
      </c>
      <c r="H11" s="95">
        <f>'6 Barn og Ungdom'!AN6</f>
        <v>0</v>
      </c>
      <c r="I11" s="95">
        <f>'7 Konkurranse'!AR12</f>
        <v>0</v>
      </c>
      <c r="J11" s="95">
        <f>'8 Eliteaktivitet'!AR6</f>
        <v>0</v>
      </c>
      <c r="K11" s="95">
        <f>SUM('9 Anlegg og infrastruktur'!X11)</f>
        <v>0</v>
      </c>
      <c r="L11" s="92">
        <f t="shared" si="0"/>
        <v>0</v>
      </c>
    </row>
    <row r="12" spans="1:12" ht="15" thickBot="1" x14ac:dyDescent="0.35">
      <c r="A12" s="6">
        <v>3410</v>
      </c>
      <c r="B12" s="7" t="s">
        <v>6</v>
      </c>
      <c r="C12" s="95">
        <f>'1 Administrasjon'!BC7</f>
        <v>0</v>
      </c>
      <c r="D12" s="95">
        <f>'2 Ekstern kommunikasjon'!X7</f>
        <v>0</v>
      </c>
      <c r="E12" s="95">
        <f>'3 Forbundsutvikling'!AB7</f>
        <v>0</v>
      </c>
      <c r="F12" s="95">
        <f>'4. Utvilklingstiltak'!AZ7</f>
        <v>0</v>
      </c>
      <c r="G12" s="95">
        <f>'5 Klubbutvikling'!AN7</f>
        <v>0</v>
      </c>
      <c r="H12" s="95">
        <f>'6 Barn og Ungdom'!AN7</f>
        <v>0</v>
      </c>
      <c r="I12" s="95">
        <f>'7 Konkurranse'!AR13</f>
        <v>0</v>
      </c>
      <c r="J12" s="95">
        <f>'8 Eliteaktivitet'!AR7</f>
        <v>0</v>
      </c>
      <c r="K12" s="95">
        <f>'9 Anlegg og infrastruktur'!X7</f>
        <v>0</v>
      </c>
      <c r="L12" s="92">
        <f t="shared" si="0"/>
        <v>0</v>
      </c>
    </row>
    <row r="13" spans="1:12" ht="15" hidden="1" thickBot="1" x14ac:dyDescent="0.35">
      <c r="A13" s="6">
        <v>3900</v>
      </c>
      <c r="B13" s="7" t="s">
        <v>7</v>
      </c>
      <c r="C13" s="95">
        <f>'1 Administrasjon'!BC8</f>
        <v>0</v>
      </c>
      <c r="D13" s="95">
        <f>'2 Ekstern kommunikasjon'!X8</f>
        <v>0</v>
      </c>
      <c r="E13" s="95">
        <f>'3 Forbundsutvikling'!AB8</f>
        <v>0</v>
      </c>
      <c r="F13" s="95">
        <f>'4. Utvilklingstiltak'!AZ8</f>
        <v>0</v>
      </c>
      <c r="G13" s="95">
        <f>'5 Klubbutvikling'!AN8</f>
        <v>0</v>
      </c>
      <c r="H13" s="95">
        <f>'6 Barn og Ungdom'!AN8</f>
        <v>0</v>
      </c>
      <c r="I13" s="95">
        <f>'7 Konkurranse'!AR14</f>
        <v>0</v>
      </c>
      <c r="J13" s="95">
        <f>'8 Eliteaktivitet'!AR8</f>
        <v>0</v>
      </c>
      <c r="K13" s="95">
        <f>'9 Anlegg og infrastruktur'!X8</f>
        <v>0</v>
      </c>
      <c r="L13" s="92">
        <f t="shared" si="0"/>
        <v>0</v>
      </c>
    </row>
    <row r="14" spans="1:12" ht="15" thickBot="1" x14ac:dyDescent="0.35">
      <c r="A14" s="6">
        <v>3910</v>
      </c>
      <c r="B14" s="7" t="s">
        <v>8</v>
      </c>
      <c r="C14" s="95" t="e">
        <f>SUM('1 Administrasjon'!#REF!)</f>
        <v>#REF!</v>
      </c>
      <c r="D14" s="95">
        <f>'2 Ekstern kommunikasjon'!X9</f>
        <v>0</v>
      </c>
      <c r="E14" s="95">
        <f>'3 Forbundsutvikling'!AB9</f>
        <v>0</v>
      </c>
      <c r="F14" s="95">
        <f>'4. Utvilklingstiltak'!AZ9</f>
        <v>0</v>
      </c>
      <c r="G14" s="95">
        <f>'5 Klubbutvikling'!AN9</f>
        <v>0</v>
      </c>
      <c r="H14" s="95">
        <f>'6 Barn og Ungdom'!AN9</f>
        <v>0</v>
      </c>
      <c r="I14" s="95">
        <f>'7 Konkurranse'!AR15</f>
        <v>0</v>
      </c>
      <c r="J14" s="95">
        <f>'8 Eliteaktivitet'!AR9</f>
        <v>0</v>
      </c>
      <c r="K14" s="95">
        <f>'9 Anlegg og infrastruktur'!X9</f>
        <v>0</v>
      </c>
      <c r="L14" s="92" t="e">
        <f t="shared" si="0"/>
        <v>#REF!</v>
      </c>
    </row>
    <row r="15" spans="1:12" ht="15" thickBot="1" x14ac:dyDescent="0.35">
      <c r="A15" s="6">
        <v>3950</v>
      </c>
      <c r="B15" s="7" t="s">
        <v>9</v>
      </c>
      <c r="C15" s="95">
        <f>'1 Administrasjon'!BC10</f>
        <v>0</v>
      </c>
      <c r="D15" s="95">
        <f>SUM('2 Ekstern kommunikasjon'!X11)</f>
        <v>0</v>
      </c>
      <c r="E15" s="95">
        <f>'3 Forbundsutvikling'!AB10</f>
        <v>0</v>
      </c>
      <c r="F15" s="95">
        <f>'4. Utvilklingstiltak'!AZ10</f>
        <v>0</v>
      </c>
      <c r="G15" s="95">
        <f>'5 Klubbutvikling'!AN10</f>
        <v>0</v>
      </c>
      <c r="H15" s="95">
        <f>'6 Barn og Ungdom'!AN10</f>
        <v>0</v>
      </c>
      <c r="I15" s="95">
        <f>SUM('7 Konkurranse'!AR16)</f>
        <v>0</v>
      </c>
      <c r="J15" s="95">
        <f>'8 Eliteaktivitet'!AR10</f>
        <v>0</v>
      </c>
      <c r="K15" s="95">
        <f>'9 Anlegg og infrastruktur'!X10</f>
        <v>0</v>
      </c>
      <c r="L15" s="92">
        <f t="shared" si="0"/>
        <v>0</v>
      </c>
    </row>
    <row r="16" spans="1:12" ht="15" thickBot="1" x14ac:dyDescent="0.35">
      <c r="A16" s="6">
        <v>3951</v>
      </c>
      <c r="B16" s="7" t="s">
        <v>135</v>
      </c>
      <c r="C16" s="99">
        <f>'1 Administrasjon'!BC11</f>
        <v>0</v>
      </c>
      <c r="D16" s="99"/>
      <c r="E16" s="99"/>
      <c r="F16" s="99"/>
      <c r="G16" s="99"/>
      <c r="H16" s="95"/>
      <c r="I16" s="95"/>
      <c r="J16" s="95"/>
      <c r="K16" s="95"/>
      <c r="L16" s="92">
        <f t="shared" si="0"/>
        <v>0</v>
      </c>
    </row>
    <row r="17" spans="1:13" ht="15" thickBot="1" x14ac:dyDescent="0.35">
      <c r="A17" s="24"/>
      <c r="B17" s="25" t="s">
        <v>73</v>
      </c>
      <c r="C17" s="92" t="e">
        <f>SUM(C5:C16)</f>
        <v>#REF!</v>
      </c>
      <c r="D17" s="92">
        <f t="shared" ref="D17:K17" si="1">SUM(D5:D16)</f>
        <v>0</v>
      </c>
      <c r="E17" s="92">
        <f t="shared" si="1"/>
        <v>0</v>
      </c>
      <c r="F17" s="92">
        <f t="shared" si="1"/>
        <v>0</v>
      </c>
      <c r="G17" s="92">
        <f t="shared" si="1"/>
        <v>0</v>
      </c>
      <c r="H17" s="92">
        <f t="shared" si="1"/>
        <v>0</v>
      </c>
      <c r="I17" s="92">
        <f t="shared" si="1"/>
        <v>8500</v>
      </c>
      <c r="J17" s="92">
        <f t="shared" si="1"/>
        <v>0</v>
      </c>
      <c r="K17" s="92">
        <f t="shared" si="1"/>
        <v>0</v>
      </c>
      <c r="L17" s="92" t="e">
        <f>SUM(L5:L16)</f>
        <v>#REF!</v>
      </c>
      <c r="M17" s="83"/>
    </row>
    <row r="18" spans="1:13" ht="15" thickBot="1" x14ac:dyDescent="0.35">
      <c r="A18" s="181">
        <v>5000</v>
      </c>
      <c r="B18" s="182" t="s">
        <v>10</v>
      </c>
      <c r="C18" s="86">
        <f>'1 Administrasjon'!BC13</f>
        <v>0</v>
      </c>
      <c r="D18" s="100">
        <f>'2 Ekstern kommunikasjon'!X13</f>
        <v>0</v>
      </c>
      <c r="E18" s="100">
        <f>'3 Forbundsutvikling'!AB12</f>
        <v>0</v>
      </c>
      <c r="F18" s="100">
        <f>'4. Utvilklingstiltak'!AZ12</f>
        <v>0</v>
      </c>
      <c r="G18" s="100">
        <f>'5 Klubbutvikling'!AN12</f>
        <v>0</v>
      </c>
      <c r="H18" s="100">
        <f>'6 Barn og Ungdom'!AN12</f>
        <v>0</v>
      </c>
      <c r="I18" s="100">
        <f>'7 Konkurranse'!AR19</f>
        <v>0</v>
      </c>
      <c r="J18" s="100">
        <f>'8 Eliteaktivitet'!AR12</f>
        <v>0</v>
      </c>
      <c r="K18" s="100">
        <f>'9 Anlegg og infrastruktur'!X13</f>
        <v>0</v>
      </c>
      <c r="L18" s="92">
        <f t="shared" si="0"/>
        <v>0</v>
      </c>
    </row>
    <row r="19" spans="1:13" ht="15" hidden="1" thickBot="1" x14ac:dyDescent="0.35">
      <c r="A19" s="6">
        <v>5001</v>
      </c>
      <c r="B19" s="11" t="s">
        <v>11</v>
      </c>
      <c r="C19" s="86">
        <f>'1 Administrasjon'!BC14</f>
        <v>0</v>
      </c>
      <c r="D19" s="100">
        <f>'2 Ekstern kommunikasjon'!X14</f>
        <v>0</v>
      </c>
      <c r="E19" s="100">
        <f>'3 Forbundsutvikling'!AB13</f>
        <v>0</v>
      </c>
      <c r="F19" s="100">
        <f>'4. Utvilklingstiltak'!AZ13</f>
        <v>0</v>
      </c>
      <c r="G19" s="100">
        <f>'5 Klubbutvikling'!AN13</f>
        <v>0</v>
      </c>
      <c r="H19" s="100">
        <f>'6 Barn og Ungdom'!AN13</f>
        <v>0</v>
      </c>
      <c r="I19" s="100">
        <f>'7 Konkurranse'!AR20</f>
        <v>0</v>
      </c>
      <c r="J19" s="100">
        <f>'8 Eliteaktivitet'!AR13</f>
        <v>0</v>
      </c>
      <c r="K19" s="100">
        <f>'9 Anlegg og infrastruktur'!X14</f>
        <v>0</v>
      </c>
      <c r="L19" s="92">
        <f t="shared" si="0"/>
        <v>0</v>
      </c>
    </row>
    <row r="20" spans="1:13" ht="15" thickBot="1" x14ac:dyDescent="0.35">
      <c r="A20" s="6">
        <v>5001</v>
      </c>
      <c r="B20" s="11" t="s">
        <v>11</v>
      </c>
      <c r="C20" s="86">
        <f>SUM('1 Administrasjon'!BC16)</f>
        <v>0</v>
      </c>
      <c r="D20" s="100"/>
      <c r="E20" s="100"/>
      <c r="F20" s="100">
        <f>SUM('4. Utvilklingstiltak'!AZ15)</f>
        <v>0</v>
      </c>
      <c r="G20" s="100"/>
      <c r="H20" s="100"/>
      <c r="I20" s="100">
        <f>SUM('7 Konkurranse'!AR22)</f>
        <v>0</v>
      </c>
      <c r="J20" s="100">
        <f>SUM('8 Eliteaktivitet'!AR15)</f>
        <v>0</v>
      </c>
      <c r="K20" s="100"/>
      <c r="L20" s="92">
        <f t="shared" si="0"/>
        <v>0</v>
      </c>
    </row>
    <row r="21" spans="1:13" ht="15" thickBot="1" x14ac:dyDescent="0.35">
      <c r="A21" s="6">
        <v>5004</v>
      </c>
      <c r="B21" s="11" t="s">
        <v>12</v>
      </c>
      <c r="C21" s="86">
        <f>'1 Administrasjon'!BC15</f>
        <v>0</v>
      </c>
      <c r="D21" s="100">
        <f>'2 Ekstern kommunikasjon'!X15</f>
        <v>0</v>
      </c>
      <c r="E21" s="100">
        <f>'3 Forbundsutvikling'!AB14</f>
        <v>0</v>
      </c>
      <c r="F21" s="100">
        <f>'4. Utvilklingstiltak'!AZ14</f>
        <v>0</v>
      </c>
      <c r="G21" s="100">
        <f>'5 Klubbutvikling'!AN14</f>
        <v>0</v>
      </c>
      <c r="H21" s="100">
        <f>'6 Barn og Ungdom'!AN14</f>
        <v>0</v>
      </c>
      <c r="I21" s="100">
        <f>SUM('7 Konkurranse'!AR23)</f>
        <v>0</v>
      </c>
      <c r="J21" s="100">
        <f>SUM('8 Eliteaktivitet'!AR16)</f>
        <v>0</v>
      </c>
      <c r="K21" s="100">
        <f>'9 Anlegg og infrastruktur'!X15</f>
        <v>0</v>
      </c>
      <c r="L21" s="92">
        <f t="shared" si="0"/>
        <v>0</v>
      </c>
    </row>
    <row r="22" spans="1:13" ht="15" thickBot="1" x14ac:dyDescent="0.35">
      <c r="A22" s="6">
        <v>5005</v>
      </c>
      <c r="B22" s="11" t="s">
        <v>300</v>
      </c>
      <c r="C22" s="86"/>
      <c r="D22" s="100"/>
      <c r="E22" s="100"/>
      <c r="F22" s="100"/>
      <c r="G22" s="100"/>
      <c r="H22" s="100"/>
      <c r="I22" s="100">
        <f>SUM('7 Konkurranse'!AR24)</f>
        <v>0</v>
      </c>
      <c r="J22" s="100"/>
      <c r="K22" s="100"/>
      <c r="L22" s="92">
        <f t="shared" si="0"/>
        <v>0</v>
      </c>
    </row>
    <row r="23" spans="1:13" ht="15" thickBot="1" x14ac:dyDescent="0.35">
      <c r="A23" s="6">
        <v>5010</v>
      </c>
      <c r="B23" s="11" t="s">
        <v>278</v>
      </c>
      <c r="C23" s="86">
        <f>SUM('1 Administrasjon'!BC17)</f>
        <v>0</v>
      </c>
      <c r="D23" s="100"/>
      <c r="E23" s="100"/>
      <c r="F23" s="100"/>
      <c r="G23" s="100"/>
      <c r="H23" s="100"/>
      <c r="I23" s="100"/>
      <c r="J23" s="100"/>
      <c r="K23" s="100"/>
      <c r="L23" s="92">
        <f t="shared" si="0"/>
        <v>0</v>
      </c>
    </row>
    <row r="24" spans="1:13" ht="15" thickBot="1" x14ac:dyDescent="0.35">
      <c r="A24" s="6">
        <v>5180</v>
      </c>
      <c r="B24" s="11" t="s">
        <v>13</v>
      </c>
      <c r="C24" s="86">
        <f>'1 Administrasjon'!BC18</f>
        <v>0</v>
      </c>
      <c r="D24" s="100">
        <f>'2 Ekstern kommunikasjon'!X16</f>
        <v>0</v>
      </c>
      <c r="E24" s="100">
        <f>'3 Forbundsutvikling'!AB15</f>
        <v>0</v>
      </c>
      <c r="F24" s="100">
        <f>'4. Utvilklingstiltak'!AZ16</f>
        <v>0</v>
      </c>
      <c r="G24" s="100">
        <f>'5 Klubbutvikling'!AN15</f>
        <v>0</v>
      </c>
      <c r="H24" s="100">
        <f>'6 Barn og Ungdom'!AN15</f>
        <v>0</v>
      </c>
      <c r="I24" s="100">
        <f>'7 Konkurranse'!AR26</f>
        <v>0</v>
      </c>
      <c r="J24" s="100">
        <f>'8 Eliteaktivitet'!AR17</f>
        <v>0</v>
      </c>
      <c r="K24" s="100">
        <f>'9 Anlegg og infrastruktur'!X16</f>
        <v>0</v>
      </c>
      <c r="L24" s="92">
        <f t="shared" si="0"/>
        <v>0</v>
      </c>
    </row>
    <row r="25" spans="1:13" ht="15" thickBot="1" x14ac:dyDescent="0.35">
      <c r="A25" s="6">
        <v>5182</v>
      </c>
      <c r="B25" s="11" t="s">
        <v>14</v>
      </c>
      <c r="C25" s="86">
        <f>'1 Administrasjon'!BC19</f>
        <v>0</v>
      </c>
      <c r="D25" s="100">
        <f>'2 Ekstern kommunikasjon'!X17</f>
        <v>0</v>
      </c>
      <c r="E25" s="100">
        <f>'3 Forbundsutvikling'!AB16</f>
        <v>0</v>
      </c>
      <c r="F25" s="100">
        <f>'4. Utvilklingstiltak'!AZ17</f>
        <v>0</v>
      </c>
      <c r="G25" s="100">
        <f>'5 Klubbutvikling'!AN16</f>
        <v>0</v>
      </c>
      <c r="H25" s="100">
        <f>'6 Barn og Ungdom'!AN16</f>
        <v>0</v>
      </c>
      <c r="I25" s="100">
        <f>'7 Konkurranse'!AR27</f>
        <v>0</v>
      </c>
      <c r="J25" s="100">
        <f>'8 Eliteaktivitet'!AR18</f>
        <v>0</v>
      </c>
      <c r="K25" s="100">
        <f>'9 Anlegg og infrastruktur'!X17</f>
        <v>0</v>
      </c>
      <c r="L25" s="92">
        <f t="shared" si="0"/>
        <v>0</v>
      </c>
    </row>
    <row r="26" spans="1:13" ht="15" thickBot="1" x14ac:dyDescent="0.35">
      <c r="A26" s="6">
        <v>5211</v>
      </c>
      <c r="B26" s="11" t="s">
        <v>15</v>
      </c>
      <c r="C26" s="86">
        <f>'1 Administrasjon'!BC20</f>
        <v>0</v>
      </c>
      <c r="D26" s="100">
        <f>'2 Ekstern kommunikasjon'!X18</f>
        <v>0</v>
      </c>
      <c r="E26" s="100">
        <f>'3 Forbundsutvikling'!AB17</f>
        <v>0</v>
      </c>
      <c r="F26" s="100">
        <f>'4. Utvilklingstiltak'!AZ18</f>
        <v>0</v>
      </c>
      <c r="G26" s="100">
        <f>'5 Klubbutvikling'!AN17</f>
        <v>0</v>
      </c>
      <c r="H26" s="100">
        <f>'6 Barn og Ungdom'!AN17</f>
        <v>0</v>
      </c>
      <c r="I26" s="100">
        <f>'7 Konkurranse'!AR28</f>
        <v>0</v>
      </c>
      <c r="J26" s="100">
        <f>'8 Eliteaktivitet'!AR19</f>
        <v>0</v>
      </c>
      <c r="K26" s="100">
        <f>'9 Anlegg og infrastruktur'!X18</f>
        <v>0</v>
      </c>
      <c r="L26" s="92">
        <f t="shared" si="0"/>
        <v>0</v>
      </c>
    </row>
    <row r="27" spans="1:13" ht="15" hidden="1" thickBot="1" x14ac:dyDescent="0.35">
      <c r="A27" s="6">
        <v>5230</v>
      </c>
      <c r="B27" s="11" t="s">
        <v>16</v>
      </c>
      <c r="C27" s="86">
        <f>'1 Administrasjon'!BC21</f>
        <v>0</v>
      </c>
      <c r="D27" s="100">
        <f>'2 Ekstern kommunikasjon'!X19</f>
        <v>0</v>
      </c>
      <c r="E27" s="100">
        <f>'3 Forbundsutvikling'!AB18</f>
        <v>0</v>
      </c>
      <c r="F27" s="100">
        <f>'4. Utvilklingstiltak'!AZ19</f>
        <v>0</v>
      </c>
      <c r="G27" s="100">
        <f>'5 Klubbutvikling'!AN18</f>
        <v>0</v>
      </c>
      <c r="H27" s="100">
        <f>'6 Barn og Ungdom'!AN18</f>
        <v>0</v>
      </c>
      <c r="I27" s="100">
        <f>'7 Konkurranse'!AR29</f>
        <v>0</v>
      </c>
      <c r="J27" s="100">
        <f>'8 Eliteaktivitet'!AR20</f>
        <v>0</v>
      </c>
      <c r="K27" s="100">
        <f>'9 Anlegg og infrastruktur'!X19</f>
        <v>0</v>
      </c>
      <c r="L27" s="92">
        <f t="shared" si="0"/>
        <v>0</v>
      </c>
    </row>
    <row r="28" spans="1:13" ht="15" thickBot="1" x14ac:dyDescent="0.35">
      <c r="A28" s="6">
        <v>5400</v>
      </c>
      <c r="B28" s="11" t="s">
        <v>48</v>
      </c>
      <c r="C28" s="86">
        <f>'1 Administrasjon'!BC22</f>
        <v>0</v>
      </c>
      <c r="D28" s="100">
        <f>'2 Ekstern kommunikasjon'!X20</f>
        <v>0</v>
      </c>
      <c r="E28" s="100">
        <f>'3 Forbundsutvikling'!AB19</f>
        <v>0</v>
      </c>
      <c r="F28" s="100">
        <f>'4. Utvilklingstiltak'!AZ20</f>
        <v>0</v>
      </c>
      <c r="G28" s="100">
        <f>'5 Klubbutvikling'!AN19</f>
        <v>0</v>
      </c>
      <c r="H28" s="100">
        <f>'6 Barn og Ungdom'!AN19</f>
        <v>0</v>
      </c>
      <c r="I28" s="100">
        <f>'7 Konkurranse'!AR30</f>
        <v>0</v>
      </c>
      <c r="J28" s="100">
        <f>'8 Eliteaktivitet'!AR21</f>
        <v>0</v>
      </c>
      <c r="K28" s="100">
        <f>'9 Anlegg og infrastruktur'!X20</f>
        <v>0</v>
      </c>
      <c r="L28" s="92">
        <f t="shared" si="0"/>
        <v>0</v>
      </c>
    </row>
    <row r="29" spans="1:13" ht="15" thickBot="1" x14ac:dyDescent="0.35">
      <c r="A29" s="6">
        <v>5990</v>
      </c>
      <c r="B29" s="11" t="s">
        <v>17</v>
      </c>
      <c r="C29" s="86">
        <f>'1 Administrasjon'!BC23</f>
        <v>0</v>
      </c>
      <c r="D29" s="100">
        <f>'2 Ekstern kommunikasjon'!X21</f>
        <v>0</v>
      </c>
      <c r="E29" s="100">
        <f>'3 Forbundsutvikling'!AB20</f>
        <v>0</v>
      </c>
      <c r="F29" s="100">
        <f>'4. Utvilklingstiltak'!AZ21</f>
        <v>0</v>
      </c>
      <c r="G29" s="100">
        <f>'5 Klubbutvikling'!AN20</f>
        <v>0</v>
      </c>
      <c r="H29" s="100">
        <f>'6 Barn og Ungdom'!AN20</f>
        <v>0</v>
      </c>
      <c r="I29" s="100">
        <f>'7 Konkurranse'!AR31</f>
        <v>0</v>
      </c>
      <c r="J29" s="100">
        <f>'8 Eliteaktivitet'!AR22</f>
        <v>0</v>
      </c>
      <c r="K29" s="100">
        <f>'9 Anlegg og infrastruktur'!X21</f>
        <v>0</v>
      </c>
      <c r="L29" s="92">
        <f t="shared" si="0"/>
        <v>0</v>
      </c>
    </row>
    <row r="30" spans="1:13" ht="15" thickBot="1" x14ac:dyDescent="0.35">
      <c r="A30" s="6">
        <v>6110</v>
      </c>
      <c r="B30" s="11" t="s">
        <v>50</v>
      </c>
      <c r="C30" s="86">
        <f>'1 Administrasjon'!BC24</f>
        <v>0</v>
      </c>
      <c r="D30" s="100">
        <f>'2 Ekstern kommunikasjon'!X22</f>
        <v>0</v>
      </c>
      <c r="E30" s="100">
        <f>'3 Forbundsutvikling'!AB21</f>
        <v>0</v>
      </c>
      <c r="F30" s="100">
        <f>'4. Utvilklingstiltak'!AZ23</f>
        <v>0</v>
      </c>
      <c r="G30" s="100">
        <f>'5 Klubbutvikling'!AN21</f>
        <v>0</v>
      </c>
      <c r="H30" s="100">
        <f>'6 Barn og Ungdom'!AN21</f>
        <v>0</v>
      </c>
      <c r="I30" s="100">
        <f>'7 Konkurranse'!AR32</f>
        <v>0</v>
      </c>
      <c r="J30" s="100">
        <f>'8 Eliteaktivitet'!AR23</f>
        <v>0</v>
      </c>
      <c r="K30" s="100">
        <f>'9 Anlegg og infrastruktur'!X22</f>
        <v>0</v>
      </c>
      <c r="L30" s="92">
        <f t="shared" si="0"/>
        <v>0</v>
      </c>
    </row>
    <row r="31" spans="1:13" ht="15" thickBot="1" x14ac:dyDescent="0.35">
      <c r="A31" s="6">
        <v>6300</v>
      </c>
      <c r="B31" s="11" t="s">
        <v>18</v>
      </c>
      <c r="C31" s="86">
        <f>'1 Administrasjon'!BC25</f>
        <v>0</v>
      </c>
      <c r="D31" s="100">
        <f>'2 Ekstern kommunikasjon'!X23</f>
        <v>0</v>
      </c>
      <c r="E31" s="100">
        <f>'3 Forbundsutvikling'!AB22</f>
        <v>0</v>
      </c>
      <c r="F31" s="100">
        <f>'4. Utvilklingstiltak'!AZ24</f>
        <v>0</v>
      </c>
      <c r="G31" s="100">
        <f>'5 Klubbutvikling'!AN22</f>
        <v>0</v>
      </c>
      <c r="H31" s="100">
        <f>'6 Barn og Ungdom'!AN22</f>
        <v>0</v>
      </c>
      <c r="I31" s="100">
        <f>'7 Konkurranse'!AR33</f>
        <v>0</v>
      </c>
      <c r="J31" s="100">
        <f>'8 Eliteaktivitet'!AR24</f>
        <v>0</v>
      </c>
      <c r="K31" s="100">
        <f>'9 Anlegg og infrastruktur'!X23</f>
        <v>0</v>
      </c>
      <c r="L31" s="92">
        <f t="shared" si="0"/>
        <v>0</v>
      </c>
    </row>
    <row r="32" spans="1:13" ht="15" thickBot="1" x14ac:dyDescent="0.35">
      <c r="A32" s="6">
        <v>6310</v>
      </c>
      <c r="B32" s="11" t="s">
        <v>137</v>
      </c>
      <c r="C32" s="86">
        <f>'1 Administrasjon'!BC26</f>
        <v>0</v>
      </c>
      <c r="D32" s="100"/>
      <c r="E32" s="100"/>
      <c r="F32" s="100"/>
      <c r="G32" s="100"/>
      <c r="H32" s="100"/>
      <c r="I32" s="100"/>
      <c r="J32" s="100"/>
      <c r="K32" s="100"/>
      <c r="L32" s="92">
        <f t="shared" si="0"/>
        <v>0</v>
      </c>
    </row>
    <row r="33" spans="1:12" ht="15" thickBot="1" x14ac:dyDescent="0.35">
      <c r="A33" s="6">
        <v>6440</v>
      </c>
      <c r="B33" s="11" t="s">
        <v>19</v>
      </c>
      <c r="C33" s="86">
        <f>'1 Administrasjon'!BC27</f>
        <v>0</v>
      </c>
      <c r="D33" s="100">
        <f>'2 Ekstern kommunikasjon'!X24</f>
        <v>0</v>
      </c>
      <c r="E33" s="100">
        <f>'3 Forbundsutvikling'!AB23</f>
        <v>0</v>
      </c>
      <c r="F33" s="100">
        <f>SUM('4. Utvilklingstiltak'!AZ30)</f>
        <v>0</v>
      </c>
      <c r="G33" s="100">
        <f>'5 Klubbutvikling'!AN23</f>
        <v>0</v>
      </c>
      <c r="H33" s="100">
        <f>'6 Barn og Ungdom'!AN23</f>
        <v>0</v>
      </c>
      <c r="I33" s="100">
        <f>'7 Konkurranse'!AR34</f>
        <v>0</v>
      </c>
      <c r="J33" s="100">
        <f>'8 Eliteaktivitet'!AR25</f>
        <v>0</v>
      </c>
      <c r="K33" s="100">
        <f>SUM('9 Anlegg og infrastruktur'!X46)</f>
        <v>0</v>
      </c>
      <c r="L33" s="92">
        <f t="shared" si="0"/>
        <v>0</v>
      </c>
    </row>
    <row r="34" spans="1:12" ht="15" hidden="1" thickBot="1" x14ac:dyDescent="0.35">
      <c r="A34" s="6">
        <v>6540</v>
      </c>
      <c r="B34" s="11" t="s">
        <v>150</v>
      </c>
      <c r="C34" s="86"/>
      <c r="D34" s="100"/>
      <c r="E34" s="100"/>
      <c r="F34" s="100"/>
      <c r="G34" s="100"/>
      <c r="H34" s="100"/>
      <c r="I34" s="100"/>
      <c r="J34" s="100"/>
      <c r="K34" s="100">
        <f>'9 Anlegg og infrastruktur'!X25</f>
        <v>0</v>
      </c>
      <c r="L34" s="92">
        <f t="shared" si="0"/>
        <v>0</v>
      </c>
    </row>
    <row r="35" spans="1:12" ht="15" thickBot="1" x14ac:dyDescent="0.35">
      <c r="A35" s="6">
        <v>6550</v>
      </c>
      <c r="B35" s="11" t="s">
        <v>20</v>
      </c>
      <c r="C35" s="86">
        <f>'1 Administrasjon'!BC28</f>
        <v>0</v>
      </c>
      <c r="D35" s="100">
        <f>'2 Ekstern kommunikasjon'!X25</f>
        <v>0</v>
      </c>
      <c r="E35" s="100">
        <f>'3 Forbundsutvikling'!AB24</f>
        <v>0</v>
      </c>
      <c r="F35" s="100">
        <f>'4. Utvilklingstiltak'!AZ26</f>
        <v>0</v>
      </c>
      <c r="G35" s="100">
        <f>'5 Klubbutvikling'!AN24</f>
        <v>0</v>
      </c>
      <c r="H35" s="100">
        <f>'6 Barn og Ungdom'!AN24</f>
        <v>0</v>
      </c>
      <c r="I35" s="100">
        <f>'7 Konkurranse'!AR35</f>
        <v>0</v>
      </c>
      <c r="J35" s="100">
        <f>'8 Eliteaktivitet'!AR26</f>
        <v>0</v>
      </c>
      <c r="K35" s="100">
        <f>'9 Anlegg og infrastruktur'!X26</f>
        <v>0</v>
      </c>
      <c r="L35" s="92">
        <f t="shared" si="0"/>
        <v>0</v>
      </c>
    </row>
    <row r="36" spans="1:12" ht="15" thickBot="1" x14ac:dyDescent="0.35">
      <c r="A36" s="6">
        <v>6560</v>
      </c>
      <c r="B36" s="11" t="s">
        <v>21</v>
      </c>
      <c r="C36" s="86">
        <f>'1 Administrasjon'!BC29</f>
        <v>0</v>
      </c>
      <c r="D36" s="100">
        <f>'2 Ekstern kommunikasjon'!X26</f>
        <v>0</v>
      </c>
      <c r="E36" s="100">
        <f>'3 Forbundsutvikling'!AB25</f>
        <v>0</v>
      </c>
      <c r="F36" s="100">
        <f>'4. Utvilklingstiltak'!AZ27</f>
        <v>0</v>
      </c>
      <c r="G36" s="100">
        <f>'5 Klubbutvikling'!AN25</f>
        <v>0</v>
      </c>
      <c r="H36" s="100">
        <f>'6 Barn og Ungdom'!AN25</f>
        <v>0</v>
      </c>
      <c r="I36" s="100">
        <f>'7 Konkurranse'!AR36</f>
        <v>0</v>
      </c>
      <c r="J36" s="100">
        <f>'8 Eliteaktivitet'!AR27</f>
        <v>0</v>
      </c>
      <c r="K36" s="100">
        <f>'9 Anlegg og infrastruktur'!X27</f>
        <v>0</v>
      </c>
      <c r="L36" s="92">
        <f t="shared" si="0"/>
        <v>0</v>
      </c>
    </row>
    <row r="37" spans="1:12" ht="15" thickBot="1" x14ac:dyDescent="0.35">
      <c r="A37" s="6">
        <v>6580</v>
      </c>
      <c r="B37" s="11" t="s">
        <v>2</v>
      </c>
      <c r="C37" s="86">
        <f>SUM('1 Administrasjon'!BC31)</f>
        <v>0</v>
      </c>
      <c r="D37" s="100">
        <f>SUM('2 Ekstern kommunikasjon'!X32)</f>
        <v>0</v>
      </c>
      <c r="E37" s="100">
        <f>'3 Forbundsutvikling'!AB26</f>
        <v>0</v>
      </c>
      <c r="F37" s="100">
        <f>SUM('4. Utvilklingstiltak'!AZ31)</f>
        <v>0</v>
      </c>
      <c r="G37" s="100">
        <f>'5 Klubbutvikling'!AN26</f>
        <v>0</v>
      </c>
      <c r="H37" s="100">
        <f>'6 Barn og Ungdom'!AN26</f>
        <v>0</v>
      </c>
      <c r="I37" s="100">
        <f>'7 Konkurranse'!AR37</f>
        <v>0</v>
      </c>
      <c r="J37" s="100">
        <f>'8 Eliteaktivitet'!AR28</f>
        <v>0</v>
      </c>
      <c r="K37" s="100">
        <f>'9 Anlegg og infrastruktur'!X28</f>
        <v>0</v>
      </c>
      <c r="L37" s="92">
        <f t="shared" si="0"/>
        <v>0</v>
      </c>
    </row>
    <row r="38" spans="1:12" ht="15" thickBot="1" x14ac:dyDescent="0.35">
      <c r="A38" s="6">
        <v>6700</v>
      </c>
      <c r="B38" s="11" t="s">
        <v>138</v>
      </c>
      <c r="C38" s="86">
        <f>'1 Administrasjon'!BC32</f>
        <v>0</v>
      </c>
      <c r="D38" s="100"/>
      <c r="E38" s="100"/>
      <c r="F38" s="100"/>
      <c r="G38" s="100"/>
      <c r="H38" s="100"/>
      <c r="I38" s="100"/>
      <c r="J38" s="100"/>
      <c r="K38" s="100"/>
      <c r="L38" s="92">
        <f t="shared" si="0"/>
        <v>0</v>
      </c>
    </row>
    <row r="39" spans="1:12" ht="15" thickBot="1" x14ac:dyDescent="0.35">
      <c r="A39" s="6">
        <v>6720</v>
      </c>
      <c r="B39" s="11" t="s">
        <v>139</v>
      </c>
      <c r="C39" s="86">
        <f>'1 Administrasjon'!BC33</f>
        <v>0</v>
      </c>
      <c r="D39" s="100"/>
      <c r="E39" s="100"/>
      <c r="F39" s="100"/>
      <c r="G39" s="100"/>
      <c r="H39" s="100"/>
      <c r="I39" s="100">
        <f>'7 Konkurranse'!AR38</f>
        <v>0</v>
      </c>
      <c r="J39" s="100"/>
      <c r="K39" s="100"/>
      <c r="L39" s="92">
        <f t="shared" si="0"/>
        <v>0</v>
      </c>
    </row>
    <row r="40" spans="1:12" ht="15" thickBot="1" x14ac:dyDescent="0.35">
      <c r="A40" s="6">
        <v>6730</v>
      </c>
      <c r="B40" s="11" t="s">
        <v>151</v>
      </c>
      <c r="C40" s="86"/>
      <c r="D40" s="100"/>
      <c r="E40" s="100"/>
      <c r="F40" s="100"/>
      <c r="G40" s="100"/>
      <c r="H40" s="100"/>
      <c r="I40" s="100"/>
      <c r="J40" s="100"/>
      <c r="K40" s="100"/>
      <c r="L40" s="92">
        <f t="shared" si="0"/>
        <v>0</v>
      </c>
    </row>
    <row r="41" spans="1:12" ht="15" hidden="1" thickBot="1" x14ac:dyDescent="0.35">
      <c r="A41" s="6">
        <v>6725</v>
      </c>
      <c r="B41" s="11" t="s">
        <v>140</v>
      </c>
      <c r="C41" s="86">
        <f>'1 Administrasjon'!BC34</f>
        <v>0</v>
      </c>
      <c r="D41" s="100"/>
      <c r="E41" s="100"/>
      <c r="F41" s="100"/>
      <c r="G41" s="100"/>
      <c r="H41" s="100"/>
      <c r="I41" s="100"/>
      <c r="J41" s="100"/>
      <c r="K41" s="100"/>
      <c r="L41" s="92">
        <f t="shared" si="0"/>
        <v>0</v>
      </c>
    </row>
    <row r="42" spans="1:12" ht="15" hidden="1" thickBot="1" x14ac:dyDescent="0.35">
      <c r="A42" s="6">
        <v>6800</v>
      </c>
      <c r="B42" s="11" t="s">
        <v>22</v>
      </c>
      <c r="C42" s="86">
        <f>'1 Administrasjon'!BC35</f>
        <v>0</v>
      </c>
      <c r="D42" s="100">
        <f>'2 Ekstern kommunikasjon'!X28</f>
        <v>0</v>
      </c>
      <c r="E42" s="100">
        <f>'3 Forbundsutvikling'!AB27</f>
        <v>0</v>
      </c>
      <c r="F42" s="100">
        <f>'4. Utvilklingstiltak'!AZ29</f>
        <v>0</v>
      </c>
      <c r="G42" s="100">
        <f>'5 Klubbutvikling'!AN27</f>
        <v>0</v>
      </c>
      <c r="H42" s="100">
        <f>'6 Barn og Ungdom'!AN27</f>
        <v>0</v>
      </c>
      <c r="I42" s="100">
        <f>'7 Konkurranse'!AR39</f>
        <v>0</v>
      </c>
      <c r="J42" s="100">
        <f>'8 Eliteaktivitet'!AR29</f>
        <v>0</v>
      </c>
      <c r="K42" s="100">
        <f>'9 Anlegg og infrastruktur'!X29</f>
        <v>0</v>
      </c>
      <c r="L42" s="92">
        <f t="shared" si="0"/>
        <v>0</v>
      </c>
    </row>
    <row r="43" spans="1:12" ht="15" thickBot="1" x14ac:dyDescent="0.35">
      <c r="A43" s="6">
        <v>6790</v>
      </c>
      <c r="B43" s="11" t="s">
        <v>292</v>
      </c>
      <c r="C43" s="86">
        <f>SUM('1 Administrasjon'!BC36)</f>
        <v>0</v>
      </c>
      <c r="D43" s="100"/>
      <c r="E43" s="100"/>
      <c r="F43" s="100">
        <f>SUM('4. Utvilklingstiltak'!AZ32)</f>
        <v>0</v>
      </c>
      <c r="G43" s="100"/>
      <c r="H43" s="100"/>
      <c r="I43" s="100"/>
      <c r="J43" s="100"/>
      <c r="K43" s="100"/>
      <c r="L43" s="92">
        <f t="shared" si="0"/>
        <v>0</v>
      </c>
    </row>
    <row r="44" spans="1:12" ht="15" thickBot="1" x14ac:dyDescent="0.35">
      <c r="A44" s="6">
        <v>6820</v>
      </c>
      <c r="B44" s="11" t="s">
        <v>23</v>
      </c>
      <c r="C44" s="86">
        <f>'1 Administrasjon'!BC37</f>
        <v>0</v>
      </c>
      <c r="D44" s="100">
        <f>SUM('2 Ekstern kommunikasjon'!X33)</f>
        <v>0</v>
      </c>
      <c r="E44" s="100">
        <f>'3 Forbundsutvikling'!AB28</f>
        <v>0</v>
      </c>
      <c r="F44" s="100">
        <f>'4. Utvilklingstiltak'!AZ33</f>
        <v>0</v>
      </c>
      <c r="G44" s="100">
        <f>'5 Klubbutvikling'!AN28</f>
        <v>0</v>
      </c>
      <c r="H44" s="100">
        <f>'6 Barn og Ungdom'!AN28</f>
        <v>0</v>
      </c>
      <c r="I44" s="100">
        <f>SUM('7 Konkurranse'!AR43)</f>
        <v>0</v>
      </c>
      <c r="J44" s="100">
        <f>'8 Eliteaktivitet'!AR30</f>
        <v>0</v>
      </c>
      <c r="K44" s="100">
        <f>'9 Anlegg og infrastruktur'!X30</f>
        <v>0</v>
      </c>
      <c r="L44" s="92">
        <f t="shared" si="0"/>
        <v>0</v>
      </c>
    </row>
    <row r="45" spans="1:12" ht="15" hidden="1" thickBot="1" x14ac:dyDescent="0.35">
      <c r="A45" s="6">
        <v>6840</v>
      </c>
      <c r="B45" s="11" t="s">
        <v>24</v>
      </c>
      <c r="C45" s="86">
        <f>'1 Administrasjon'!BC38</f>
        <v>0</v>
      </c>
      <c r="D45" s="100">
        <f>'2 Ekstern kommunikasjon'!X30</f>
        <v>0</v>
      </c>
      <c r="E45" s="100">
        <f>'3 Forbundsutvikling'!AB29</f>
        <v>0</v>
      </c>
      <c r="F45" s="100">
        <f>'4. Utvilklingstiltak'!AZ34</f>
        <v>0</v>
      </c>
      <c r="G45" s="100">
        <f>'5 Klubbutvikling'!AN29</f>
        <v>0</v>
      </c>
      <c r="H45" s="100">
        <f>'6 Barn og Ungdom'!AN29</f>
        <v>0</v>
      </c>
      <c r="I45" s="100">
        <f>'7 Konkurranse'!AR41</f>
        <v>0</v>
      </c>
      <c r="J45" s="100">
        <f>'8 Eliteaktivitet'!AR31</f>
        <v>0</v>
      </c>
      <c r="K45" s="100">
        <f>'9 Anlegg og infrastruktur'!X31</f>
        <v>0</v>
      </c>
      <c r="L45" s="92">
        <f t="shared" si="0"/>
        <v>0</v>
      </c>
    </row>
    <row r="46" spans="1:12" ht="15" thickBot="1" x14ac:dyDescent="0.35">
      <c r="A46" s="6">
        <v>6860</v>
      </c>
      <c r="B46" s="11" t="s">
        <v>25</v>
      </c>
      <c r="C46" s="86">
        <f>'1 Administrasjon'!BC39</f>
        <v>0</v>
      </c>
      <c r="D46" s="100">
        <f>'2 Ekstern kommunikasjon'!X31</f>
        <v>0</v>
      </c>
      <c r="E46" s="100">
        <f>'3 Forbundsutvikling'!AB30</f>
        <v>0</v>
      </c>
      <c r="F46" s="100">
        <f>'4. Utvilklingstiltak'!AZ35</f>
        <v>0</v>
      </c>
      <c r="G46" s="100">
        <f>'5 Klubbutvikling'!AN30</f>
        <v>0</v>
      </c>
      <c r="H46" s="100">
        <f>'6 Barn og Ungdom'!AN30</f>
        <v>0</v>
      </c>
      <c r="I46" s="100">
        <f>'7 Konkurranse'!AR42</f>
        <v>0</v>
      </c>
      <c r="J46" s="100">
        <f>'8 Eliteaktivitet'!AR32</f>
        <v>0</v>
      </c>
      <c r="K46" s="100">
        <f>'9 Anlegg og infrastruktur'!X32</f>
        <v>0</v>
      </c>
      <c r="L46" s="92">
        <f t="shared" si="0"/>
        <v>0</v>
      </c>
    </row>
    <row r="47" spans="1:12" ht="15" hidden="1" thickBot="1" x14ac:dyDescent="0.35">
      <c r="A47" s="6">
        <v>6900</v>
      </c>
      <c r="B47" s="11" t="s">
        <v>141</v>
      </c>
      <c r="C47" s="86">
        <f>'1 Administrasjon'!BC40</f>
        <v>0</v>
      </c>
      <c r="D47" s="100"/>
      <c r="E47" s="100"/>
      <c r="F47" s="100"/>
      <c r="G47" s="100"/>
      <c r="H47" s="100"/>
      <c r="I47" s="100"/>
      <c r="J47" s="100"/>
      <c r="K47" s="100"/>
      <c r="L47" s="92">
        <f t="shared" si="0"/>
        <v>0</v>
      </c>
    </row>
    <row r="48" spans="1:12" ht="15" thickBot="1" x14ac:dyDescent="0.35">
      <c r="A48" s="6">
        <v>6910</v>
      </c>
      <c r="B48" s="11" t="s">
        <v>26</v>
      </c>
      <c r="C48" s="86">
        <f>'1 Administrasjon'!BC41</f>
        <v>0</v>
      </c>
      <c r="D48" s="100">
        <f>'2 Ekstern kommunikasjon'!X34</f>
        <v>0</v>
      </c>
      <c r="E48" s="100">
        <f>'3 Forbundsutvikling'!AB31</f>
        <v>0</v>
      </c>
      <c r="F48" s="100">
        <f>'4. Utvilklingstiltak'!AZ36</f>
        <v>0</v>
      </c>
      <c r="G48" s="100">
        <f>'5 Klubbutvikling'!AN31</f>
        <v>0</v>
      </c>
      <c r="H48" s="100">
        <f>'6 Barn og Ungdom'!AN31</f>
        <v>0</v>
      </c>
      <c r="I48" s="100">
        <f>'7 Konkurranse'!AR44</f>
        <v>0</v>
      </c>
      <c r="J48" s="100">
        <f>'8 Eliteaktivitet'!AR33</f>
        <v>0</v>
      </c>
      <c r="K48" s="100">
        <f>'9 Anlegg og infrastruktur'!X33</f>
        <v>0</v>
      </c>
      <c r="L48" s="92">
        <f t="shared" si="0"/>
        <v>0</v>
      </c>
    </row>
    <row r="49" spans="1:12" ht="15" thickBot="1" x14ac:dyDescent="0.35">
      <c r="A49" s="6">
        <v>6940</v>
      </c>
      <c r="B49" s="11" t="s">
        <v>49</v>
      </c>
      <c r="C49" s="86">
        <f>'1 Administrasjon'!BC42</f>
        <v>0</v>
      </c>
      <c r="D49" s="100">
        <f>'2 Ekstern kommunikasjon'!X35</f>
        <v>0</v>
      </c>
      <c r="E49" s="100">
        <f>'3 Forbundsutvikling'!AB32</f>
        <v>0</v>
      </c>
      <c r="F49" s="100">
        <f>SUM('4. Utvilklingstiltak'!AZ38)</f>
        <v>0</v>
      </c>
      <c r="G49" s="100">
        <f>SUM('5 Klubbutvikling'!AN44)</f>
        <v>0</v>
      </c>
      <c r="H49" s="100">
        <f>SUM('6 Barn og Ungdom'!AN34)</f>
        <v>0</v>
      </c>
      <c r="I49" s="100">
        <f>'7 Konkurranse'!AR45</f>
        <v>0</v>
      </c>
      <c r="J49" s="100">
        <f>SUM('8 Eliteaktivitet'!AR35)</f>
        <v>0</v>
      </c>
      <c r="K49" s="100">
        <f>'9 Anlegg og infrastruktur'!X34</f>
        <v>0</v>
      </c>
      <c r="L49" s="92">
        <f t="shared" si="0"/>
        <v>0</v>
      </c>
    </row>
    <row r="50" spans="1:12" ht="15" thickBot="1" x14ac:dyDescent="0.35">
      <c r="A50" s="6">
        <v>7000</v>
      </c>
      <c r="B50" s="11" t="s">
        <v>27</v>
      </c>
      <c r="C50" s="86">
        <f>'1 Administrasjon'!BC43</f>
        <v>0</v>
      </c>
      <c r="D50" s="100">
        <f>'2 Ekstern kommunikasjon'!X36</f>
        <v>0</v>
      </c>
      <c r="E50" s="100">
        <f>'3 Forbundsutvikling'!AB33</f>
        <v>0</v>
      </c>
      <c r="F50" s="100">
        <f>'4. Utvilklingstiltak'!AZ39</f>
        <v>0</v>
      </c>
      <c r="G50" s="100">
        <f>'5 Klubbutvikling'!AN33</f>
        <v>0</v>
      </c>
      <c r="H50" s="100">
        <f>'6 Barn og Ungdom'!AN33</f>
        <v>0</v>
      </c>
      <c r="I50" s="100">
        <f>'7 Konkurranse'!AR46</f>
        <v>0</v>
      </c>
      <c r="J50" s="100">
        <f>'8 Eliteaktivitet'!AR36</f>
        <v>0</v>
      </c>
      <c r="K50" s="100">
        <f>SUM('9 Anlegg og infrastruktur'!X47)</f>
        <v>0</v>
      </c>
      <c r="L50" s="92">
        <f t="shared" si="0"/>
        <v>0</v>
      </c>
    </row>
    <row r="51" spans="1:12" ht="15" thickBot="1" x14ac:dyDescent="0.35">
      <c r="A51" s="6">
        <v>7100</v>
      </c>
      <c r="B51" s="11" t="s">
        <v>28</v>
      </c>
      <c r="C51" s="86">
        <f>'1 Administrasjon'!BC44</f>
        <v>0</v>
      </c>
      <c r="D51" s="100">
        <f>'2 Ekstern kommunikasjon'!X37</f>
        <v>0</v>
      </c>
      <c r="E51" s="100">
        <f>'3 Forbundsutvikling'!AB34</f>
        <v>0</v>
      </c>
      <c r="F51" s="100">
        <f>'4. Utvilklingstiltak'!AZ40</f>
        <v>0</v>
      </c>
      <c r="G51" s="100">
        <f>'5 Klubbutvikling'!AN34</f>
        <v>0</v>
      </c>
      <c r="H51" s="100">
        <f>'6 Barn og Ungdom'!AN35</f>
        <v>0</v>
      </c>
      <c r="I51" s="100">
        <f>'7 Konkurranse'!AR47</f>
        <v>0</v>
      </c>
      <c r="J51" s="100">
        <f>'8 Eliteaktivitet'!AR37</f>
        <v>0</v>
      </c>
      <c r="K51" s="100">
        <f>'9 Anlegg og infrastruktur'!X36</f>
        <v>0</v>
      </c>
      <c r="L51" s="92">
        <f t="shared" si="0"/>
        <v>0</v>
      </c>
    </row>
    <row r="52" spans="1:12" ht="15" hidden="1" thickBot="1" x14ac:dyDescent="0.35">
      <c r="A52" s="6">
        <v>7101</v>
      </c>
      <c r="B52" s="11" t="s">
        <v>29</v>
      </c>
      <c r="C52" s="86">
        <f>'1 Administrasjon'!BC45</f>
        <v>0</v>
      </c>
      <c r="D52" s="100">
        <f>'2 Ekstern kommunikasjon'!X38</f>
        <v>0</v>
      </c>
      <c r="E52" s="100">
        <f>'3 Forbundsutvikling'!AB35</f>
        <v>0</v>
      </c>
      <c r="F52" s="100">
        <f>'4. Utvilklingstiltak'!AZ41</f>
        <v>0</v>
      </c>
      <c r="G52" s="100">
        <f>'5 Klubbutvikling'!AN35</f>
        <v>0</v>
      </c>
      <c r="H52" s="100">
        <f>'6 Barn og Ungdom'!AN36</f>
        <v>0</v>
      </c>
      <c r="I52" s="100">
        <f>'7 Konkurranse'!AR48</f>
        <v>0</v>
      </c>
      <c r="J52" s="100">
        <f>'8 Eliteaktivitet'!AR38</f>
        <v>0</v>
      </c>
      <c r="K52" s="100">
        <f>'9 Anlegg og infrastruktur'!X37</f>
        <v>0</v>
      </c>
      <c r="L52" s="92">
        <f t="shared" si="0"/>
        <v>0</v>
      </c>
    </row>
    <row r="53" spans="1:12" ht="15" thickBot="1" x14ac:dyDescent="0.35">
      <c r="A53" s="6">
        <v>7102</v>
      </c>
      <c r="B53" s="11" t="s">
        <v>29</v>
      </c>
      <c r="C53" s="86">
        <f>SUM('1 Administrasjon'!BC46)</f>
        <v>0</v>
      </c>
      <c r="D53" s="100"/>
      <c r="E53" s="100">
        <f>SUM('3 Forbundsutvikling'!$AB$36)</f>
        <v>0</v>
      </c>
      <c r="F53" s="100">
        <f>SUM('4. Utvilklingstiltak'!AZ42)</f>
        <v>0</v>
      </c>
      <c r="G53" s="100"/>
      <c r="H53" s="100"/>
      <c r="I53" s="100">
        <f>SUM('7 Konkurranse'!AR49)</f>
        <v>0</v>
      </c>
      <c r="J53" s="100">
        <f>SUM('8 Eliteaktivitet'!AR39)</f>
        <v>0</v>
      </c>
      <c r="K53" s="100"/>
      <c r="L53" s="92">
        <f t="shared" si="0"/>
        <v>0</v>
      </c>
    </row>
    <row r="54" spans="1:12" ht="15" thickBot="1" x14ac:dyDescent="0.35">
      <c r="A54" s="6">
        <v>7110</v>
      </c>
      <c r="B54" s="11" t="s">
        <v>30</v>
      </c>
      <c r="C54" s="86">
        <f>'1 Administrasjon'!BC47</f>
        <v>0</v>
      </c>
      <c r="D54" s="100">
        <f>'2 Ekstern kommunikasjon'!X39</f>
        <v>0</v>
      </c>
      <c r="E54" s="100">
        <f>'3 Forbundsutvikling'!AB37</f>
        <v>0</v>
      </c>
      <c r="F54" s="100">
        <f>'4. Utvilklingstiltak'!AZ43</f>
        <v>0</v>
      </c>
      <c r="G54" s="100">
        <f>'5 Klubbutvikling'!AN36</f>
        <v>0</v>
      </c>
      <c r="H54" s="100">
        <f>'6 Barn og Ungdom'!AN37</f>
        <v>0</v>
      </c>
      <c r="I54" s="100">
        <f>'7 Konkurranse'!AR50</f>
        <v>0</v>
      </c>
      <c r="J54" s="100">
        <f>'8 Eliteaktivitet'!AR40</f>
        <v>0</v>
      </c>
      <c r="K54" s="100">
        <f>'9 Anlegg og infrastruktur'!X38</f>
        <v>0</v>
      </c>
      <c r="L54" s="92">
        <f t="shared" si="0"/>
        <v>0</v>
      </c>
    </row>
    <row r="55" spans="1:12" ht="15" thickBot="1" x14ac:dyDescent="0.35">
      <c r="A55" s="6">
        <v>7141</v>
      </c>
      <c r="B55" s="11" t="s">
        <v>31</v>
      </c>
      <c r="C55" s="86">
        <f>'1 Administrasjon'!BC48</f>
        <v>0</v>
      </c>
      <c r="D55" s="100">
        <f>'2 Ekstern kommunikasjon'!X40</f>
        <v>0</v>
      </c>
      <c r="E55" s="100">
        <f>'3 Forbundsutvikling'!AB38</f>
        <v>0</v>
      </c>
      <c r="F55" s="100">
        <f>'4. Utvilklingstiltak'!AZ44</f>
        <v>0</v>
      </c>
      <c r="G55" s="100">
        <f>'5 Klubbutvikling'!AN37</f>
        <v>0</v>
      </c>
      <c r="H55" s="100">
        <f>'6 Barn og Ungdom'!AN38</f>
        <v>0</v>
      </c>
      <c r="I55" s="100">
        <f>'7 Konkurranse'!AR51</f>
        <v>0</v>
      </c>
      <c r="J55" s="100">
        <f>'8 Eliteaktivitet'!AR41</f>
        <v>0</v>
      </c>
      <c r="K55" s="100">
        <f>'9 Anlegg og infrastruktur'!X39</f>
        <v>0</v>
      </c>
      <c r="L55" s="92">
        <f t="shared" si="0"/>
        <v>0</v>
      </c>
    </row>
    <row r="56" spans="1:12" ht="15" thickBot="1" x14ac:dyDescent="0.35">
      <c r="A56" s="6">
        <v>7145</v>
      </c>
      <c r="B56" s="11" t="s">
        <v>32</v>
      </c>
      <c r="C56" s="86">
        <f>'1 Administrasjon'!BC49</f>
        <v>0</v>
      </c>
      <c r="D56" s="100">
        <f>'2 Ekstern kommunikasjon'!X41</f>
        <v>0</v>
      </c>
      <c r="E56" s="100">
        <f>'3 Forbundsutvikling'!AB39</f>
        <v>0</v>
      </c>
      <c r="F56" s="100">
        <f>'4. Utvilklingstiltak'!AZ45</f>
        <v>0</v>
      </c>
      <c r="G56" s="100">
        <f>SUM('5 Klubbutvikling'!AN45)</f>
        <v>0</v>
      </c>
      <c r="H56" s="100">
        <f>SUM('6 Barn og Ungdom'!AN45)</f>
        <v>0</v>
      </c>
      <c r="I56" s="100">
        <f>'7 Konkurranse'!AR52</f>
        <v>0</v>
      </c>
      <c r="J56" s="100">
        <f>'8 Eliteaktivitet'!AR42</f>
        <v>0</v>
      </c>
      <c r="K56" s="100">
        <f>'9 Anlegg og infrastruktur'!X40</f>
        <v>0</v>
      </c>
      <c r="L56" s="92">
        <f t="shared" si="0"/>
        <v>0</v>
      </c>
    </row>
    <row r="57" spans="1:12" ht="15" thickBot="1" x14ac:dyDescent="0.35">
      <c r="A57" s="6">
        <v>7162</v>
      </c>
      <c r="B57" s="11" t="s">
        <v>33</v>
      </c>
      <c r="C57" s="86">
        <f>'1 Administrasjon'!BC50</f>
        <v>0</v>
      </c>
      <c r="D57" s="100">
        <f>'2 Ekstern kommunikasjon'!X42</f>
        <v>0</v>
      </c>
      <c r="E57" s="100">
        <f>'3 Forbundsutvikling'!AB40</f>
        <v>0</v>
      </c>
      <c r="F57" s="100">
        <f>'4. Utvilklingstiltak'!AZ46</f>
        <v>0</v>
      </c>
      <c r="G57" s="100">
        <f>SUM('5 Klubbutvikling'!AN46)</f>
        <v>0</v>
      </c>
      <c r="H57" s="100">
        <f>SUM('6 Barn og Ungdom'!AN46)</f>
        <v>0</v>
      </c>
      <c r="I57" s="100">
        <f>'7 Konkurranse'!AR53</f>
        <v>0</v>
      </c>
      <c r="J57" s="100">
        <f>'8 Eliteaktivitet'!AR43</f>
        <v>0</v>
      </c>
      <c r="K57" s="100">
        <f>'9 Anlegg og infrastruktur'!X41</f>
        <v>0</v>
      </c>
      <c r="L57" s="92">
        <f t="shared" si="0"/>
        <v>0</v>
      </c>
    </row>
    <row r="58" spans="1:12" ht="15" hidden="1" thickBot="1" x14ac:dyDescent="0.35">
      <c r="A58" s="6">
        <v>7320</v>
      </c>
      <c r="B58" s="11" t="s">
        <v>34</v>
      </c>
      <c r="C58" s="86">
        <f>'1 Administrasjon'!BC51</f>
        <v>0</v>
      </c>
      <c r="D58" s="100">
        <f>'2 Ekstern kommunikasjon'!X43</f>
        <v>0</v>
      </c>
      <c r="E58" s="100">
        <f>'3 Forbundsutvikling'!AB41</f>
        <v>0</v>
      </c>
      <c r="F58" s="100">
        <f>'4. Utvilklingstiltak'!AZ47</f>
        <v>0</v>
      </c>
      <c r="G58" s="100">
        <f>'5 Klubbutvikling'!AN40</f>
        <v>0</v>
      </c>
      <c r="H58" s="100">
        <f>'6 Barn og Ungdom'!AN41</f>
        <v>0</v>
      </c>
      <c r="I58" s="100">
        <f>'7 Konkurranse'!AR54</f>
        <v>0</v>
      </c>
      <c r="J58" s="100">
        <f>'8 Eliteaktivitet'!AR44</f>
        <v>0</v>
      </c>
      <c r="K58" s="100">
        <f>'9 Anlegg og infrastruktur'!X42</f>
        <v>0</v>
      </c>
      <c r="L58" s="92">
        <f t="shared" si="0"/>
        <v>0</v>
      </c>
    </row>
    <row r="59" spans="1:12" ht="15" hidden="1" thickBot="1" x14ac:dyDescent="0.35">
      <c r="A59" s="6">
        <v>7350</v>
      </c>
      <c r="B59" s="11" t="s">
        <v>35</v>
      </c>
      <c r="C59" s="86">
        <f>'1 Administrasjon'!BC52</f>
        <v>0</v>
      </c>
      <c r="D59" s="100">
        <f>'2 Ekstern kommunikasjon'!X44</f>
        <v>0</v>
      </c>
      <c r="E59" s="100">
        <f>'3 Forbundsutvikling'!AB42</f>
        <v>0</v>
      </c>
      <c r="F59" s="100">
        <f>'4. Utvilklingstiltak'!AZ48</f>
        <v>0</v>
      </c>
      <c r="G59" s="100">
        <f>'5 Klubbutvikling'!AN41</f>
        <v>0</v>
      </c>
      <c r="H59" s="100">
        <f>'6 Barn og Ungdom'!AN42</f>
        <v>0</v>
      </c>
      <c r="I59" s="100">
        <f>'7 Konkurranse'!AR55</f>
        <v>0</v>
      </c>
      <c r="J59" s="100">
        <f>'8 Eliteaktivitet'!AR45</f>
        <v>0</v>
      </c>
      <c r="K59" s="100">
        <f>'9 Anlegg og infrastruktur'!X43</f>
        <v>0</v>
      </c>
      <c r="L59" s="92">
        <f t="shared" si="0"/>
        <v>0</v>
      </c>
    </row>
    <row r="60" spans="1:12" ht="15" thickBot="1" x14ac:dyDescent="0.35">
      <c r="A60" s="6">
        <v>7320</v>
      </c>
      <c r="B60" s="11" t="s">
        <v>34</v>
      </c>
      <c r="C60" s="86"/>
      <c r="D60" s="100"/>
      <c r="E60" s="100"/>
      <c r="F60" s="100"/>
      <c r="G60" s="100"/>
      <c r="H60" s="100"/>
      <c r="I60" s="100"/>
      <c r="J60" s="100">
        <f>SUM('8 Eliteaktivitet'!AR55)</f>
        <v>0</v>
      </c>
      <c r="K60" s="100"/>
      <c r="L60" s="92">
        <f t="shared" si="0"/>
        <v>0</v>
      </c>
    </row>
    <row r="61" spans="1:12" ht="15" thickBot="1" x14ac:dyDescent="0.35">
      <c r="A61" s="6">
        <v>7400</v>
      </c>
      <c r="B61" s="11" t="s">
        <v>36</v>
      </c>
      <c r="C61" s="86">
        <f>SUM('1 Administrasjon'!BC56)</f>
        <v>0</v>
      </c>
      <c r="D61" s="100">
        <f>'2 Ekstern kommunikasjon'!X45</f>
        <v>0</v>
      </c>
      <c r="E61" s="100">
        <f>'3 Forbundsutvikling'!AB43</f>
        <v>0</v>
      </c>
      <c r="F61" s="100">
        <f>'4. Utvilklingstiltak'!AZ49</f>
        <v>0</v>
      </c>
      <c r="G61" s="100">
        <f>'5 Klubbutvikling'!AN42</f>
        <v>0</v>
      </c>
      <c r="H61" s="100">
        <f>SUM('6 Barn og Ungdom'!AN47)</f>
        <v>0</v>
      </c>
      <c r="I61" s="100">
        <f>'7 Konkurranse'!AR56</f>
        <v>0</v>
      </c>
      <c r="J61" s="100">
        <f>'8 Eliteaktivitet'!AR46</f>
        <v>0</v>
      </c>
      <c r="K61" s="100">
        <f>'9 Anlegg og infrastruktur'!X44</f>
        <v>0</v>
      </c>
      <c r="L61" s="92">
        <f t="shared" si="0"/>
        <v>0</v>
      </c>
    </row>
    <row r="62" spans="1:12" ht="15" thickBot="1" x14ac:dyDescent="0.35">
      <c r="A62" s="6">
        <v>7411</v>
      </c>
      <c r="B62" s="11" t="s">
        <v>37</v>
      </c>
      <c r="C62" s="86">
        <f>'1 Administrasjon'!BC54</f>
        <v>0</v>
      </c>
      <c r="D62" s="100">
        <f>'2 Ekstern kommunikasjon'!X46</f>
        <v>0</v>
      </c>
      <c r="E62" s="100">
        <f>'3 Forbundsutvikling'!AB44</f>
        <v>0</v>
      </c>
      <c r="F62" s="100">
        <f>'4. Utvilklingstiltak'!AZ50</f>
        <v>0</v>
      </c>
      <c r="G62" s="100">
        <f>'5 Klubbutvikling'!AN43</f>
        <v>0</v>
      </c>
      <c r="H62" s="100">
        <f>'6 Barn og Ungdom'!AN44</f>
        <v>0</v>
      </c>
      <c r="I62" s="100">
        <f>'7 Konkurranse'!AR57</f>
        <v>0</v>
      </c>
      <c r="J62" s="100">
        <f>'8 Eliteaktivitet'!AR47</f>
        <v>0</v>
      </c>
      <c r="K62" s="100">
        <f>'9 Anlegg og infrastruktur'!X45</f>
        <v>0</v>
      </c>
      <c r="L62" s="92">
        <f t="shared" si="0"/>
        <v>0</v>
      </c>
    </row>
    <row r="63" spans="1:12" ht="15" thickBot="1" x14ac:dyDescent="0.35">
      <c r="A63" s="6">
        <v>7420</v>
      </c>
      <c r="B63" s="11" t="s">
        <v>38</v>
      </c>
      <c r="C63" s="86">
        <f>SUM('1 Administrasjon'!BB57)</f>
        <v>0</v>
      </c>
      <c r="D63" s="100">
        <f>'2 Ekstern kommunikasjon'!X47</f>
        <v>0</v>
      </c>
      <c r="E63" s="100">
        <f>'3 Forbundsutvikling'!AB45</f>
        <v>0</v>
      </c>
      <c r="F63" s="100">
        <f>'4. Utvilklingstiltak'!AZ51</f>
        <v>0</v>
      </c>
      <c r="G63" s="100">
        <f>'5 Klubbutvikling'!AN47</f>
        <v>0</v>
      </c>
      <c r="H63" s="100">
        <f>'6 Barn og Ungdom'!AN48</f>
        <v>0</v>
      </c>
      <c r="I63" s="100">
        <f>'7 Konkurranse'!AR58</f>
        <v>0</v>
      </c>
      <c r="J63" s="100">
        <f>'8 Eliteaktivitet'!AR48</f>
        <v>0</v>
      </c>
      <c r="K63" s="100">
        <f>'9 Anlegg og infrastruktur'!X48</f>
        <v>0</v>
      </c>
      <c r="L63" s="92">
        <f t="shared" si="0"/>
        <v>0</v>
      </c>
    </row>
    <row r="64" spans="1:12" ht="15" thickBot="1" x14ac:dyDescent="0.35">
      <c r="A64" s="6">
        <v>7425</v>
      </c>
      <c r="B64" s="11" t="s">
        <v>39</v>
      </c>
      <c r="C64" s="86">
        <f>SUM('1 Administrasjon'!BC58)</f>
        <v>0</v>
      </c>
      <c r="D64" s="100">
        <f>'2 Ekstern kommunikasjon'!X48</f>
        <v>0</v>
      </c>
      <c r="E64" s="100">
        <f>'3 Forbundsutvikling'!AB46</f>
        <v>0</v>
      </c>
      <c r="F64" s="100">
        <f>'4. Utvilklingstiltak'!AZ52</f>
        <v>0</v>
      </c>
      <c r="G64" s="100">
        <f>'5 Klubbutvikling'!AN48</f>
        <v>0</v>
      </c>
      <c r="H64" s="100">
        <f>'6 Barn og Ungdom'!AN49</f>
        <v>0</v>
      </c>
      <c r="I64" s="100">
        <f>SUM('7 Konkurranse'!AR61)</f>
        <v>0</v>
      </c>
      <c r="J64" s="100">
        <f>'8 Eliteaktivitet'!AR49</f>
        <v>0</v>
      </c>
      <c r="K64" s="100">
        <f>'9 Anlegg og infrastruktur'!X49</f>
        <v>0</v>
      </c>
      <c r="L64" s="92">
        <f t="shared" si="0"/>
        <v>0</v>
      </c>
    </row>
    <row r="65" spans="1:12" ht="15" hidden="1" thickBot="1" x14ac:dyDescent="0.35">
      <c r="A65" s="6">
        <v>7430</v>
      </c>
      <c r="B65" s="11" t="s">
        <v>40</v>
      </c>
      <c r="C65" s="86">
        <f>'1 Administrasjon'!BC59</f>
        <v>0</v>
      </c>
      <c r="D65" s="100">
        <f>'2 Ekstern kommunikasjon'!X49</f>
        <v>0</v>
      </c>
      <c r="E65" s="100">
        <f>'3 Forbundsutvikling'!AB47</f>
        <v>0</v>
      </c>
      <c r="F65" s="100">
        <f>'4. Utvilklingstiltak'!AZ53</f>
        <v>0</v>
      </c>
      <c r="G65" s="100">
        <f>'5 Klubbutvikling'!AN49</f>
        <v>0</v>
      </c>
      <c r="H65" s="100">
        <f>'6 Barn og Ungdom'!AN50</f>
        <v>0</v>
      </c>
      <c r="I65" s="100">
        <f>'7 Konkurranse'!AR60</f>
        <v>0</v>
      </c>
      <c r="J65" s="100">
        <f>'8 Eliteaktivitet'!AR50</f>
        <v>0</v>
      </c>
      <c r="K65" s="100">
        <f>'9 Anlegg og infrastruktur'!X50</f>
        <v>0</v>
      </c>
      <c r="L65" s="92">
        <f t="shared" si="0"/>
        <v>0</v>
      </c>
    </row>
    <row r="66" spans="1:12" ht="15" thickBot="1" x14ac:dyDescent="0.35">
      <c r="A66" s="6">
        <v>7500</v>
      </c>
      <c r="B66" s="11" t="s">
        <v>41</v>
      </c>
      <c r="C66" s="86">
        <f>'1 Administrasjon'!BC60</f>
        <v>0</v>
      </c>
      <c r="D66" s="100">
        <f>'2 Ekstern kommunikasjon'!X50</f>
        <v>0</v>
      </c>
      <c r="E66" s="100">
        <f>'3 Forbundsutvikling'!AB48</f>
        <v>0</v>
      </c>
      <c r="F66" s="100">
        <f>'4. Utvilklingstiltak'!AZ54</f>
        <v>0</v>
      </c>
      <c r="G66" s="100">
        <f>'5 Klubbutvikling'!AN50</f>
        <v>0</v>
      </c>
      <c r="H66" s="100">
        <f>'6 Barn og Ungdom'!AN51</f>
        <v>0</v>
      </c>
      <c r="I66" s="100">
        <f>'7 Konkurranse'!AR62</f>
        <v>0</v>
      </c>
      <c r="J66" s="100">
        <f>'8 Eliteaktivitet'!AR51</f>
        <v>0</v>
      </c>
      <c r="K66" s="100">
        <f>'9 Anlegg og infrastruktur'!X51</f>
        <v>0</v>
      </c>
      <c r="L66" s="92">
        <f t="shared" si="0"/>
        <v>0</v>
      </c>
    </row>
    <row r="67" spans="1:12" ht="15" hidden="1" thickBot="1" x14ac:dyDescent="0.35">
      <c r="A67" s="6">
        <v>7746</v>
      </c>
      <c r="B67" s="11" t="s">
        <v>42</v>
      </c>
      <c r="C67" s="86">
        <f>'1 Administrasjon'!BC61</f>
        <v>0</v>
      </c>
      <c r="D67" s="100">
        <f>'2 Ekstern kommunikasjon'!X51</f>
        <v>0</v>
      </c>
      <c r="E67" s="100">
        <f>'3 Forbundsutvikling'!AB49</f>
        <v>0</v>
      </c>
      <c r="F67" s="100">
        <f>'4. Utvilklingstiltak'!AZ55</f>
        <v>0</v>
      </c>
      <c r="G67" s="100">
        <f>'5 Klubbutvikling'!AN51</f>
        <v>0</v>
      </c>
      <c r="H67" s="100">
        <f>'6 Barn og Ungdom'!AN52</f>
        <v>0</v>
      </c>
      <c r="I67" s="100">
        <f>'7 Konkurranse'!AR63</f>
        <v>0</v>
      </c>
      <c r="J67" s="100">
        <f>'8 Eliteaktivitet'!AR52</f>
        <v>0</v>
      </c>
      <c r="K67" s="100">
        <f>'9 Anlegg og infrastruktur'!X52</f>
        <v>0</v>
      </c>
      <c r="L67" s="92">
        <f t="shared" si="0"/>
        <v>0</v>
      </c>
    </row>
    <row r="68" spans="1:12" ht="15" thickBot="1" x14ac:dyDescent="0.35">
      <c r="A68" s="6">
        <v>7770</v>
      </c>
      <c r="B68" s="11" t="s">
        <v>43</v>
      </c>
      <c r="C68" s="86">
        <f>'1 Administrasjon'!BC62</f>
        <v>0</v>
      </c>
      <c r="D68" s="100">
        <f>'2 Ekstern kommunikasjon'!X52</f>
        <v>0</v>
      </c>
      <c r="E68" s="100">
        <f>'3 Forbundsutvikling'!AB50</f>
        <v>0</v>
      </c>
      <c r="F68" s="100">
        <f>'4. Utvilklingstiltak'!AZ56</f>
        <v>0</v>
      </c>
      <c r="G68" s="100">
        <f>'5 Klubbutvikling'!AN52</f>
        <v>0</v>
      </c>
      <c r="H68" s="100">
        <f>'6 Barn og Ungdom'!AN53</f>
        <v>0</v>
      </c>
      <c r="I68" s="100">
        <f>'7 Konkurranse'!AR64</f>
        <v>0</v>
      </c>
      <c r="J68" s="100">
        <f>'8 Eliteaktivitet'!AR53</f>
        <v>0</v>
      </c>
      <c r="K68" s="100">
        <f>'9 Anlegg og infrastruktur'!X53</f>
        <v>0</v>
      </c>
      <c r="L68" s="92">
        <f t="shared" si="0"/>
        <v>0</v>
      </c>
    </row>
    <row r="69" spans="1:12" ht="15" thickBot="1" x14ac:dyDescent="0.35">
      <c r="A69" s="6">
        <v>7775</v>
      </c>
      <c r="B69" s="11" t="s">
        <v>44</v>
      </c>
      <c r="C69" s="86">
        <f>SUM('1 Administrasjon'!BC64)</f>
        <v>0</v>
      </c>
      <c r="D69" s="100">
        <f>'2 Ekstern kommunikasjon'!X53</f>
        <v>0</v>
      </c>
      <c r="E69" s="100">
        <f>'3 Forbundsutvikling'!AB51</f>
        <v>0</v>
      </c>
      <c r="F69" s="100">
        <f>'4. Utvilklingstiltak'!AZ57</f>
        <v>0</v>
      </c>
      <c r="G69" s="100">
        <f>'5 Klubbutvikling'!AN53</f>
        <v>0</v>
      </c>
      <c r="H69" s="100">
        <f>'6 Barn og Ungdom'!AN54</f>
        <v>0</v>
      </c>
      <c r="I69" s="100">
        <f>SUM('7 Konkurranse'!AR66)</f>
        <v>0</v>
      </c>
      <c r="J69" s="100">
        <f>SUM('8 Eliteaktivitet'!AR56)</f>
        <v>0</v>
      </c>
      <c r="K69" s="100">
        <f>'9 Anlegg og infrastruktur'!X54</f>
        <v>0</v>
      </c>
      <c r="L69" s="92">
        <f t="shared" ref="L69:L75" si="2">SUM(C69:K69)</f>
        <v>0</v>
      </c>
    </row>
    <row r="70" spans="1:12" ht="15" thickBot="1" x14ac:dyDescent="0.35">
      <c r="A70" s="6">
        <v>7790</v>
      </c>
      <c r="B70" s="11" t="s">
        <v>285</v>
      </c>
      <c r="C70" s="86">
        <f>SUM('1 Administrasjon'!BC65)</f>
        <v>0</v>
      </c>
      <c r="D70" s="100"/>
      <c r="E70" s="100"/>
      <c r="F70" s="100"/>
      <c r="G70" s="100"/>
      <c r="H70" s="100"/>
      <c r="I70" s="100"/>
      <c r="J70" s="100"/>
      <c r="K70" s="100"/>
      <c r="L70" s="92">
        <f t="shared" si="2"/>
        <v>0</v>
      </c>
    </row>
    <row r="71" spans="1:12" ht="15" thickBot="1" x14ac:dyDescent="0.35">
      <c r="A71" s="6">
        <v>7830</v>
      </c>
      <c r="B71" s="11" t="s">
        <v>286</v>
      </c>
      <c r="C71" s="86">
        <f>SUM('1 Administrasjon'!BC66)</f>
        <v>0</v>
      </c>
      <c r="D71" s="100"/>
      <c r="E71" s="100"/>
      <c r="F71" s="100"/>
      <c r="G71" s="100"/>
      <c r="H71" s="100"/>
      <c r="I71" s="100">
        <f>SUM('7 Konkurranse'!AR67)</f>
        <v>0</v>
      </c>
      <c r="J71" s="100">
        <f>SUM('8 Eliteaktivitet'!AR57)</f>
        <v>0</v>
      </c>
      <c r="K71" s="100"/>
      <c r="L71" s="92">
        <f t="shared" si="2"/>
        <v>0</v>
      </c>
    </row>
    <row r="72" spans="1:12" ht="15" thickBot="1" x14ac:dyDescent="0.35">
      <c r="A72" s="6">
        <v>8040</v>
      </c>
      <c r="B72" s="11" t="s">
        <v>287</v>
      </c>
      <c r="C72" s="86">
        <f>SUM('1 Administrasjon'!BC67)</f>
        <v>0</v>
      </c>
      <c r="D72" s="100"/>
      <c r="E72" s="100"/>
      <c r="F72" s="100"/>
      <c r="G72" s="100"/>
      <c r="H72" s="100"/>
      <c r="I72" s="100"/>
      <c r="J72" s="100"/>
      <c r="K72" s="100"/>
      <c r="L72" s="92">
        <f t="shared" si="2"/>
        <v>0</v>
      </c>
    </row>
    <row r="73" spans="1:12" ht="15" thickBot="1" x14ac:dyDescent="0.35">
      <c r="A73" s="8">
        <v>8170</v>
      </c>
      <c r="B73" s="12" t="s">
        <v>288</v>
      </c>
      <c r="C73" s="86">
        <f>SUM('1 Administrasjon'!BC68)</f>
        <v>0</v>
      </c>
      <c r="D73" s="100"/>
      <c r="E73" s="100"/>
      <c r="F73" s="100"/>
      <c r="G73" s="100"/>
      <c r="H73" s="100"/>
      <c r="I73" s="100"/>
      <c r="J73" s="100"/>
      <c r="K73" s="100"/>
      <c r="L73" s="92">
        <f t="shared" si="2"/>
        <v>0</v>
      </c>
    </row>
    <row r="74" spans="1:12" ht="15" thickBot="1" x14ac:dyDescent="0.35">
      <c r="A74" s="13"/>
      <c r="B74" s="216" t="s">
        <v>74</v>
      </c>
      <c r="C74" s="180">
        <f>SUM(C18:C73)</f>
        <v>0</v>
      </c>
      <c r="D74" s="180">
        <f t="shared" ref="D74:K74" si="3">SUM(D18:D73)</f>
        <v>0</v>
      </c>
      <c r="E74" s="180">
        <f t="shared" si="3"/>
        <v>0</v>
      </c>
      <c r="F74" s="180">
        <f t="shared" si="3"/>
        <v>0</v>
      </c>
      <c r="G74" s="180">
        <f t="shared" si="3"/>
        <v>0</v>
      </c>
      <c r="H74" s="180">
        <f t="shared" si="3"/>
        <v>0</v>
      </c>
      <c r="I74" s="180">
        <f t="shared" si="3"/>
        <v>0</v>
      </c>
      <c r="J74" s="180">
        <f t="shared" si="3"/>
        <v>0</v>
      </c>
      <c r="K74" s="180">
        <f t="shared" si="3"/>
        <v>0</v>
      </c>
      <c r="L74" s="92">
        <f>SUM(L18:L73)</f>
        <v>0</v>
      </c>
    </row>
    <row r="75" spans="1:12" ht="15" thickBot="1" x14ac:dyDescent="0.35">
      <c r="B75" s="26" t="s">
        <v>51</v>
      </c>
      <c r="C75" s="92" t="e">
        <f>C17-C74</f>
        <v>#REF!</v>
      </c>
      <c r="D75" s="92">
        <f t="shared" ref="D75:K75" si="4">D17-D74</f>
        <v>0</v>
      </c>
      <c r="E75" s="92">
        <f t="shared" si="4"/>
        <v>0</v>
      </c>
      <c r="F75" s="92">
        <f t="shared" si="4"/>
        <v>0</v>
      </c>
      <c r="G75" s="92">
        <f t="shared" si="4"/>
        <v>0</v>
      </c>
      <c r="H75" s="92">
        <f t="shared" si="4"/>
        <v>0</v>
      </c>
      <c r="I75" s="92">
        <f t="shared" si="4"/>
        <v>8500</v>
      </c>
      <c r="J75" s="92">
        <f t="shared" si="4"/>
        <v>0</v>
      </c>
      <c r="K75" s="92">
        <f t="shared" si="4"/>
        <v>0</v>
      </c>
      <c r="L75" s="92" t="e">
        <f t="shared" si="2"/>
        <v>#REF!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3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46" sqref="N46"/>
    </sheetView>
  </sheetViews>
  <sheetFormatPr baseColWidth="10" defaultColWidth="11.5546875" defaultRowHeight="14.4" x14ac:dyDescent="0.3"/>
  <cols>
    <col min="1" max="1" width="6.33203125" bestFit="1" customWidth="1"/>
    <col min="2" max="2" width="37.109375" bestFit="1" customWidth="1"/>
    <col min="3" max="3" width="15.6640625" bestFit="1" customWidth="1"/>
    <col min="4" max="4" width="13" bestFit="1" customWidth="1"/>
    <col min="5" max="5" width="17.21875" customWidth="1"/>
    <col min="6" max="6" width="14.6640625" bestFit="1" customWidth="1"/>
    <col min="7" max="7" width="14.109375" bestFit="1" customWidth="1"/>
    <col min="8" max="8" width="16.33203125" bestFit="1" customWidth="1"/>
    <col min="9" max="10" width="14.109375" bestFit="1" customWidth="1"/>
    <col min="11" max="11" width="15.5546875" bestFit="1" customWidth="1"/>
    <col min="12" max="12" width="15.6640625" bestFit="1" customWidth="1"/>
    <col min="13" max="13" width="16.33203125" bestFit="1" customWidth="1"/>
  </cols>
  <sheetData>
    <row r="1" spans="1:12" ht="15" thickBot="1" x14ac:dyDescent="0.35">
      <c r="C1" s="285"/>
      <c r="D1" s="285"/>
      <c r="E1" s="285"/>
      <c r="F1" s="285"/>
      <c r="G1" s="285"/>
      <c r="H1" s="285"/>
      <c r="I1" s="285"/>
      <c r="J1" s="285"/>
      <c r="K1" s="285"/>
    </row>
    <row r="2" spans="1:12" ht="15" thickBot="1" x14ac:dyDescent="0.35">
      <c r="C2" s="286" t="s">
        <v>181</v>
      </c>
      <c r="D2" s="286" t="s">
        <v>182</v>
      </c>
      <c r="E2" s="286" t="s">
        <v>183</v>
      </c>
      <c r="F2" s="286" t="s">
        <v>184</v>
      </c>
      <c r="G2" s="286" t="s">
        <v>185</v>
      </c>
      <c r="H2" s="286" t="s">
        <v>186</v>
      </c>
      <c r="I2" s="286" t="s">
        <v>189</v>
      </c>
      <c r="J2" s="286" t="s">
        <v>187</v>
      </c>
      <c r="K2" s="286" t="s">
        <v>188</v>
      </c>
    </row>
    <row r="3" spans="1:12" ht="15" thickBot="1" x14ac:dyDescent="0.35">
      <c r="A3" s="299" t="s">
        <v>0</v>
      </c>
      <c r="B3" s="300" t="s">
        <v>47</v>
      </c>
      <c r="C3" s="287" t="s">
        <v>1</v>
      </c>
      <c r="D3" s="287" t="s">
        <v>369</v>
      </c>
      <c r="E3" s="287" t="s">
        <v>90</v>
      </c>
      <c r="F3" s="287" t="s">
        <v>93</v>
      </c>
      <c r="G3" s="287" t="s">
        <v>95</v>
      </c>
      <c r="H3" s="287" t="s">
        <v>98</v>
      </c>
      <c r="I3" s="287" t="s">
        <v>133</v>
      </c>
      <c r="J3" s="287" t="s">
        <v>370</v>
      </c>
      <c r="K3" s="287" t="s">
        <v>371</v>
      </c>
      <c r="L3" s="254" t="s">
        <v>52</v>
      </c>
    </row>
    <row r="4" spans="1:12" x14ac:dyDescent="0.3">
      <c r="A4" s="20">
        <v>3010</v>
      </c>
      <c r="B4" s="17" t="s">
        <v>146</v>
      </c>
      <c r="C4" s="305"/>
      <c r="D4" s="305"/>
      <c r="E4" s="305"/>
      <c r="F4" s="305"/>
      <c r="G4" s="305"/>
      <c r="H4" s="305"/>
      <c r="I4" s="305">
        <f>SUM('7 Konkurranse'!AS4)</f>
        <v>26000</v>
      </c>
      <c r="J4" s="305"/>
      <c r="K4" s="305"/>
      <c r="L4" s="303">
        <f>SUM(C4:K4)</f>
        <v>26000</v>
      </c>
    </row>
    <row r="5" spans="1:12" x14ac:dyDescent="0.3">
      <c r="A5" s="6">
        <v>3011</v>
      </c>
      <c r="B5" s="7" t="s">
        <v>147</v>
      </c>
      <c r="C5" s="302"/>
      <c r="D5" s="302"/>
      <c r="E5" s="302"/>
      <c r="F5" s="302"/>
      <c r="G5" s="302"/>
      <c r="H5" s="302"/>
      <c r="I5" s="302">
        <f>SUM('7 Konkurranse'!AS5)</f>
        <v>33000</v>
      </c>
      <c r="J5" s="302"/>
      <c r="K5" s="302"/>
      <c r="L5" s="303">
        <f t="shared" ref="L5:L66" si="0">SUM(C5:K5)</f>
        <v>33000</v>
      </c>
    </row>
    <row r="6" spans="1:12" x14ac:dyDescent="0.3">
      <c r="A6" s="6">
        <v>3012</v>
      </c>
      <c r="B6" s="7" t="s">
        <v>297</v>
      </c>
      <c r="C6" s="302"/>
      <c r="D6" s="302"/>
      <c r="E6" s="302"/>
      <c r="F6" s="302"/>
      <c r="G6" s="302"/>
      <c r="H6" s="302"/>
      <c r="I6" s="302">
        <f>SUM('7 Konkurranse'!AS6)</f>
        <v>8500</v>
      </c>
      <c r="J6" s="302"/>
      <c r="K6" s="302"/>
      <c r="L6" s="303">
        <f t="shared" si="0"/>
        <v>8500</v>
      </c>
    </row>
    <row r="7" spans="1:12" x14ac:dyDescent="0.3">
      <c r="A7" s="6">
        <v>3016</v>
      </c>
      <c r="B7" s="7" t="s">
        <v>148</v>
      </c>
      <c r="C7" s="302"/>
      <c r="D7" s="302"/>
      <c r="E7" s="302"/>
      <c r="F7" s="302"/>
      <c r="G7" s="302"/>
      <c r="H7" s="302"/>
      <c r="I7" s="302">
        <f>SUM('7 Konkurranse'!AS7)</f>
        <v>37500</v>
      </c>
      <c r="J7" s="302"/>
      <c r="K7" s="302"/>
      <c r="L7" s="303">
        <f t="shared" si="0"/>
        <v>37500</v>
      </c>
    </row>
    <row r="8" spans="1:12" x14ac:dyDescent="0.3">
      <c r="A8" s="6">
        <v>3017</v>
      </c>
      <c r="B8" s="7" t="s">
        <v>149</v>
      </c>
      <c r="C8" s="302"/>
      <c r="D8" s="302"/>
      <c r="E8" s="302"/>
      <c r="F8" s="302"/>
      <c r="G8" s="302"/>
      <c r="H8" s="302"/>
      <c r="I8" s="302">
        <f>SUM('7 Konkurranse'!AS9)</f>
        <v>7600</v>
      </c>
      <c r="J8" s="302"/>
      <c r="K8" s="302"/>
      <c r="L8" s="303">
        <f t="shared" si="0"/>
        <v>7600</v>
      </c>
    </row>
    <row r="9" spans="1:12" x14ac:dyDescent="0.3">
      <c r="A9" s="6">
        <v>3100</v>
      </c>
      <c r="B9" s="17" t="s">
        <v>3</v>
      </c>
      <c r="C9" s="302">
        <f>'1 Administrasjon'!BD4</f>
        <v>0</v>
      </c>
      <c r="D9" s="302">
        <f>'2 Ekstern kommunikasjon'!X4</f>
        <v>0</v>
      </c>
      <c r="E9" s="302">
        <f>'3 Forbundsutvikling'!AB4</f>
        <v>0</v>
      </c>
      <c r="F9" s="302">
        <f>'4. Utvilklingstiltak'!AZ4</f>
        <v>0</v>
      </c>
      <c r="G9" s="302">
        <f>'5 Klubbutvikling'!AN4</f>
        <v>0</v>
      </c>
      <c r="H9" s="302">
        <f>'6 Barn og Ungdom'!AN4</f>
        <v>0</v>
      </c>
      <c r="I9" s="302">
        <f>SUM('7 Konkurranse'!AS10)</f>
        <v>12000</v>
      </c>
      <c r="J9" s="302">
        <f>'8 Eliteaktivitet'!AR4</f>
        <v>0</v>
      </c>
      <c r="K9" s="302">
        <f>'9 Anlegg og infrastruktur'!X4</f>
        <v>0</v>
      </c>
      <c r="L9" s="303">
        <f t="shared" si="0"/>
        <v>12000</v>
      </c>
    </row>
    <row r="10" spans="1:12" hidden="1" x14ac:dyDescent="0.3">
      <c r="A10" s="6">
        <v>3120</v>
      </c>
      <c r="B10" s="7" t="s">
        <v>4</v>
      </c>
      <c r="C10" s="302">
        <f>'1 Administrasjon'!BD5</f>
        <v>0</v>
      </c>
      <c r="D10" s="302">
        <f>'2 Ekstern kommunikasjon'!X5</f>
        <v>0</v>
      </c>
      <c r="E10" s="302">
        <f>'3 Forbundsutvikling'!AB5</f>
        <v>0</v>
      </c>
      <c r="F10" s="302">
        <f>'4. Utvilklingstiltak'!AZ5</f>
        <v>0</v>
      </c>
      <c r="G10" s="302">
        <f>'5 Klubbutvikling'!AN5</f>
        <v>0</v>
      </c>
      <c r="H10" s="302">
        <f>'6 Barn og Ungdom'!AN5</f>
        <v>0</v>
      </c>
      <c r="I10" s="302"/>
      <c r="J10" s="302">
        <f>'8 Eliteaktivitet'!AR5</f>
        <v>0</v>
      </c>
      <c r="K10" s="302">
        <f>'9 Anlegg og infrastruktur'!X5</f>
        <v>0</v>
      </c>
      <c r="L10" s="303">
        <f t="shared" si="0"/>
        <v>0</v>
      </c>
    </row>
    <row r="11" spans="1:12" x14ac:dyDescent="0.3">
      <c r="A11" s="6">
        <v>3400</v>
      </c>
      <c r="B11" s="7" t="s">
        <v>5</v>
      </c>
      <c r="C11" s="302">
        <f>'1 Administrasjon'!BD6</f>
        <v>744783</v>
      </c>
      <c r="D11" s="302">
        <f>'2 Ekstern kommunikasjon'!X6</f>
        <v>0</v>
      </c>
      <c r="E11" s="302">
        <f>'3 Forbundsutvikling'!AB6</f>
        <v>0</v>
      </c>
      <c r="F11" s="302">
        <f>'4. Utvilklingstiltak'!AZ6</f>
        <v>0</v>
      </c>
      <c r="G11" s="302">
        <f>'5 Klubbutvikling'!AN6</f>
        <v>0</v>
      </c>
      <c r="H11" s="302">
        <f>'6 Barn og Ungdom'!AN6</f>
        <v>0</v>
      </c>
      <c r="I11" s="302">
        <f>SUM('7 Konkurranse'!AS11)</f>
        <v>0</v>
      </c>
      <c r="J11" s="302">
        <f>'8 Eliteaktivitet'!AR6</f>
        <v>0</v>
      </c>
      <c r="K11" s="302">
        <f>SUM('9 Anlegg og infrastruktur'!X11)</f>
        <v>0</v>
      </c>
      <c r="L11" s="303">
        <f t="shared" si="0"/>
        <v>744783</v>
      </c>
    </row>
    <row r="12" spans="1:12" x14ac:dyDescent="0.3">
      <c r="A12" s="6">
        <v>3410</v>
      </c>
      <c r="B12" s="7" t="s">
        <v>6</v>
      </c>
      <c r="C12" s="302">
        <f>'1 Administrasjon'!BD7</f>
        <v>781773</v>
      </c>
      <c r="D12" s="302">
        <f>'2 Ekstern kommunikasjon'!X7</f>
        <v>0</v>
      </c>
      <c r="E12" s="302">
        <f>'3 Forbundsutvikling'!AB7</f>
        <v>0</v>
      </c>
      <c r="F12" s="302">
        <f>'4. Utvilklingstiltak'!AZ7</f>
        <v>0</v>
      </c>
      <c r="G12" s="302">
        <f>'5 Klubbutvikling'!AN7</f>
        <v>0</v>
      </c>
      <c r="H12" s="302">
        <f>'6 Barn og Ungdom'!AN7</f>
        <v>0</v>
      </c>
      <c r="I12" s="302">
        <f>SUM('7 Konkurranse'!AS12)</f>
        <v>0</v>
      </c>
      <c r="J12" s="302">
        <f>'8 Eliteaktivitet'!AR7</f>
        <v>0</v>
      </c>
      <c r="K12" s="302">
        <f>'9 Anlegg og infrastruktur'!X7</f>
        <v>0</v>
      </c>
      <c r="L12" s="303">
        <f t="shared" si="0"/>
        <v>781773</v>
      </c>
    </row>
    <row r="13" spans="1:12" ht="1.2" customHeight="1" x14ac:dyDescent="0.3">
      <c r="A13" s="6">
        <v>3900</v>
      </c>
      <c r="B13" s="7" t="s">
        <v>7</v>
      </c>
      <c r="C13" s="302">
        <f>'1 Administrasjon'!BD8</f>
        <v>0</v>
      </c>
      <c r="D13" s="302">
        <f>'2 Ekstern kommunikasjon'!X8</f>
        <v>0</v>
      </c>
      <c r="E13" s="302">
        <f>'3 Forbundsutvikling'!AB8</f>
        <v>0</v>
      </c>
      <c r="F13" s="302">
        <f>'4. Utvilklingstiltak'!AZ8</f>
        <v>0</v>
      </c>
      <c r="G13" s="302">
        <f>'5 Klubbutvikling'!AN8</f>
        <v>0</v>
      </c>
      <c r="H13" s="302">
        <f>'6 Barn og Ungdom'!AN8</f>
        <v>0</v>
      </c>
      <c r="I13" s="302">
        <f>SUM('7 Konkurranse'!AS13)</f>
        <v>0</v>
      </c>
      <c r="J13" s="302">
        <f>'8 Eliteaktivitet'!AR8</f>
        <v>0</v>
      </c>
      <c r="K13" s="302">
        <f>'9 Anlegg og infrastruktur'!X8</f>
        <v>0</v>
      </c>
      <c r="L13" s="303">
        <f t="shared" si="0"/>
        <v>0</v>
      </c>
    </row>
    <row r="14" spans="1:12" x14ac:dyDescent="0.3">
      <c r="A14" s="6">
        <v>3910</v>
      </c>
      <c r="B14" s="7" t="s">
        <v>8</v>
      </c>
      <c r="C14" s="302">
        <f>'1 Administrasjon'!BD9</f>
        <v>1000</v>
      </c>
      <c r="D14" s="302">
        <f>'2 Ekstern kommunikasjon'!X9</f>
        <v>0</v>
      </c>
      <c r="E14" s="302">
        <f>SUM('3 Forbundsutvikling'!AC9)</f>
        <v>3000</v>
      </c>
      <c r="F14" s="302">
        <f>'4. Utvilklingstiltak'!AZ9</f>
        <v>0</v>
      </c>
      <c r="G14" s="302">
        <f>'5 Klubbutvikling'!AN9</f>
        <v>0</v>
      </c>
      <c r="H14" s="302">
        <f>'6 Barn og Ungdom'!AN9</f>
        <v>0</v>
      </c>
      <c r="I14" s="302">
        <f>SUM('7 Konkurranse'!AS14)</f>
        <v>0</v>
      </c>
      <c r="J14" s="302">
        <f>SUM('8 Eliteaktivitet'!AS9)</f>
        <v>48000</v>
      </c>
      <c r="K14" s="302">
        <f>'9 Anlegg og infrastruktur'!X9</f>
        <v>0</v>
      </c>
      <c r="L14" s="303">
        <f t="shared" si="0"/>
        <v>52000</v>
      </c>
    </row>
    <row r="15" spans="1:12" x14ac:dyDescent="0.3">
      <c r="A15" s="6">
        <v>3950</v>
      </c>
      <c r="B15" s="7" t="s">
        <v>9</v>
      </c>
      <c r="C15" s="302">
        <f>'1 Administrasjon'!BD10</f>
        <v>120000</v>
      </c>
      <c r="D15" s="302">
        <f>SUM('2 Ekstern kommunikasjon'!Y11)</f>
        <v>26500</v>
      </c>
      <c r="E15" s="302">
        <f>'3 Forbundsutvikling'!AB10</f>
        <v>0</v>
      </c>
      <c r="F15" s="302">
        <f>'4. Utvilklingstiltak'!AZ10</f>
        <v>0</v>
      </c>
      <c r="G15" s="302">
        <f>'5 Klubbutvikling'!AN10</f>
        <v>0</v>
      </c>
      <c r="H15" s="302">
        <f>'6 Barn og Ungdom'!AN10</f>
        <v>0</v>
      </c>
      <c r="I15" s="302">
        <f>SUM('7 Konkurranse'!AS15)</f>
        <v>0</v>
      </c>
      <c r="J15" s="302">
        <f>'8 Eliteaktivitet'!AR10</f>
        <v>0</v>
      </c>
      <c r="K15" s="302">
        <f>'9 Anlegg og infrastruktur'!X10</f>
        <v>0</v>
      </c>
      <c r="L15" s="303">
        <f t="shared" si="0"/>
        <v>146500</v>
      </c>
    </row>
    <row r="16" spans="1:12" ht="15" thickBot="1" x14ac:dyDescent="0.35">
      <c r="A16" s="6">
        <v>3951</v>
      </c>
      <c r="B16" s="7" t="s">
        <v>135</v>
      </c>
      <c r="C16" s="304">
        <f>'1 Administrasjon'!BD11</f>
        <v>250000</v>
      </c>
      <c r="D16" s="304"/>
      <c r="E16" s="304"/>
      <c r="F16" s="304"/>
      <c r="G16" s="304"/>
      <c r="H16" s="304"/>
      <c r="I16" s="304">
        <f>SUM('7 Konkurranse'!AS16)</f>
        <v>0</v>
      </c>
      <c r="J16" s="304"/>
      <c r="K16" s="304"/>
      <c r="L16" s="308">
        <f t="shared" si="0"/>
        <v>250000</v>
      </c>
    </row>
    <row r="17" spans="1:13" ht="15" thickBot="1" x14ac:dyDescent="0.35">
      <c r="A17" s="24"/>
      <c r="B17" s="25" t="s">
        <v>73</v>
      </c>
      <c r="C17" s="92">
        <f>SUM(C4:C16)</f>
        <v>1897556</v>
      </c>
      <c r="D17" s="92">
        <f t="shared" ref="D17:K17" si="1">SUM(D5:D16)</f>
        <v>26500</v>
      </c>
      <c r="E17" s="92">
        <f t="shared" si="1"/>
        <v>3000</v>
      </c>
      <c r="F17" s="92">
        <f t="shared" si="1"/>
        <v>0</v>
      </c>
      <c r="G17" s="92">
        <f t="shared" si="1"/>
        <v>0</v>
      </c>
      <c r="H17" s="92">
        <f t="shared" si="1"/>
        <v>0</v>
      </c>
      <c r="I17" s="92">
        <f>SUM(I4:I16)</f>
        <v>124600</v>
      </c>
      <c r="J17" s="92">
        <f t="shared" si="1"/>
        <v>48000</v>
      </c>
      <c r="K17" s="92">
        <f t="shared" si="1"/>
        <v>0</v>
      </c>
      <c r="L17" s="92">
        <f>SUM(L5:L16)</f>
        <v>2073656</v>
      </c>
      <c r="M17" s="83"/>
    </row>
    <row r="18" spans="1:13" x14ac:dyDescent="0.3">
      <c r="A18" s="181">
        <v>5000</v>
      </c>
      <c r="B18" s="190" t="s">
        <v>10</v>
      </c>
      <c r="C18" s="305">
        <f>SUM('1 Administrasjon'!BD13)</f>
        <v>233719.5</v>
      </c>
      <c r="D18" s="305">
        <f>'2 Ekstern kommunikasjon'!X13</f>
        <v>0</v>
      </c>
      <c r="E18" s="305">
        <f>'3 Forbundsutvikling'!AB12</f>
        <v>0</v>
      </c>
      <c r="F18" s="305">
        <f>SUM('4. Utvilklingstiltak'!BA12)</f>
        <v>151365.84999999998</v>
      </c>
      <c r="G18" s="305">
        <f>'5 Klubbutvikling'!AN12</f>
        <v>0</v>
      </c>
      <c r="H18" s="305">
        <f>SUM('6 Barn og Ungdom'!AO12)</f>
        <v>151365.84999999998</v>
      </c>
      <c r="I18" s="305">
        <f>SUM('7 Konkurranse'!AS19)</f>
        <v>112237.8</v>
      </c>
      <c r="J18" s="305">
        <f>SUM('8 Eliteaktivitet'!AS12)</f>
        <v>116000</v>
      </c>
      <c r="K18" s="305">
        <f>'9 Anlegg og infrastruktur'!X13</f>
        <v>0</v>
      </c>
      <c r="L18" s="309">
        <f t="shared" si="0"/>
        <v>764689</v>
      </c>
    </row>
    <row r="19" spans="1:13" hidden="1" x14ac:dyDescent="0.3">
      <c r="A19" s="6">
        <v>5001</v>
      </c>
      <c r="B19" s="7" t="s">
        <v>11</v>
      </c>
      <c r="C19" s="302">
        <f>'1 Administrasjon'!BC14</f>
        <v>0</v>
      </c>
      <c r="D19" s="302">
        <f>'2 Ekstern kommunikasjon'!X14</f>
        <v>0</v>
      </c>
      <c r="E19" s="302">
        <f>'3 Forbundsutvikling'!AB13</f>
        <v>0</v>
      </c>
      <c r="F19" s="302">
        <f>'4. Utvilklingstiltak'!AZ13</f>
        <v>0</v>
      </c>
      <c r="G19" s="302">
        <f>'5 Klubbutvikling'!AN13</f>
        <v>0</v>
      </c>
      <c r="H19" s="302">
        <f>'6 Barn og Ungdom'!AN13</f>
        <v>0</v>
      </c>
      <c r="I19" s="302">
        <f>'7 Konkurranse'!AR20</f>
        <v>0</v>
      </c>
      <c r="J19" s="302">
        <f>'8 Eliteaktivitet'!AR13</f>
        <v>0</v>
      </c>
      <c r="K19" s="302">
        <f>'9 Anlegg og infrastruktur'!X14</f>
        <v>0</v>
      </c>
      <c r="L19" s="303">
        <f t="shared" si="0"/>
        <v>0</v>
      </c>
    </row>
    <row r="20" spans="1:13" x14ac:dyDescent="0.3">
      <c r="A20" s="6">
        <v>5001</v>
      </c>
      <c r="B20" s="7" t="s">
        <v>11</v>
      </c>
      <c r="C20" s="302">
        <f>SUM('1 Administrasjon'!BC16)</f>
        <v>0</v>
      </c>
      <c r="D20" s="302"/>
      <c r="E20" s="302"/>
      <c r="F20" s="302">
        <f>SUM('4. Utvilklingstiltak'!BA15)</f>
        <v>8200</v>
      </c>
      <c r="G20" s="302"/>
      <c r="H20" s="302"/>
      <c r="I20" s="302">
        <f>SUM('7 Konkurranse'!AR22)</f>
        <v>0</v>
      </c>
      <c r="J20" s="302">
        <f>SUM('8 Eliteaktivitet'!AR15)</f>
        <v>0</v>
      </c>
      <c r="K20" s="302"/>
      <c r="L20" s="303">
        <f t="shared" si="0"/>
        <v>8200</v>
      </c>
    </row>
    <row r="21" spans="1:13" x14ac:dyDescent="0.3">
      <c r="A21" s="6">
        <v>5004</v>
      </c>
      <c r="B21" s="7" t="s">
        <v>12</v>
      </c>
      <c r="C21" s="302">
        <f>'1 Administrasjon'!BC15</f>
        <v>0</v>
      </c>
      <c r="D21" s="302">
        <f>'2 Ekstern kommunikasjon'!X15</f>
        <v>0</v>
      </c>
      <c r="E21" s="302">
        <f>'3 Forbundsutvikling'!AB14</f>
        <v>0</v>
      </c>
      <c r="F21" s="302">
        <f>'4. Utvilklingstiltak'!AZ14</f>
        <v>0</v>
      </c>
      <c r="G21" s="302">
        <f>'5 Klubbutvikling'!AN14</f>
        <v>0</v>
      </c>
      <c r="H21" s="302">
        <f>SUM('6 Barn og Ungdom'!AO14)</f>
        <v>6000</v>
      </c>
      <c r="I21" s="302">
        <f>SUM('7 Konkurranse'!AR23)</f>
        <v>0</v>
      </c>
      <c r="J21" s="302">
        <f>SUM('8 Eliteaktivitet'!AR16)</f>
        <v>0</v>
      </c>
      <c r="K21" s="302">
        <f>'9 Anlegg og infrastruktur'!X15</f>
        <v>0</v>
      </c>
      <c r="L21" s="303">
        <f t="shared" si="0"/>
        <v>6000</v>
      </c>
    </row>
    <row r="22" spans="1:13" x14ac:dyDescent="0.3">
      <c r="A22" s="6">
        <v>5005</v>
      </c>
      <c r="B22" s="7" t="s">
        <v>300</v>
      </c>
      <c r="C22" s="302"/>
      <c r="D22" s="302"/>
      <c r="E22" s="302"/>
      <c r="F22" s="302"/>
      <c r="G22" s="302"/>
      <c r="H22" s="302"/>
      <c r="I22" s="302">
        <f>SUM('7 Konkurranse'!AS24)</f>
        <v>56365.4</v>
      </c>
      <c r="J22" s="302"/>
      <c r="K22" s="302"/>
      <c r="L22" s="303">
        <f t="shared" si="0"/>
        <v>56365.4</v>
      </c>
    </row>
    <row r="23" spans="1:13" x14ac:dyDescent="0.3">
      <c r="A23" s="6">
        <v>5006</v>
      </c>
      <c r="B23" s="7" t="s">
        <v>372</v>
      </c>
      <c r="C23" s="302"/>
      <c r="D23" s="302"/>
      <c r="E23" s="302"/>
      <c r="F23" s="302"/>
      <c r="G23" s="302"/>
      <c r="H23" s="302"/>
      <c r="I23" s="302">
        <f>SUM('7 Konkurranse'!AS25)</f>
        <v>7107.6</v>
      </c>
      <c r="J23" s="302"/>
      <c r="K23" s="302"/>
      <c r="L23" s="303">
        <f t="shared" si="0"/>
        <v>7107.6</v>
      </c>
    </row>
    <row r="24" spans="1:13" x14ac:dyDescent="0.3">
      <c r="A24" s="6">
        <v>5010</v>
      </c>
      <c r="B24" s="7" t="s">
        <v>278</v>
      </c>
      <c r="C24" s="302">
        <f>SUM('1 Administrasjon'!BD17)</f>
        <v>16000</v>
      </c>
      <c r="D24" s="302"/>
      <c r="E24" s="302"/>
      <c r="F24" s="302"/>
      <c r="G24" s="302"/>
      <c r="H24" s="302"/>
      <c r="I24" s="302"/>
      <c r="J24" s="302"/>
      <c r="K24" s="302"/>
      <c r="L24" s="303">
        <f t="shared" si="0"/>
        <v>16000</v>
      </c>
    </row>
    <row r="25" spans="1:13" x14ac:dyDescent="0.3">
      <c r="A25" s="6">
        <v>5180</v>
      </c>
      <c r="B25" s="7" t="s">
        <v>13</v>
      </c>
      <c r="C25" s="302">
        <f>SUM('1 Administrasjon'!BD18)</f>
        <v>28046.34</v>
      </c>
      <c r="D25" s="302">
        <f>'2 Ekstern kommunikasjon'!X16</f>
        <v>0</v>
      </c>
      <c r="E25" s="302">
        <f>'3 Forbundsutvikling'!AB15</f>
        <v>0</v>
      </c>
      <c r="F25" s="302">
        <f>SUM('4. Utvilklingstiltak'!BA16)</f>
        <v>18163.901999999998</v>
      </c>
      <c r="G25" s="302">
        <f>'5 Klubbutvikling'!AN15</f>
        <v>0</v>
      </c>
      <c r="H25" s="302">
        <f>SUM('6 Barn og Ungdom'!AO15)</f>
        <v>18163.901999999998</v>
      </c>
      <c r="I25" s="302">
        <f>SUM('7 Konkurranse'!AS26)</f>
        <v>13468.536</v>
      </c>
      <c r="J25" s="302">
        <f>SUM('8 Eliteaktivitet'!AS17)</f>
        <v>13920</v>
      </c>
      <c r="K25" s="302">
        <f>'9 Anlegg og infrastruktur'!X16</f>
        <v>0</v>
      </c>
      <c r="L25" s="303">
        <f t="shared" si="0"/>
        <v>91762.68</v>
      </c>
    </row>
    <row r="26" spans="1:13" x14ac:dyDescent="0.3">
      <c r="A26" s="6">
        <v>5182</v>
      </c>
      <c r="B26" s="7" t="s">
        <v>14</v>
      </c>
      <c r="C26" s="302">
        <f>SUM('1 Administrasjon'!BD19)</f>
        <v>3954.5339399999998</v>
      </c>
      <c r="D26" s="302">
        <f>'2 Ekstern kommunikasjon'!X17</f>
        <v>0</v>
      </c>
      <c r="E26" s="302">
        <f>'3 Forbundsutvikling'!AB16</f>
        <v>0</v>
      </c>
      <c r="F26" s="302">
        <f>SUM('4. Utvilklingstiltak'!BA17)</f>
        <v>2561.1101819999994</v>
      </c>
      <c r="G26" s="302">
        <f>'5 Klubbutvikling'!AN16</f>
        <v>0</v>
      </c>
      <c r="H26" s="302">
        <f>SUM('6 Barn og Ungdom'!AO16)</f>
        <v>2561.1101819999994</v>
      </c>
      <c r="I26" s="302">
        <f>SUM('7 Konkurranse'!AS27)</f>
        <v>1899.0635759999998</v>
      </c>
      <c r="J26" s="302">
        <f>SUM('8 Eliteaktivitet'!AS18)</f>
        <v>3090.7199999999993</v>
      </c>
      <c r="K26" s="302">
        <f>'9 Anlegg og infrastruktur'!X17</f>
        <v>0</v>
      </c>
      <c r="L26" s="303">
        <f t="shared" si="0"/>
        <v>14066.537879999998</v>
      </c>
    </row>
    <row r="27" spans="1:13" x14ac:dyDescent="0.3">
      <c r="A27" s="6">
        <v>5211</v>
      </c>
      <c r="B27" s="7" t="s">
        <v>15</v>
      </c>
      <c r="C27" s="302">
        <f>SUM('1 Administrasjon'!BD20)</f>
        <v>9000</v>
      </c>
      <c r="D27" s="302">
        <f>'2 Ekstern kommunikasjon'!X18</f>
        <v>0</v>
      </c>
      <c r="E27" s="302">
        <f>'3 Forbundsutvikling'!AB17</f>
        <v>0</v>
      </c>
      <c r="F27" s="302">
        <f>'4. Utvilklingstiltak'!AZ18</f>
        <v>0</v>
      </c>
      <c r="G27" s="302">
        <f>'5 Klubbutvikling'!AN17</f>
        <v>0</v>
      </c>
      <c r="H27" s="302">
        <f>'6 Barn og Ungdom'!AN17</f>
        <v>0</v>
      </c>
      <c r="I27" s="302">
        <f>'7 Konkurranse'!AR28</f>
        <v>0</v>
      </c>
      <c r="J27" s="302">
        <f>'8 Eliteaktivitet'!AR19</f>
        <v>0</v>
      </c>
      <c r="K27" s="302">
        <f>'9 Anlegg og infrastruktur'!X18</f>
        <v>0</v>
      </c>
      <c r="L27" s="303">
        <f t="shared" si="0"/>
        <v>9000</v>
      </c>
    </row>
    <row r="28" spans="1:13" ht="0.6" customHeight="1" x14ac:dyDescent="0.3">
      <c r="A28" s="6">
        <v>5230</v>
      </c>
      <c r="B28" s="7" t="s">
        <v>16</v>
      </c>
      <c r="C28" s="302">
        <f>SUM('1 Administrasjon'!D21)</f>
        <v>0</v>
      </c>
      <c r="D28" s="302">
        <f>'2 Ekstern kommunikasjon'!X19</f>
        <v>0</v>
      </c>
      <c r="E28" s="302">
        <f>'3 Forbundsutvikling'!AB18</f>
        <v>0</v>
      </c>
      <c r="F28" s="302">
        <f>'4. Utvilklingstiltak'!AZ19</f>
        <v>0</v>
      </c>
      <c r="G28" s="302">
        <f>'5 Klubbutvikling'!AN18</f>
        <v>0</v>
      </c>
      <c r="H28" s="302">
        <f>'6 Barn og Ungdom'!AN18</f>
        <v>0</v>
      </c>
      <c r="I28" s="302">
        <f>'7 Konkurranse'!AR29</f>
        <v>0</v>
      </c>
      <c r="J28" s="302">
        <f>'8 Eliteaktivitet'!AR20</f>
        <v>0</v>
      </c>
      <c r="K28" s="302">
        <f>'9 Anlegg og infrastruktur'!X19</f>
        <v>0</v>
      </c>
      <c r="L28" s="303">
        <f t="shared" si="0"/>
        <v>0</v>
      </c>
    </row>
    <row r="29" spans="1:13" x14ac:dyDescent="0.3">
      <c r="A29" s="6">
        <v>5400</v>
      </c>
      <c r="B29" s="7" t="s">
        <v>48</v>
      </c>
      <c r="C29" s="302">
        <f>SUM('1 Administrasjon'!BD22)</f>
        <v>38127.171974999997</v>
      </c>
      <c r="D29" s="302">
        <f>'2 Ekstern kommunikasjon'!X20</f>
        <v>0</v>
      </c>
      <c r="E29" s="302">
        <f>'3 Forbundsutvikling'!AB19</f>
        <v>0</v>
      </c>
      <c r="F29" s="302">
        <f>SUM('4. Utvilklingstiltak'!BA20)</f>
        <v>23847.914092499996</v>
      </c>
      <c r="G29" s="302">
        <f>'5 Klubbutvikling'!AN19</f>
        <v>0</v>
      </c>
      <c r="H29" s="302">
        <f>SUM('6 Barn og Ungdom'!AO19)</f>
        <v>23537.714092499995</v>
      </c>
      <c r="I29" s="302">
        <f>SUM('7 Konkurranse'!AS30)</f>
        <v>16616.806289999997</v>
      </c>
      <c r="J29" s="302">
        <f>SUM('8 Eliteaktivitet'!AS21)</f>
        <v>17342.999999999996</v>
      </c>
      <c r="K29" s="302">
        <f>'9 Anlegg og infrastruktur'!X20</f>
        <v>0</v>
      </c>
      <c r="L29" s="303">
        <f t="shared" si="0"/>
        <v>119472.60644999998</v>
      </c>
    </row>
    <row r="30" spans="1:13" x14ac:dyDescent="0.3">
      <c r="A30" s="6">
        <v>5990</v>
      </c>
      <c r="B30" s="7" t="s">
        <v>17</v>
      </c>
      <c r="C30" s="302">
        <f>SUM('1 Administrasjon'!BD23)</f>
        <v>11685.975</v>
      </c>
      <c r="D30" s="302">
        <f>'2 Ekstern kommunikasjon'!X21</f>
        <v>0</v>
      </c>
      <c r="E30" s="302">
        <f>'3 Forbundsutvikling'!AB20</f>
        <v>0</v>
      </c>
      <c r="F30" s="302">
        <f>SUM('4. Utvilklingstiltak'!BA22)</f>
        <v>9568.2924999999996</v>
      </c>
      <c r="G30" s="302">
        <f>'5 Klubbutvikling'!AN20</f>
        <v>0</v>
      </c>
      <c r="H30" s="302">
        <f>SUM('6 Barn og Ungdom'!AO20)</f>
        <v>9568.2924999999996</v>
      </c>
      <c r="I30" s="302">
        <f>SUM('7 Konkurranse'!AS31)</f>
        <v>4674.3900000000003</v>
      </c>
      <c r="J30" s="302">
        <f>'8 Eliteaktivitet'!AR22</f>
        <v>0</v>
      </c>
      <c r="K30" s="302">
        <f>'9 Anlegg og infrastruktur'!X21</f>
        <v>0</v>
      </c>
      <c r="L30" s="303">
        <f t="shared" si="0"/>
        <v>35496.950000000004</v>
      </c>
    </row>
    <row r="31" spans="1:13" x14ac:dyDescent="0.3">
      <c r="A31" s="6">
        <v>6110</v>
      </c>
      <c r="B31" s="7" t="s">
        <v>50</v>
      </c>
      <c r="C31" s="302">
        <f>'1 Administrasjon'!BC24</f>
        <v>0</v>
      </c>
      <c r="D31" s="302">
        <f>'2 Ekstern kommunikasjon'!X22</f>
        <v>0</v>
      </c>
      <c r="E31" s="302">
        <f>'3 Forbundsutvikling'!AB21</f>
        <v>0</v>
      </c>
      <c r="F31" s="302">
        <f>'4. Utvilklingstiltak'!AZ23</f>
        <v>0</v>
      </c>
      <c r="G31" s="302">
        <f>'5 Klubbutvikling'!AN21</f>
        <v>0</v>
      </c>
      <c r="H31" s="302">
        <f>SUM('6 Barn og Ungdom'!AO21)</f>
        <v>6000</v>
      </c>
      <c r="I31" s="302">
        <f>'7 Konkurranse'!AR32</f>
        <v>0</v>
      </c>
      <c r="J31" s="302">
        <f>'8 Eliteaktivitet'!AR23</f>
        <v>0</v>
      </c>
      <c r="K31" s="302">
        <f>'9 Anlegg og infrastruktur'!X22</f>
        <v>0</v>
      </c>
      <c r="L31" s="303">
        <f t="shared" si="0"/>
        <v>6000</v>
      </c>
    </row>
    <row r="32" spans="1:13" x14ac:dyDescent="0.3">
      <c r="A32" s="6">
        <v>6300</v>
      </c>
      <c r="B32" s="7" t="s">
        <v>18</v>
      </c>
      <c r="C32" s="302">
        <f>SUM('1 Administrasjon'!BD25)</f>
        <v>8800</v>
      </c>
      <c r="D32" s="302">
        <f>'2 Ekstern kommunikasjon'!X23</f>
        <v>0</v>
      </c>
      <c r="E32" s="302">
        <f>'3 Forbundsutvikling'!AB22</f>
        <v>0</v>
      </c>
      <c r="F32" s="302">
        <f>SUM('4. Utvilklingstiltak'!BA24)</f>
        <v>33000</v>
      </c>
      <c r="G32" s="302">
        <f>'5 Klubbutvikling'!AN22</f>
        <v>0</v>
      </c>
      <c r="H32" s="302">
        <f>SUM('6 Barn og Ungdom'!AO22)</f>
        <v>15000</v>
      </c>
      <c r="I32" s="302">
        <f>'7 Konkurranse'!AR33</f>
        <v>0</v>
      </c>
      <c r="J32" s="302">
        <f>SUM('8 Eliteaktivitet'!AS24)</f>
        <v>31000</v>
      </c>
      <c r="K32" s="302">
        <f>'9 Anlegg og infrastruktur'!X23</f>
        <v>0</v>
      </c>
      <c r="L32" s="303">
        <f t="shared" si="0"/>
        <v>87800</v>
      </c>
    </row>
    <row r="33" spans="1:12" x14ac:dyDescent="0.3">
      <c r="A33" s="6">
        <v>6310</v>
      </c>
      <c r="B33" s="7" t="s">
        <v>137</v>
      </c>
      <c r="C33" s="302">
        <f>SUM('1 Administrasjon'!BD26)</f>
        <v>15000</v>
      </c>
      <c r="D33" s="302"/>
      <c r="E33" s="302"/>
      <c r="F33" s="302"/>
      <c r="G33" s="302"/>
      <c r="H33" s="302"/>
      <c r="I33" s="302"/>
      <c r="J33" s="302"/>
      <c r="K33" s="302"/>
      <c r="L33" s="303">
        <f t="shared" si="0"/>
        <v>15000</v>
      </c>
    </row>
    <row r="34" spans="1:12" x14ac:dyDescent="0.3">
      <c r="A34" s="6">
        <v>6440</v>
      </c>
      <c r="B34" s="7" t="s">
        <v>19</v>
      </c>
      <c r="C34" s="302">
        <f>SUM('1 Administrasjon'!D27)</f>
        <v>0</v>
      </c>
      <c r="D34" s="302">
        <f>SUM('2 Ekstern kommunikasjon'!Y24)</f>
        <v>1500</v>
      </c>
      <c r="E34" s="302">
        <f>'3 Forbundsutvikling'!AB23</f>
        <v>0</v>
      </c>
      <c r="F34" s="302">
        <f>SUM('4. Utvilklingstiltak'!AZ30)</f>
        <v>0</v>
      </c>
      <c r="G34" s="302">
        <f>'5 Klubbutvikling'!AN23</f>
        <v>0</v>
      </c>
      <c r="H34" s="302">
        <f>'6 Barn og Ungdom'!AN23</f>
        <v>0</v>
      </c>
      <c r="I34" s="302">
        <f>'7 Konkurranse'!AR34</f>
        <v>0</v>
      </c>
      <c r="J34" s="302">
        <f>'8 Eliteaktivitet'!AR25</f>
        <v>0</v>
      </c>
      <c r="K34" s="302">
        <f>SUM('9 Anlegg og infrastruktur'!X46)</f>
        <v>0</v>
      </c>
      <c r="L34" s="303">
        <f t="shared" si="0"/>
        <v>1500</v>
      </c>
    </row>
    <row r="35" spans="1:12" x14ac:dyDescent="0.3">
      <c r="A35" s="6">
        <v>6550</v>
      </c>
      <c r="B35" s="7" t="s">
        <v>20</v>
      </c>
      <c r="C35" s="302">
        <f>SUM('1 Administrasjon'!BD28)</f>
        <v>5000</v>
      </c>
      <c r="D35" s="302">
        <f>'2 Ekstern kommunikasjon'!X25</f>
        <v>0</v>
      </c>
      <c r="E35" s="302">
        <f>'3 Forbundsutvikling'!AB24</f>
        <v>0</v>
      </c>
      <c r="F35" s="302">
        <f>'4. Utvilklingstiltak'!AZ26</f>
        <v>0</v>
      </c>
      <c r="G35" s="302">
        <f>'5 Klubbutvikling'!AN24</f>
        <v>0</v>
      </c>
      <c r="H35" s="302">
        <f>'6 Barn og Ungdom'!AN24</f>
        <v>0</v>
      </c>
      <c r="I35" s="302">
        <f>'7 Konkurranse'!AR35</f>
        <v>0</v>
      </c>
      <c r="J35" s="302">
        <f>'8 Eliteaktivitet'!AR26</f>
        <v>0</v>
      </c>
      <c r="K35" s="302">
        <f>'9 Anlegg og infrastruktur'!X26</f>
        <v>0</v>
      </c>
      <c r="L35" s="303">
        <f t="shared" si="0"/>
        <v>5000</v>
      </c>
    </row>
    <row r="36" spans="1:12" x14ac:dyDescent="0.3">
      <c r="A36" s="6">
        <v>6560</v>
      </c>
      <c r="B36" s="7" t="s">
        <v>21</v>
      </c>
      <c r="C36" s="302">
        <f>SUM('1 Administrasjon'!BD29)</f>
        <v>4000</v>
      </c>
      <c r="D36" s="302">
        <f>'2 Ekstern kommunikasjon'!X26</f>
        <v>0</v>
      </c>
      <c r="E36" s="302">
        <f>'3 Forbundsutvikling'!AB25</f>
        <v>0</v>
      </c>
      <c r="F36" s="302">
        <f>'4. Utvilklingstiltak'!AZ27</f>
        <v>0</v>
      </c>
      <c r="G36" s="302">
        <f>'5 Klubbutvikling'!AN25</f>
        <v>0</v>
      </c>
      <c r="H36" s="302">
        <f>'6 Barn og Ungdom'!AN25</f>
        <v>0</v>
      </c>
      <c r="I36" s="302">
        <f>'7 Konkurranse'!AR36</f>
        <v>0</v>
      </c>
      <c r="J36" s="302">
        <f>'8 Eliteaktivitet'!AR27</f>
        <v>0</v>
      </c>
      <c r="K36" s="302">
        <f>'9 Anlegg og infrastruktur'!X27</f>
        <v>0</v>
      </c>
      <c r="L36" s="303">
        <f t="shared" si="0"/>
        <v>4000</v>
      </c>
    </row>
    <row r="37" spans="1:12" x14ac:dyDescent="0.3">
      <c r="A37" s="6">
        <v>6580</v>
      </c>
      <c r="B37" s="7" t="s">
        <v>2</v>
      </c>
      <c r="C37" s="302">
        <f>SUM('1 Administrasjon'!D31)</f>
        <v>0</v>
      </c>
      <c r="D37" s="302">
        <f>SUM('2 Ekstern kommunikasjon'!X32)</f>
        <v>0</v>
      </c>
      <c r="E37" s="302">
        <f>'3 Forbundsutvikling'!AB26</f>
        <v>0</v>
      </c>
      <c r="F37" s="302">
        <f>SUM('4. Utvilklingstiltak'!AZ31)</f>
        <v>0</v>
      </c>
      <c r="G37" s="302">
        <f>'5 Klubbutvikling'!AN26</f>
        <v>0</v>
      </c>
      <c r="H37" s="302">
        <f>SUM('6 Barn og Ungdom'!AO26)</f>
        <v>20000</v>
      </c>
      <c r="I37" s="302">
        <f>SUM('7 Konkurranse'!AS37)</f>
        <v>3180</v>
      </c>
      <c r="J37" s="302">
        <f>SUM('8 Eliteaktivitet'!AS28)</f>
        <v>30000</v>
      </c>
      <c r="K37" s="302">
        <f>'9 Anlegg og infrastruktur'!X28</f>
        <v>0</v>
      </c>
      <c r="L37" s="303">
        <f t="shared" si="0"/>
        <v>53180</v>
      </c>
    </row>
    <row r="38" spans="1:12" x14ac:dyDescent="0.3">
      <c r="A38" s="6">
        <v>6700</v>
      </c>
      <c r="B38" s="7" t="s">
        <v>138</v>
      </c>
      <c r="C38" s="302">
        <f>SUM('1 Administrasjon'!BD32)</f>
        <v>25000</v>
      </c>
      <c r="D38" s="302"/>
      <c r="E38" s="302"/>
      <c r="F38" s="302"/>
      <c r="G38" s="302"/>
      <c r="H38" s="302"/>
      <c r="I38" s="302"/>
      <c r="J38" s="302"/>
      <c r="K38" s="302"/>
      <c r="L38" s="303">
        <f t="shared" si="0"/>
        <v>25000</v>
      </c>
    </row>
    <row r="39" spans="1:12" x14ac:dyDescent="0.3">
      <c r="A39" s="6">
        <v>6720</v>
      </c>
      <c r="B39" s="7" t="s">
        <v>139</v>
      </c>
      <c r="C39" s="302">
        <f>SUM('1 Administrasjon'!BD33)</f>
        <v>67200</v>
      </c>
      <c r="D39" s="302"/>
      <c r="E39" s="302"/>
      <c r="F39" s="302"/>
      <c r="G39" s="302"/>
      <c r="H39" s="302"/>
      <c r="I39" s="302">
        <f>'7 Konkurranse'!AR38</f>
        <v>0</v>
      </c>
      <c r="J39" s="302"/>
      <c r="K39" s="302"/>
      <c r="L39" s="303">
        <f t="shared" si="0"/>
        <v>67200</v>
      </c>
    </row>
    <row r="40" spans="1:12" ht="1.8" customHeight="1" x14ac:dyDescent="0.3">
      <c r="A40" s="6">
        <v>6730</v>
      </c>
      <c r="B40" s="7" t="s">
        <v>151</v>
      </c>
      <c r="C40" s="302">
        <f>SUM('1 Administrasjon'!D34)</f>
        <v>0</v>
      </c>
      <c r="D40" s="302"/>
      <c r="E40" s="302"/>
      <c r="F40" s="302"/>
      <c r="G40" s="302"/>
      <c r="H40" s="302"/>
      <c r="I40" s="302"/>
      <c r="J40" s="302"/>
      <c r="K40" s="302"/>
      <c r="L40" s="303">
        <f t="shared" si="0"/>
        <v>0</v>
      </c>
    </row>
    <row r="41" spans="1:12" ht="18" hidden="1" customHeight="1" x14ac:dyDescent="0.3">
      <c r="A41" s="6">
        <v>6725</v>
      </c>
      <c r="B41" s="7" t="s">
        <v>140</v>
      </c>
      <c r="C41" s="302">
        <f>SUM('1 Administrasjon'!D35)</f>
        <v>0</v>
      </c>
      <c r="D41" s="302"/>
      <c r="E41" s="302"/>
      <c r="F41" s="302"/>
      <c r="G41" s="302"/>
      <c r="H41" s="302"/>
      <c r="I41" s="302"/>
      <c r="J41" s="302"/>
      <c r="K41" s="302"/>
      <c r="L41" s="303">
        <f t="shared" si="0"/>
        <v>0</v>
      </c>
    </row>
    <row r="42" spans="1:12" ht="1.2" hidden="1" customHeight="1" x14ac:dyDescent="0.3">
      <c r="A42" s="6">
        <v>6800</v>
      </c>
      <c r="B42" s="7" t="s">
        <v>22</v>
      </c>
      <c r="C42" s="302">
        <f>SUM('1 Administrasjon'!D36)</f>
        <v>0</v>
      </c>
      <c r="D42" s="302">
        <f>'2 Ekstern kommunikasjon'!X28</f>
        <v>0</v>
      </c>
      <c r="E42" s="302">
        <f>'3 Forbundsutvikling'!AB27</f>
        <v>0</v>
      </c>
      <c r="F42" s="302">
        <f>'4. Utvilklingstiltak'!AZ29</f>
        <v>0</v>
      </c>
      <c r="G42" s="302">
        <f>'5 Klubbutvikling'!AN27</f>
        <v>0</v>
      </c>
      <c r="H42" s="302">
        <f>'6 Barn og Ungdom'!AN27</f>
        <v>0</v>
      </c>
      <c r="I42" s="302">
        <f>'7 Konkurranse'!AR39</f>
        <v>0</v>
      </c>
      <c r="J42" s="302">
        <f>'8 Eliteaktivitet'!AR29</f>
        <v>0</v>
      </c>
      <c r="K42" s="302">
        <f>'9 Anlegg og infrastruktur'!X29</f>
        <v>0</v>
      </c>
      <c r="L42" s="303">
        <f t="shared" si="0"/>
        <v>0</v>
      </c>
    </row>
    <row r="43" spans="1:12" hidden="1" x14ac:dyDescent="0.3">
      <c r="A43" s="6">
        <v>6790</v>
      </c>
      <c r="B43" s="7" t="s">
        <v>292</v>
      </c>
      <c r="C43" s="302"/>
      <c r="D43" s="302"/>
      <c r="E43" s="302"/>
      <c r="F43" s="302">
        <f>SUM('4. Utvilklingstiltak'!AZ32)</f>
        <v>0</v>
      </c>
      <c r="G43" s="302"/>
      <c r="H43" s="302"/>
      <c r="I43" s="302"/>
      <c r="J43" s="302"/>
      <c r="K43" s="302"/>
      <c r="L43" s="303">
        <f t="shared" si="0"/>
        <v>0</v>
      </c>
    </row>
    <row r="44" spans="1:12" x14ac:dyDescent="0.3">
      <c r="A44" s="6">
        <v>6820</v>
      </c>
      <c r="B44" s="7" t="s">
        <v>23</v>
      </c>
      <c r="C44" s="302">
        <f>SUM('1 Administrasjon'!BD37)</f>
        <v>1000</v>
      </c>
      <c r="D44" s="302">
        <f>SUM('2 Ekstern kommunikasjon'!X33)</f>
        <v>0</v>
      </c>
      <c r="E44" s="302">
        <f>'3 Forbundsutvikling'!AB28</f>
        <v>0</v>
      </c>
      <c r="F44" s="302">
        <f>SUM('4. Utvilklingstiltak'!BA33)</f>
        <v>2500</v>
      </c>
      <c r="G44" s="302">
        <f>'5 Klubbutvikling'!AN28</f>
        <v>0</v>
      </c>
      <c r="H44" s="302">
        <f>'6 Barn og Ungdom'!AN28</f>
        <v>0</v>
      </c>
      <c r="I44" s="302">
        <f>SUM('7 Konkurranse'!AR43)</f>
        <v>0</v>
      </c>
      <c r="J44" s="302">
        <f>'8 Eliteaktivitet'!AR30</f>
        <v>0</v>
      </c>
      <c r="K44" s="302">
        <f>'9 Anlegg og infrastruktur'!X30</f>
        <v>0</v>
      </c>
      <c r="L44" s="303">
        <f t="shared" si="0"/>
        <v>3500</v>
      </c>
    </row>
    <row r="45" spans="1:12" ht="1.2" customHeight="1" x14ac:dyDescent="0.3">
      <c r="A45" s="6">
        <v>6840</v>
      </c>
      <c r="B45" s="7" t="s">
        <v>24</v>
      </c>
      <c r="C45" s="302">
        <f>SUM('1 Administrasjon'!D38)</f>
        <v>0</v>
      </c>
      <c r="D45" s="302">
        <f>'2 Ekstern kommunikasjon'!X30</f>
        <v>0</v>
      </c>
      <c r="E45" s="302">
        <f>'3 Forbundsutvikling'!AB29</f>
        <v>0</v>
      </c>
      <c r="F45" s="302">
        <f>'4. Utvilklingstiltak'!AZ34</f>
        <v>0</v>
      </c>
      <c r="G45" s="302">
        <f>'5 Klubbutvikling'!AN29</f>
        <v>0</v>
      </c>
      <c r="H45" s="302">
        <f>'6 Barn og Ungdom'!AN29</f>
        <v>0</v>
      </c>
      <c r="I45" s="302">
        <f>'7 Konkurranse'!AR41</f>
        <v>0</v>
      </c>
      <c r="J45" s="302">
        <f>'8 Eliteaktivitet'!AR31</f>
        <v>0</v>
      </c>
      <c r="K45" s="302">
        <f>'9 Anlegg og infrastruktur'!X31</f>
        <v>0</v>
      </c>
      <c r="L45" s="303">
        <f t="shared" si="0"/>
        <v>0</v>
      </c>
    </row>
    <row r="46" spans="1:12" ht="13.8" customHeight="1" x14ac:dyDescent="0.3">
      <c r="A46" s="6">
        <v>6860</v>
      </c>
      <c r="B46" s="7" t="s">
        <v>25</v>
      </c>
      <c r="C46" s="302">
        <f>SUM('1 Administrasjon'!BD39)</f>
        <v>2000</v>
      </c>
      <c r="D46" s="302">
        <f>'2 Ekstern kommunikasjon'!X31</f>
        <v>0</v>
      </c>
      <c r="E46" s="302">
        <f>'3 Forbundsutvikling'!AB30</f>
        <v>0</v>
      </c>
      <c r="F46" s="302">
        <f>SUM('4. Utvilklingstiltak'!BA35)</f>
        <v>10000</v>
      </c>
      <c r="G46" s="302">
        <f>'5 Klubbutvikling'!AN30</f>
        <v>0</v>
      </c>
      <c r="H46" s="302">
        <f>SUM('6 Barn og Ungdom'!AO30)</f>
        <v>10000</v>
      </c>
      <c r="I46" s="302">
        <f>'7 Konkurranse'!AR42</f>
        <v>0</v>
      </c>
      <c r="J46" s="302">
        <f>SUM('8 Eliteaktivitet'!AS32)</f>
        <v>2000</v>
      </c>
      <c r="K46" s="302">
        <f>'9 Anlegg og infrastruktur'!X32</f>
        <v>0</v>
      </c>
      <c r="L46" s="303">
        <f t="shared" si="0"/>
        <v>24000</v>
      </c>
    </row>
    <row r="47" spans="1:12" ht="16.8" hidden="1" customHeight="1" x14ac:dyDescent="0.3">
      <c r="A47" s="6">
        <v>6900</v>
      </c>
      <c r="B47" s="7" t="s">
        <v>141</v>
      </c>
      <c r="C47" s="302">
        <f>SUM('1 Administrasjon'!D40)</f>
        <v>0</v>
      </c>
      <c r="D47" s="302"/>
      <c r="E47" s="302"/>
      <c r="F47" s="302"/>
      <c r="G47" s="302"/>
      <c r="H47" s="302"/>
      <c r="I47" s="302"/>
      <c r="J47" s="302"/>
      <c r="K47" s="302"/>
      <c r="L47" s="303">
        <f t="shared" si="0"/>
        <v>0</v>
      </c>
    </row>
    <row r="48" spans="1:12" x14ac:dyDescent="0.3">
      <c r="A48" s="6">
        <v>6910</v>
      </c>
      <c r="B48" s="7" t="s">
        <v>26</v>
      </c>
      <c r="C48" s="302">
        <f>SUM('1 Administrasjon'!BD41)</f>
        <v>19700</v>
      </c>
      <c r="D48" s="302">
        <f>SUM('2 Ekstern kommunikasjon'!Y34)</f>
        <v>8000</v>
      </c>
      <c r="E48" s="302">
        <f>SUM('3 Forbundsutvikling'!AC31)</f>
        <v>11280</v>
      </c>
      <c r="F48" s="302">
        <f>'4. Utvilklingstiltak'!AZ36</f>
        <v>0</v>
      </c>
      <c r="G48" s="302">
        <f>'5 Klubbutvikling'!AN31</f>
        <v>0</v>
      </c>
      <c r="H48" s="302">
        <f>'6 Barn og Ungdom'!AN31</f>
        <v>0</v>
      </c>
      <c r="I48" s="302">
        <f>SUM('7 Konkurranse'!AS44)</f>
        <v>5000</v>
      </c>
      <c r="J48" s="302">
        <f>'8 Eliteaktivitet'!AR33</f>
        <v>0</v>
      </c>
      <c r="K48" s="302">
        <f>'9 Anlegg og infrastruktur'!X33</f>
        <v>0</v>
      </c>
      <c r="L48" s="303">
        <f t="shared" si="0"/>
        <v>43980</v>
      </c>
    </row>
    <row r="49" spans="1:12" x14ac:dyDescent="0.3">
      <c r="A49" s="6">
        <v>6940</v>
      </c>
      <c r="B49" s="7" t="s">
        <v>49</v>
      </c>
      <c r="C49" s="302">
        <f>SUM('1 Administrasjon'!BD42)</f>
        <v>500</v>
      </c>
      <c r="D49" s="302">
        <f>'2 Ekstern kommunikasjon'!X35</f>
        <v>0</v>
      </c>
      <c r="E49" s="302">
        <f>'3 Forbundsutvikling'!AB32</f>
        <v>0</v>
      </c>
      <c r="F49" s="302">
        <f>SUM('4. Utvilklingstiltak'!AZ38)</f>
        <v>0</v>
      </c>
      <c r="G49" s="302">
        <f>SUM('5 Klubbutvikling'!AN44)</f>
        <v>0</v>
      </c>
      <c r="H49" s="302">
        <f>SUM('6 Barn og Ungdom'!AN34)</f>
        <v>0</v>
      </c>
      <c r="I49" s="302">
        <f>SUM('7 Konkurranse'!AS45)</f>
        <v>2000</v>
      </c>
      <c r="J49" s="302">
        <f>SUM('8 Eliteaktivitet'!AR35)</f>
        <v>0</v>
      </c>
      <c r="K49" s="302">
        <f>'9 Anlegg og infrastruktur'!X34</f>
        <v>0</v>
      </c>
      <c r="L49" s="303">
        <f t="shared" si="0"/>
        <v>2500</v>
      </c>
    </row>
    <row r="50" spans="1:12" x14ac:dyDescent="0.3">
      <c r="A50" s="6">
        <v>7000</v>
      </c>
      <c r="B50" s="7" t="s">
        <v>27</v>
      </c>
      <c r="C50" s="302">
        <f>'1 Administrasjon'!BD43</f>
        <v>0</v>
      </c>
      <c r="D50" s="302">
        <f>SUM('2 Ekstern kommunikasjon'!Y36)</f>
        <v>1500</v>
      </c>
      <c r="E50" s="302">
        <f>'3 Forbundsutvikling'!AB33</f>
        <v>0</v>
      </c>
      <c r="F50" s="302">
        <f>SUM('4. Utvilklingstiltak'!BA39)</f>
        <v>2000</v>
      </c>
      <c r="G50" s="302">
        <f>'5 Klubbutvikling'!AN33</f>
        <v>0</v>
      </c>
      <c r="H50" s="302">
        <f>'6 Barn og Ungdom'!AN33</f>
        <v>0</v>
      </c>
      <c r="I50" s="302">
        <f>SUM('7 Konkurranse'!AS46)</f>
        <v>0</v>
      </c>
      <c r="J50" s="302">
        <f>'8 Eliteaktivitet'!AR36</f>
        <v>0</v>
      </c>
      <c r="K50" s="302">
        <f>SUM('9 Anlegg og infrastruktur'!X47)</f>
        <v>0</v>
      </c>
      <c r="L50" s="303">
        <f t="shared" si="0"/>
        <v>3500</v>
      </c>
    </row>
    <row r="51" spans="1:12" x14ac:dyDescent="0.3">
      <c r="A51" s="6">
        <v>7100</v>
      </c>
      <c r="B51" s="7" t="s">
        <v>28</v>
      </c>
      <c r="C51" s="302">
        <f>SUM('1 Administrasjon'!BD44)</f>
        <v>6000</v>
      </c>
      <c r="D51" s="302">
        <f>'2 Ekstern kommunikasjon'!X37</f>
        <v>0</v>
      </c>
      <c r="E51" s="302">
        <f>SUM('3 Forbundsutvikling'!AC34)</f>
        <v>6000</v>
      </c>
      <c r="F51" s="302">
        <f>SUM('4. Utvilklingstiltak'!BA40)</f>
        <v>9000</v>
      </c>
      <c r="G51" s="302">
        <f>'5 Klubbutvikling'!AN34</f>
        <v>0</v>
      </c>
      <c r="H51" s="302">
        <f>SUM('6 Barn og Ungdom'!AO35)</f>
        <v>3000</v>
      </c>
      <c r="I51" s="302">
        <f>SUM('7 Konkurranse'!AS47)</f>
        <v>10000</v>
      </c>
      <c r="J51" s="302">
        <f>SUM('8 Eliteaktivitet'!AS37)</f>
        <v>15000</v>
      </c>
      <c r="K51" s="302">
        <f>'9 Anlegg og infrastruktur'!X36</f>
        <v>0</v>
      </c>
      <c r="L51" s="303">
        <f t="shared" si="0"/>
        <v>49000</v>
      </c>
    </row>
    <row r="52" spans="1:12" ht="18" hidden="1" customHeight="1" x14ac:dyDescent="0.3">
      <c r="A52" s="6">
        <v>7101</v>
      </c>
      <c r="B52" s="7" t="s">
        <v>29</v>
      </c>
      <c r="C52" s="302">
        <f>'1 Administrasjon'!BC45</f>
        <v>0</v>
      </c>
      <c r="D52" s="302">
        <f>'2 Ekstern kommunikasjon'!X38</f>
        <v>0</v>
      </c>
      <c r="E52" s="302">
        <f>'3 Forbundsutvikling'!AB35</f>
        <v>0</v>
      </c>
      <c r="F52" s="302">
        <f>'4. Utvilklingstiltak'!AZ41</f>
        <v>0</v>
      </c>
      <c r="G52" s="302">
        <f>'5 Klubbutvikling'!AN35</f>
        <v>0</v>
      </c>
      <c r="H52" s="302">
        <f>'6 Barn og Ungdom'!AN36</f>
        <v>0</v>
      </c>
      <c r="I52" s="302">
        <f>'7 Konkurranse'!AR48</f>
        <v>0</v>
      </c>
      <c r="J52" s="302">
        <f>'8 Eliteaktivitet'!AR38</f>
        <v>0</v>
      </c>
      <c r="K52" s="302">
        <f>'9 Anlegg og infrastruktur'!X37</f>
        <v>0</v>
      </c>
      <c r="L52" s="303">
        <f t="shared" si="0"/>
        <v>0</v>
      </c>
    </row>
    <row r="53" spans="1:12" x14ac:dyDescent="0.3">
      <c r="A53" s="6">
        <v>7110</v>
      </c>
      <c r="B53" s="7" t="s">
        <v>30</v>
      </c>
      <c r="C53" s="302">
        <f>SUM('1 Administrasjon'!BD47)</f>
        <v>36000</v>
      </c>
      <c r="D53" s="302">
        <f>'2 Ekstern kommunikasjon'!X39</f>
        <v>0</v>
      </c>
      <c r="E53" s="302">
        <f>SUM('3 Forbundsutvikling'!AC37)</f>
        <v>36000</v>
      </c>
      <c r="F53" s="302">
        <f>SUM('4. Utvilklingstiltak'!BA43)</f>
        <v>25000</v>
      </c>
      <c r="G53" s="302">
        <f>'5 Klubbutvikling'!AN36</f>
        <v>0</v>
      </c>
      <c r="H53" s="302">
        <f>SUM('6 Barn og Ungdom'!AO37)</f>
        <v>12500</v>
      </c>
      <c r="I53" s="302">
        <f>SUM('7 Konkurranse'!AS50)</f>
        <v>40000</v>
      </c>
      <c r="J53" s="302">
        <f>SUM('8 Eliteaktivitet'!AS40)</f>
        <v>51000</v>
      </c>
      <c r="K53" s="302">
        <f>'9 Anlegg og infrastruktur'!X38</f>
        <v>0</v>
      </c>
      <c r="L53" s="303">
        <f t="shared" si="0"/>
        <v>200500</v>
      </c>
    </row>
    <row r="54" spans="1:12" x14ac:dyDescent="0.3">
      <c r="A54" s="6">
        <v>7141</v>
      </c>
      <c r="B54" s="7" t="s">
        <v>31</v>
      </c>
      <c r="C54" s="302">
        <f>SUM('1 Administrasjon'!BD48)</f>
        <v>20000</v>
      </c>
      <c r="D54" s="302">
        <f>'2 Ekstern kommunikasjon'!X40</f>
        <v>0</v>
      </c>
      <c r="E54" s="302">
        <f>SUM('3 Forbundsutvikling'!AC38)</f>
        <v>24000</v>
      </c>
      <c r="F54" s="302">
        <f>SUM('4. Utvilklingstiltak'!BA44)</f>
        <v>16000</v>
      </c>
      <c r="G54" s="302">
        <f>'5 Klubbutvikling'!AN37</f>
        <v>0</v>
      </c>
      <c r="H54" s="302">
        <f>SUM('6 Barn og Ungdom'!AO38)</f>
        <v>3000</v>
      </c>
      <c r="I54" s="302">
        <f>SUM('7 Konkurranse'!AS51)</f>
        <v>10000</v>
      </c>
      <c r="J54" s="302">
        <f>SUM('8 Eliteaktivitet'!AS41)</f>
        <v>40356</v>
      </c>
      <c r="K54" s="302">
        <f>'9 Anlegg og infrastruktur'!X39</f>
        <v>0</v>
      </c>
      <c r="L54" s="303">
        <f t="shared" si="0"/>
        <v>113356</v>
      </c>
    </row>
    <row r="55" spans="1:12" x14ac:dyDescent="0.3">
      <c r="A55" s="6">
        <v>7145</v>
      </c>
      <c r="B55" s="7" t="s">
        <v>32</v>
      </c>
      <c r="C55" s="302">
        <f>SUM('1 Administrasjon'!BD49)</f>
        <v>4200</v>
      </c>
      <c r="D55" s="302">
        <f>'2 Ekstern kommunikasjon'!X41</f>
        <v>0</v>
      </c>
      <c r="E55" s="302">
        <f>SUM('3 Forbundsutvikling'!AC39)</f>
        <v>5500</v>
      </c>
      <c r="F55" s="302">
        <f>SUM('4. Utvilklingstiltak'!BA45)</f>
        <v>4000</v>
      </c>
      <c r="G55" s="302">
        <f>SUM('5 Klubbutvikling'!AN45)</f>
        <v>0</v>
      </c>
      <c r="H55" s="302">
        <f>SUM('6 Barn og Ungdom'!AN45)</f>
        <v>0</v>
      </c>
      <c r="I55" s="302">
        <f>SUM('7 Konkurranse'!AS52)</f>
        <v>7000</v>
      </c>
      <c r="J55" s="302">
        <f>'8 Eliteaktivitet'!AR42</f>
        <v>0</v>
      </c>
      <c r="K55" s="302">
        <f>'9 Anlegg og infrastruktur'!X40</f>
        <v>0</v>
      </c>
      <c r="L55" s="303">
        <f t="shared" si="0"/>
        <v>20700</v>
      </c>
    </row>
    <row r="56" spans="1:12" x14ac:dyDescent="0.3">
      <c r="A56" s="6">
        <v>7162</v>
      </c>
      <c r="B56" s="7" t="s">
        <v>33</v>
      </c>
      <c r="C56" s="302">
        <f>SUM('1 Administrasjon'!BD50)</f>
        <v>15000</v>
      </c>
      <c r="D56" s="302">
        <f>'2 Ekstern kommunikasjon'!X42</f>
        <v>0</v>
      </c>
      <c r="E56" s="302">
        <f>SUM('3 Forbundsutvikling'!AC40)</f>
        <v>11000</v>
      </c>
      <c r="F56" s="302">
        <f>SUM('4. Utvilklingstiltak'!BA46)</f>
        <v>10500</v>
      </c>
      <c r="G56" s="302">
        <f>SUM('5 Klubbutvikling'!AN46)</f>
        <v>0</v>
      </c>
      <c r="H56" s="302">
        <f>SUM('6 Barn og Ungdom'!AO46)</f>
        <v>2000</v>
      </c>
      <c r="I56" s="302">
        <f>SUM('7 Konkurranse'!AS53)</f>
        <v>4000</v>
      </c>
      <c r="J56" s="302">
        <f>SUM('8 Eliteaktivitet'!AS43)</f>
        <v>5500</v>
      </c>
      <c r="K56" s="302">
        <f>'9 Anlegg og infrastruktur'!X41</f>
        <v>0</v>
      </c>
      <c r="L56" s="303">
        <f t="shared" si="0"/>
        <v>48000</v>
      </c>
    </row>
    <row r="57" spans="1:12" x14ac:dyDescent="0.3">
      <c r="A57" s="6">
        <v>7320</v>
      </c>
      <c r="B57" s="7" t="s">
        <v>34</v>
      </c>
      <c r="C57" s="302">
        <f>'1 Administrasjon'!BC51</f>
        <v>0</v>
      </c>
      <c r="D57" s="302">
        <f>SUM('2 Ekstern kommunikasjon'!Y54)</f>
        <v>50000</v>
      </c>
      <c r="E57" s="302">
        <f>'3 Forbundsutvikling'!AB41</f>
        <v>0</v>
      </c>
      <c r="F57" s="302">
        <f>'4. Utvilklingstiltak'!AZ47</f>
        <v>0</v>
      </c>
      <c r="G57" s="302">
        <f>'5 Klubbutvikling'!AN40</f>
        <v>0</v>
      </c>
      <c r="H57" s="302">
        <f>'6 Barn og Ungdom'!AN41</f>
        <v>0</v>
      </c>
      <c r="I57" s="302">
        <f>'7 Konkurranse'!AR54</f>
        <v>0</v>
      </c>
      <c r="J57" s="302">
        <f>'8 Eliteaktivitet'!AR44</f>
        <v>0</v>
      </c>
      <c r="K57" s="302">
        <f>'9 Anlegg og infrastruktur'!X42</f>
        <v>0</v>
      </c>
      <c r="L57" s="303">
        <f t="shared" si="0"/>
        <v>50000</v>
      </c>
    </row>
    <row r="58" spans="1:12" hidden="1" x14ac:dyDescent="0.3">
      <c r="A58" s="6">
        <v>7350</v>
      </c>
      <c r="B58" s="7" t="s">
        <v>35</v>
      </c>
      <c r="C58" s="302">
        <f>'1 Administrasjon'!BC52</f>
        <v>0</v>
      </c>
      <c r="D58" s="302">
        <f>'2 Ekstern kommunikasjon'!X44</f>
        <v>0</v>
      </c>
      <c r="E58" s="302">
        <f>'3 Forbundsutvikling'!AB42</f>
        <v>0</v>
      </c>
      <c r="F58" s="302">
        <f>'4. Utvilklingstiltak'!AZ48</f>
        <v>0</v>
      </c>
      <c r="G58" s="302">
        <f>'5 Klubbutvikling'!AN41</f>
        <v>0</v>
      </c>
      <c r="H58" s="302">
        <f>'6 Barn og Ungdom'!AN42</f>
        <v>0</v>
      </c>
      <c r="I58" s="302">
        <f>'7 Konkurranse'!AR55</f>
        <v>0</v>
      </c>
      <c r="J58" s="302">
        <f>'8 Eliteaktivitet'!AR45</f>
        <v>0</v>
      </c>
      <c r="K58" s="302">
        <f>'9 Anlegg og infrastruktur'!X43</f>
        <v>0</v>
      </c>
      <c r="L58" s="303">
        <f t="shared" si="0"/>
        <v>0</v>
      </c>
    </row>
    <row r="59" spans="1:12" x14ac:dyDescent="0.3">
      <c r="A59" s="6">
        <v>7400</v>
      </c>
      <c r="B59" s="7" t="s">
        <v>36</v>
      </c>
      <c r="C59" s="302">
        <f>SUM('1 Administrasjon'!BC56)</f>
        <v>0</v>
      </c>
      <c r="D59" s="302">
        <f>'2 Ekstern kommunikasjon'!X45</f>
        <v>0</v>
      </c>
      <c r="E59" s="302">
        <f>SUM('3 Forbundsutvikling'!AC43)</f>
        <v>10050</v>
      </c>
      <c r="F59" s="302">
        <f>'4. Utvilklingstiltak'!AZ49</f>
        <v>0</v>
      </c>
      <c r="G59" s="302">
        <f>'5 Klubbutvikling'!AN42</f>
        <v>0</v>
      </c>
      <c r="H59" s="302">
        <f>SUM('6 Barn og Ungdom'!AN47)</f>
        <v>0</v>
      </c>
      <c r="I59" s="302">
        <f>'7 Konkurranse'!AR56</f>
        <v>0</v>
      </c>
      <c r="J59" s="302">
        <f>'8 Eliteaktivitet'!AR46</f>
        <v>0</v>
      </c>
      <c r="K59" s="302">
        <f>'9 Anlegg og infrastruktur'!X44</f>
        <v>0</v>
      </c>
      <c r="L59" s="303">
        <f t="shared" si="0"/>
        <v>10050</v>
      </c>
    </row>
    <row r="60" spans="1:12" x14ac:dyDescent="0.3">
      <c r="A60" s="6">
        <v>7411</v>
      </c>
      <c r="B60" s="7" t="s">
        <v>37</v>
      </c>
      <c r="C60" s="302">
        <f>'1 Administrasjon'!BC54</f>
        <v>0</v>
      </c>
      <c r="D60" s="302">
        <f>'2 Ekstern kommunikasjon'!X46</f>
        <v>0</v>
      </c>
      <c r="E60" s="302">
        <f>'3 Forbundsutvikling'!AB44</f>
        <v>0</v>
      </c>
      <c r="F60" s="302">
        <f>SUM('4. Utvilklingstiltak'!BA50)</f>
        <v>8000</v>
      </c>
      <c r="G60" s="302">
        <f>'5 Klubbutvikling'!AN43</f>
        <v>0</v>
      </c>
      <c r="H60" s="302">
        <f>'6 Barn og Ungdom'!AN44</f>
        <v>0</v>
      </c>
      <c r="I60" s="302">
        <f>'7 Konkurranse'!AR57</f>
        <v>0</v>
      </c>
      <c r="J60" s="302">
        <f>'8 Eliteaktivitet'!AR47</f>
        <v>0</v>
      </c>
      <c r="K60" s="302">
        <f>'9 Anlegg og infrastruktur'!X45</f>
        <v>0</v>
      </c>
      <c r="L60" s="303">
        <f t="shared" si="0"/>
        <v>8000</v>
      </c>
    </row>
    <row r="61" spans="1:12" x14ac:dyDescent="0.3">
      <c r="A61" s="6">
        <v>7420</v>
      </c>
      <c r="B61" s="7" t="s">
        <v>38</v>
      </c>
      <c r="C61" s="302">
        <f>SUM('1 Administrasjon'!BB57)</f>
        <v>0</v>
      </c>
      <c r="D61" s="302">
        <f>'2 Ekstern kommunikasjon'!X47</f>
        <v>0</v>
      </c>
      <c r="E61" s="302">
        <f>'3 Forbundsutvikling'!AB45</f>
        <v>0</v>
      </c>
      <c r="F61" s="302">
        <f>SUM('4. Utvilklingstiltak'!BA51)</f>
        <v>60000</v>
      </c>
      <c r="G61" s="302">
        <f>SUM('5 Klubbutvikling'!AO47)</f>
        <v>124000</v>
      </c>
      <c r="H61" s="302">
        <f>SUM('6 Barn og Ungdom'!AO48)</f>
        <v>50000</v>
      </c>
      <c r="I61" s="302">
        <f>SUM('7 Konkurranse'!AS58)</f>
        <v>50000</v>
      </c>
      <c r="J61" s="302">
        <f>'8 Eliteaktivitet'!AR48</f>
        <v>0</v>
      </c>
      <c r="K61" s="302">
        <f>SUM('9 Anlegg og infrastruktur'!Y48)</f>
        <v>150000</v>
      </c>
      <c r="L61" s="303">
        <f t="shared" si="0"/>
        <v>434000</v>
      </c>
    </row>
    <row r="62" spans="1:12" x14ac:dyDescent="0.3">
      <c r="A62" s="6">
        <v>7425</v>
      </c>
      <c r="B62" s="7" t="s">
        <v>39</v>
      </c>
      <c r="C62" s="302">
        <f>SUM('1 Administrasjon'!BC58)</f>
        <v>0</v>
      </c>
      <c r="D62" s="302">
        <f>'2 Ekstern kommunikasjon'!X48</f>
        <v>0</v>
      </c>
      <c r="E62" s="302">
        <f>SUM('3 Forbundsutvikling'!AC46)</f>
        <v>3000</v>
      </c>
      <c r="F62" s="302">
        <f>'4. Utvilklingstiltak'!AZ52</f>
        <v>0</v>
      </c>
      <c r="G62" s="302">
        <f>'5 Klubbutvikling'!AN48</f>
        <v>0</v>
      </c>
      <c r="H62" s="302">
        <f>'6 Barn og Ungdom'!AN49</f>
        <v>0</v>
      </c>
      <c r="I62" s="302">
        <f>SUM('7 Konkurranse'!AS61)</f>
        <v>20000</v>
      </c>
      <c r="J62" s="302">
        <f>'8 Eliteaktivitet'!AR49</f>
        <v>0</v>
      </c>
      <c r="K62" s="302">
        <f>'9 Anlegg og infrastruktur'!X49</f>
        <v>0</v>
      </c>
      <c r="L62" s="303">
        <f t="shared" si="0"/>
        <v>23000</v>
      </c>
    </row>
    <row r="63" spans="1:12" hidden="1" x14ac:dyDescent="0.3">
      <c r="A63" s="6">
        <v>7430</v>
      </c>
      <c r="B63" s="7" t="s">
        <v>40</v>
      </c>
      <c r="C63" s="302">
        <f>'1 Administrasjon'!BC59</f>
        <v>0</v>
      </c>
      <c r="D63" s="302">
        <f>'2 Ekstern kommunikasjon'!X49</f>
        <v>0</v>
      </c>
      <c r="E63" s="302">
        <f>'3 Forbundsutvikling'!AB47</f>
        <v>0</v>
      </c>
      <c r="F63" s="302">
        <f>'4. Utvilklingstiltak'!AZ53</f>
        <v>0</v>
      </c>
      <c r="G63" s="302">
        <f>'5 Klubbutvikling'!AN49</f>
        <v>0</v>
      </c>
      <c r="H63" s="302">
        <f>'6 Barn og Ungdom'!AN50</f>
        <v>0</v>
      </c>
      <c r="I63" s="302">
        <f>'7 Konkurranse'!AR60</f>
        <v>0</v>
      </c>
      <c r="J63" s="302">
        <f>'8 Eliteaktivitet'!AR50</f>
        <v>0</v>
      </c>
      <c r="K63" s="302">
        <f>'9 Anlegg og infrastruktur'!X50</f>
        <v>0</v>
      </c>
      <c r="L63" s="303">
        <f t="shared" si="0"/>
        <v>0</v>
      </c>
    </row>
    <row r="64" spans="1:12" x14ac:dyDescent="0.3">
      <c r="A64" s="6">
        <v>7500</v>
      </c>
      <c r="B64" s="7" t="s">
        <v>41</v>
      </c>
      <c r="C64" s="302">
        <f>'1 Administrasjon'!BC60</f>
        <v>0</v>
      </c>
      <c r="D64" s="302">
        <f>'2 Ekstern kommunikasjon'!X50</f>
        <v>0</v>
      </c>
      <c r="E64" s="302">
        <f>'3 Forbundsutvikling'!AB48</f>
        <v>0</v>
      </c>
      <c r="F64" s="302">
        <f>'4. Utvilklingstiltak'!AZ54</f>
        <v>0</v>
      </c>
      <c r="G64" s="302">
        <f>'5 Klubbutvikling'!AN50</f>
        <v>0</v>
      </c>
      <c r="H64" s="302">
        <f>'6 Barn og Ungdom'!AN51</f>
        <v>0</v>
      </c>
      <c r="I64" s="302">
        <f>SUM('7 Konkurranse'!AS62)</f>
        <v>21000</v>
      </c>
      <c r="J64" s="302">
        <f>'8 Eliteaktivitet'!AR51</f>
        <v>0</v>
      </c>
      <c r="K64" s="302">
        <f>'9 Anlegg og infrastruktur'!X51</f>
        <v>0</v>
      </c>
      <c r="L64" s="303">
        <f t="shared" si="0"/>
        <v>21000</v>
      </c>
    </row>
    <row r="65" spans="1:12" hidden="1" x14ac:dyDescent="0.3">
      <c r="A65" s="6">
        <v>7746</v>
      </c>
      <c r="B65" s="7" t="s">
        <v>42</v>
      </c>
      <c r="C65" s="302">
        <f>'1 Administrasjon'!BC61</f>
        <v>0</v>
      </c>
      <c r="D65" s="302">
        <f>'2 Ekstern kommunikasjon'!X51</f>
        <v>0</v>
      </c>
      <c r="E65" s="302">
        <f>'3 Forbundsutvikling'!AB49</f>
        <v>0</v>
      </c>
      <c r="F65" s="302">
        <f>'4. Utvilklingstiltak'!AZ55</f>
        <v>0</v>
      </c>
      <c r="G65" s="302">
        <f>'5 Klubbutvikling'!AN51</f>
        <v>0</v>
      </c>
      <c r="H65" s="302">
        <f>'6 Barn og Ungdom'!AN52</f>
        <v>0</v>
      </c>
      <c r="I65" s="302">
        <f>'7 Konkurranse'!AR63</f>
        <v>0</v>
      </c>
      <c r="J65" s="302">
        <f>'8 Eliteaktivitet'!AR52</f>
        <v>0</v>
      </c>
      <c r="K65" s="302">
        <f>'9 Anlegg og infrastruktur'!X52</f>
        <v>0</v>
      </c>
      <c r="L65" s="303">
        <f t="shared" si="0"/>
        <v>0</v>
      </c>
    </row>
    <row r="66" spans="1:12" x14ac:dyDescent="0.3">
      <c r="A66" s="6">
        <v>7770</v>
      </c>
      <c r="B66" s="7" t="s">
        <v>43</v>
      </c>
      <c r="C66" s="302">
        <f>SUM('1 Administrasjon'!BD62)</f>
        <v>3000</v>
      </c>
      <c r="D66" s="302">
        <f>'2 Ekstern kommunikasjon'!X52</f>
        <v>0</v>
      </c>
      <c r="E66" s="302">
        <f>'3 Forbundsutvikling'!AB50</f>
        <v>0</v>
      </c>
      <c r="F66" s="302">
        <f>'4. Utvilklingstiltak'!AZ56</f>
        <v>0</v>
      </c>
      <c r="G66" s="302">
        <f>'5 Klubbutvikling'!AN52</f>
        <v>0</v>
      </c>
      <c r="H66" s="302">
        <f>'6 Barn og Ungdom'!AN53</f>
        <v>0</v>
      </c>
      <c r="I66" s="302">
        <f>'7 Konkurranse'!AR64</f>
        <v>0</v>
      </c>
      <c r="J66" s="302">
        <f>'8 Eliteaktivitet'!AR53</f>
        <v>0</v>
      </c>
      <c r="K66" s="302">
        <f>'9 Anlegg og infrastruktur'!X53</f>
        <v>0</v>
      </c>
      <c r="L66" s="303">
        <f t="shared" si="0"/>
        <v>3000</v>
      </c>
    </row>
    <row r="67" spans="1:12" x14ac:dyDescent="0.3">
      <c r="A67" s="6">
        <v>7775</v>
      </c>
      <c r="B67" s="7" t="s">
        <v>44</v>
      </c>
      <c r="C67" s="302">
        <f>SUM('1 Administrasjon'!BC64)</f>
        <v>0</v>
      </c>
      <c r="D67" s="302">
        <f>'2 Ekstern kommunikasjon'!X53</f>
        <v>0</v>
      </c>
      <c r="E67" s="302">
        <f>'3 Forbundsutvikling'!AB51</f>
        <v>0</v>
      </c>
      <c r="F67" s="302">
        <f>'4. Utvilklingstiltak'!AZ57</f>
        <v>0</v>
      </c>
      <c r="G67" s="302">
        <f>'5 Klubbutvikling'!AN53</f>
        <v>0</v>
      </c>
      <c r="H67" s="302">
        <f>'6 Barn og Ungdom'!AN54</f>
        <v>0</v>
      </c>
      <c r="I67" s="302">
        <f>SUM('7 Konkurranse'!AS66)</f>
        <v>500</v>
      </c>
      <c r="J67" s="302">
        <f>SUM('8 Eliteaktivitet'!AR56)</f>
        <v>0</v>
      </c>
      <c r="K67" s="302">
        <f>'9 Anlegg og infrastruktur'!X54</f>
        <v>0</v>
      </c>
      <c r="L67" s="303">
        <f t="shared" ref="L67:L73" si="2">SUM(C67:K67)</f>
        <v>500</v>
      </c>
    </row>
    <row r="68" spans="1:12" hidden="1" x14ac:dyDescent="0.3">
      <c r="A68" s="6">
        <v>7790</v>
      </c>
      <c r="B68" s="7" t="s">
        <v>285</v>
      </c>
      <c r="C68" s="302">
        <f>SUM('1 Administrasjon'!BC65)</f>
        <v>0</v>
      </c>
      <c r="D68" s="302"/>
      <c r="E68" s="302"/>
      <c r="F68" s="302"/>
      <c r="G68" s="302"/>
      <c r="H68" s="302"/>
      <c r="I68" s="302"/>
      <c r="J68" s="302"/>
      <c r="K68" s="302"/>
      <c r="L68" s="303">
        <f t="shared" si="2"/>
        <v>0</v>
      </c>
    </row>
    <row r="69" spans="1:12" hidden="1" x14ac:dyDescent="0.3">
      <c r="A69" s="6">
        <v>7830</v>
      </c>
      <c r="B69" s="7" t="s">
        <v>286</v>
      </c>
      <c r="C69" s="302">
        <f>SUM('1 Administrasjon'!BC66)</f>
        <v>0</v>
      </c>
      <c r="D69" s="302"/>
      <c r="E69" s="302"/>
      <c r="F69" s="302"/>
      <c r="G69" s="302"/>
      <c r="H69" s="302"/>
      <c r="I69" s="302">
        <f>SUM('7 Konkurranse'!AR67)</f>
        <v>0</v>
      </c>
      <c r="J69" s="302">
        <f>SUM('8 Eliteaktivitet'!AR57)</f>
        <v>0</v>
      </c>
      <c r="K69" s="302"/>
      <c r="L69" s="303">
        <f t="shared" si="2"/>
        <v>0</v>
      </c>
    </row>
    <row r="70" spans="1:12" ht="14.4" customHeight="1" thickBot="1" x14ac:dyDescent="0.35">
      <c r="A70" s="6">
        <v>8040</v>
      </c>
      <c r="B70" s="7" t="s">
        <v>287</v>
      </c>
      <c r="C70" s="302">
        <f>SUM('1 Administrasjon'!BD67)</f>
        <v>-9000</v>
      </c>
      <c r="D70" s="302"/>
      <c r="E70" s="302"/>
      <c r="F70" s="302"/>
      <c r="G70" s="302"/>
      <c r="H70" s="302"/>
      <c r="I70" s="302"/>
      <c r="J70" s="302"/>
      <c r="K70" s="302"/>
      <c r="L70" s="303">
        <f t="shared" si="2"/>
        <v>-9000</v>
      </c>
    </row>
    <row r="71" spans="1:12" ht="15" hidden="1" thickBot="1" x14ac:dyDescent="0.35">
      <c r="A71" s="8">
        <v>8170</v>
      </c>
      <c r="B71" s="9" t="s">
        <v>288</v>
      </c>
      <c r="C71" s="306">
        <f>SUM('1 Administrasjon'!BC68)</f>
        <v>0</v>
      </c>
      <c r="D71" s="306"/>
      <c r="E71" s="306"/>
      <c r="F71" s="306"/>
      <c r="G71" s="306"/>
      <c r="H71" s="306"/>
      <c r="I71" s="306"/>
      <c r="J71" s="306"/>
      <c r="K71" s="306"/>
      <c r="L71" s="307">
        <f t="shared" si="2"/>
        <v>0</v>
      </c>
    </row>
    <row r="72" spans="1:12" ht="15" thickBot="1" x14ac:dyDescent="0.35">
      <c r="A72" s="13"/>
      <c r="B72" s="301" t="s">
        <v>74</v>
      </c>
      <c r="C72" s="92">
        <f t="shared" ref="C72:L72" si="3">SUM(C18:C71)</f>
        <v>563933.520915</v>
      </c>
      <c r="D72" s="92">
        <f t="shared" si="3"/>
        <v>61000</v>
      </c>
      <c r="E72" s="92">
        <f t="shared" si="3"/>
        <v>106830</v>
      </c>
      <c r="F72" s="92">
        <f t="shared" si="3"/>
        <v>393707.06877449999</v>
      </c>
      <c r="G72" s="92">
        <f t="shared" si="3"/>
        <v>124000</v>
      </c>
      <c r="H72" s="92">
        <f t="shared" si="3"/>
        <v>332696.86877449998</v>
      </c>
      <c r="I72" s="92">
        <f>SUM(I18:I71)</f>
        <v>385049.59586600005</v>
      </c>
      <c r="J72" s="92">
        <f t="shared" si="3"/>
        <v>325209.71999999997</v>
      </c>
      <c r="K72" s="92">
        <f t="shared" si="3"/>
        <v>150000</v>
      </c>
      <c r="L72" s="180">
        <f t="shared" si="3"/>
        <v>2442426.7743299999</v>
      </c>
    </row>
    <row r="73" spans="1:12" ht="15" thickBot="1" x14ac:dyDescent="0.35">
      <c r="B73" s="26" t="s">
        <v>373</v>
      </c>
      <c r="C73" s="310">
        <f t="shared" ref="C73:K73" si="4">C17-C72</f>
        <v>1333622.479085</v>
      </c>
      <c r="D73" s="310">
        <f t="shared" si="4"/>
        <v>-34500</v>
      </c>
      <c r="E73" s="310">
        <f t="shared" si="4"/>
        <v>-103830</v>
      </c>
      <c r="F73" s="310">
        <f t="shared" si="4"/>
        <v>-393707.06877449999</v>
      </c>
      <c r="G73" s="310">
        <f t="shared" si="4"/>
        <v>-124000</v>
      </c>
      <c r="H73" s="310">
        <f t="shared" si="4"/>
        <v>-332696.86877449998</v>
      </c>
      <c r="I73" s="310">
        <f t="shared" si="4"/>
        <v>-260449.59586600005</v>
      </c>
      <c r="J73" s="310">
        <f t="shared" si="4"/>
        <v>-277209.71999999997</v>
      </c>
      <c r="K73" s="310">
        <f t="shared" si="4"/>
        <v>-150000</v>
      </c>
      <c r="L73" s="311">
        <f t="shared" si="2"/>
        <v>-342770.77432999993</v>
      </c>
    </row>
  </sheetData>
  <sheetProtection algorithmName="SHA-512" hashValue="JBFiiMC/mRkxwkNib4n1B9PA8svGGyVp/+1v5GlkkvNu6ctYhXSI1oihOhpBd4vS63T1OoNjrAGfegjz4vetoA==" saltValue="cqGFp/jZEO5ybSmyZ3ugbw==" spinCount="100000" sheet="1" objects="1" scenarios="1"/>
  <pageMargins left="0.31496062992125984" right="0.31496062992125984" top="0" bottom="0" header="0" footer="0"/>
  <pageSetup paperSize="9" scale="7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84"/>
  <sheetViews>
    <sheetView zoomScale="70" zoomScaleNormal="70" zoomScalePageLayoutView="90" workbookViewId="0">
      <pane xSplit="3" topLeftCell="AD1" activePane="topRight" state="frozen"/>
      <selection pane="topRight" activeCell="BC2" sqref="BC2"/>
    </sheetView>
  </sheetViews>
  <sheetFormatPr baseColWidth="10" defaultColWidth="11.44140625" defaultRowHeight="14.4" x14ac:dyDescent="0.3"/>
  <cols>
    <col min="1" max="1" width="9.44140625" bestFit="1" customWidth="1"/>
    <col min="2" max="2" width="8.5546875" bestFit="1" customWidth="1"/>
    <col min="3" max="3" width="37.5546875" bestFit="1" customWidth="1"/>
    <col min="4" max="4" width="17.109375" bestFit="1" customWidth="1"/>
    <col min="5" max="5" width="26" style="104" customWidth="1"/>
    <col min="6" max="6" width="19.109375" bestFit="1" customWidth="1"/>
    <col min="7" max="7" width="4.5546875" customWidth="1"/>
    <col min="8" max="8" width="17.109375" bestFit="1" customWidth="1"/>
    <col min="9" max="9" width="26.109375" style="104" customWidth="1"/>
    <col min="10" max="10" width="19.109375" bestFit="1" customWidth="1"/>
    <col min="11" max="11" width="4.5546875" customWidth="1"/>
    <col min="12" max="12" width="17.109375" bestFit="1" customWidth="1"/>
    <col min="13" max="13" width="31" bestFit="1" customWidth="1"/>
    <col min="14" max="14" width="19.109375" bestFit="1" customWidth="1"/>
    <col min="15" max="15" width="7.5546875" bestFit="1" customWidth="1"/>
    <col min="16" max="16" width="17.109375" bestFit="1" customWidth="1"/>
    <col min="17" max="17" width="16.88671875" bestFit="1" customWidth="1"/>
    <col min="18" max="18" width="19.109375" bestFit="1" customWidth="1"/>
    <col min="19" max="19" width="7.5546875" customWidth="1"/>
    <col min="20" max="20" width="17.109375" bestFit="1" customWidth="1"/>
    <col min="21" max="21" width="16.88671875" bestFit="1" customWidth="1"/>
    <col min="22" max="22" width="19.109375" bestFit="1" customWidth="1"/>
    <col min="23" max="23" width="7.5546875" customWidth="1"/>
    <col min="24" max="24" width="17.109375" bestFit="1" customWidth="1"/>
    <col min="25" max="25" width="16.88671875" bestFit="1" customWidth="1"/>
    <col min="26" max="26" width="19.109375" bestFit="1" customWidth="1"/>
    <col min="27" max="27" width="7.5546875" customWidth="1"/>
    <col min="28" max="28" width="17.109375" bestFit="1" customWidth="1"/>
    <col min="29" max="29" width="16.88671875" bestFit="1" customWidth="1"/>
    <col min="30" max="30" width="19.109375" bestFit="1" customWidth="1"/>
    <col min="31" max="31" width="4.5546875" customWidth="1"/>
    <col min="32" max="32" width="17.109375" bestFit="1" customWidth="1"/>
    <col min="33" max="33" width="16.44140625" bestFit="1" customWidth="1"/>
    <col min="34" max="34" width="19.109375" bestFit="1" customWidth="1"/>
    <col min="35" max="35" width="7.5546875" bestFit="1" customWidth="1"/>
    <col min="36" max="36" width="17.109375" bestFit="1" customWidth="1"/>
    <col min="37" max="37" width="24.44140625" bestFit="1" customWidth="1"/>
    <col min="38" max="38" width="19.109375" bestFit="1" customWidth="1"/>
    <col min="39" max="39" width="4" customWidth="1"/>
    <col min="40" max="40" width="17.109375" bestFit="1" customWidth="1"/>
    <col min="41" max="41" width="16.44140625" bestFit="1" customWidth="1"/>
    <col min="42" max="42" width="19.109375" bestFit="1" customWidth="1"/>
    <col min="43" max="43" width="4.5546875" customWidth="1"/>
    <col min="44" max="44" width="17.109375" bestFit="1" customWidth="1"/>
    <col min="45" max="45" width="16.44140625" bestFit="1" customWidth="1"/>
    <col min="46" max="46" width="19.109375" bestFit="1" customWidth="1"/>
    <col min="47" max="47" width="4.5546875" customWidth="1"/>
    <col min="48" max="48" width="17.109375" customWidth="1"/>
    <col min="49" max="49" width="16.44140625" customWidth="1"/>
    <col min="50" max="50" width="19.109375" customWidth="1"/>
    <col min="51" max="51" width="4.5546875" customWidth="1"/>
    <col min="52" max="52" width="17.109375" customWidth="1"/>
    <col min="53" max="53" width="16.44140625" customWidth="1"/>
    <col min="54" max="54" width="19.109375" customWidth="1"/>
    <col min="55" max="55" width="16.5546875" bestFit="1" customWidth="1"/>
    <col min="56" max="56" width="16.5546875" customWidth="1"/>
    <col min="57" max="57" width="8.5546875" bestFit="1" customWidth="1"/>
    <col min="58" max="58" width="16.33203125" bestFit="1" customWidth="1"/>
  </cols>
  <sheetData>
    <row r="1" spans="1:58" ht="36.6" customHeight="1" thickBot="1" x14ac:dyDescent="0.35">
      <c r="A1" s="33"/>
      <c r="B1" s="341" t="s">
        <v>76</v>
      </c>
      <c r="C1" s="341"/>
      <c r="D1" s="19">
        <v>10000</v>
      </c>
      <c r="E1" s="344" t="s">
        <v>53</v>
      </c>
      <c r="F1" s="345"/>
      <c r="G1" s="1"/>
      <c r="H1" s="19">
        <v>11000</v>
      </c>
      <c r="I1" s="344" t="s">
        <v>277</v>
      </c>
      <c r="J1" s="345" t="s">
        <v>54</v>
      </c>
      <c r="K1" s="1"/>
      <c r="L1" s="19">
        <v>12000</v>
      </c>
      <c r="M1" s="344" t="s">
        <v>55</v>
      </c>
      <c r="N1" s="345"/>
      <c r="O1" s="1"/>
      <c r="P1" s="19">
        <v>13000</v>
      </c>
      <c r="Q1" s="344" t="s">
        <v>289</v>
      </c>
      <c r="R1" s="345"/>
      <c r="S1" s="1"/>
      <c r="T1" s="19">
        <v>13001</v>
      </c>
      <c r="U1" s="344" t="s">
        <v>290</v>
      </c>
      <c r="V1" s="345"/>
      <c r="W1" s="1"/>
      <c r="X1" s="19">
        <v>14000</v>
      </c>
      <c r="Y1" s="344" t="s">
        <v>291</v>
      </c>
      <c r="Z1" s="345"/>
      <c r="AA1" s="1"/>
      <c r="AB1" s="19">
        <v>19001</v>
      </c>
      <c r="AC1" s="344" t="s">
        <v>225</v>
      </c>
      <c r="AD1" s="345"/>
      <c r="AE1" s="1"/>
      <c r="AF1" s="19">
        <v>19002</v>
      </c>
      <c r="AG1" s="344" t="s">
        <v>226</v>
      </c>
      <c r="AH1" s="345"/>
      <c r="AJ1" s="19">
        <v>19003</v>
      </c>
      <c r="AK1" s="347" t="s">
        <v>144</v>
      </c>
      <c r="AL1" s="348"/>
      <c r="AN1" s="19">
        <v>19004</v>
      </c>
      <c r="AO1" s="344" t="s">
        <v>136</v>
      </c>
      <c r="AP1" s="345"/>
      <c r="AQ1" s="1"/>
      <c r="AR1" s="19">
        <v>19005</v>
      </c>
      <c r="AS1" s="344" t="s">
        <v>174</v>
      </c>
      <c r="AT1" s="345"/>
      <c r="AU1" s="1"/>
      <c r="AV1" s="19">
        <v>19006</v>
      </c>
      <c r="AW1" s="344" t="s">
        <v>212</v>
      </c>
      <c r="AX1" s="345"/>
      <c r="AY1" s="1"/>
      <c r="AZ1" s="19">
        <v>19007</v>
      </c>
      <c r="BA1" s="344" t="s">
        <v>213</v>
      </c>
      <c r="BB1" s="345"/>
    </row>
    <row r="2" spans="1:58" ht="15" thickBot="1" x14ac:dyDescent="0.35">
      <c r="A2" s="32"/>
      <c r="B2" s="341" t="s">
        <v>75</v>
      </c>
      <c r="C2" s="341"/>
      <c r="D2" s="14"/>
      <c r="E2" s="138"/>
      <c r="F2" s="16"/>
      <c r="G2" s="2"/>
      <c r="H2" s="14"/>
      <c r="I2" s="138"/>
      <c r="J2" s="16"/>
      <c r="K2" s="2"/>
      <c r="L2" s="14"/>
      <c r="M2" s="15"/>
      <c r="N2" s="16"/>
      <c r="O2" s="2"/>
      <c r="P2" s="14"/>
      <c r="Q2" s="15"/>
      <c r="R2" s="16"/>
      <c r="S2" s="2"/>
      <c r="T2" s="14"/>
      <c r="U2" s="15"/>
      <c r="V2" s="16"/>
      <c r="W2" s="2"/>
      <c r="X2" s="14"/>
      <c r="Y2" s="15"/>
      <c r="Z2" s="16"/>
      <c r="AA2" s="2"/>
      <c r="AB2" s="14"/>
      <c r="AC2" s="15"/>
      <c r="AD2" s="16"/>
      <c r="AE2" s="2"/>
      <c r="AF2" s="14"/>
      <c r="AG2" s="15"/>
      <c r="AH2" s="16"/>
      <c r="AJ2" s="14"/>
      <c r="AK2" s="15"/>
      <c r="AL2" s="16"/>
      <c r="AN2" s="14"/>
      <c r="AO2" s="15"/>
      <c r="AP2" s="16"/>
      <c r="AQ2" s="2"/>
      <c r="AR2" s="14"/>
      <c r="AS2" s="15"/>
      <c r="AT2" s="16"/>
      <c r="AU2" s="2"/>
      <c r="AV2" s="14"/>
      <c r="AW2" s="15"/>
      <c r="AX2" s="16"/>
      <c r="AY2" s="2"/>
      <c r="AZ2" s="14"/>
      <c r="BA2" s="15"/>
      <c r="BB2" s="261"/>
      <c r="BC2" s="94" t="s">
        <v>52</v>
      </c>
      <c r="BD2" s="94" t="s">
        <v>52</v>
      </c>
    </row>
    <row r="3" spans="1:58" ht="15" thickBot="1" x14ac:dyDescent="0.35">
      <c r="B3" s="3" t="s">
        <v>0</v>
      </c>
      <c r="C3" s="18" t="s">
        <v>47</v>
      </c>
      <c r="D3" s="29" t="s">
        <v>342</v>
      </c>
      <c r="E3" s="139" t="s">
        <v>70</v>
      </c>
      <c r="F3" s="31" t="s">
        <v>343</v>
      </c>
      <c r="G3" s="4"/>
      <c r="H3" s="29" t="s">
        <v>344</v>
      </c>
      <c r="I3" s="139" t="s">
        <v>70</v>
      </c>
      <c r="J3" s="31" t="s">
        <v>343</v>
      </c>
      <c r="K3" s="4"/>
      <c r="L3" s="29" t="s">
        <v>342</v>
      </c>
      <c r="M3" s="30" t="s">
        <v>70</v>
      </c>
      <c r="N3" s="31" t="s">
        <v>343</v>
      </c>
      <c r="O3" s="4"/>
      <c r="P3" s="29" t="s">
        <v>342</v>
      </c>
      <c r="Q3" s="30" t="s">
        <v>70</v>
      </c>
      <c r="R3" s="31" t="s">
        <v>343</v>
      </c>
      <c r="S3" s="4"/>
      <c r="T3" s="29" t="s">
        <v>344</v>
      </c>
      <c r="U3" s="30" t="s">
        <v>70</v>
      </c>
      <c r="V3" s="31" t="s">
        <v>343</v>
      </c>
      <c r="W3" s="4"/>
      <c r="X3" s="29" t="s">
        <v>344</v>
      </c>
      <c r="Y3" s="30" t="s">
        <v>70</v>
      </c>
      <c r="Z3" s="31" t="s">
        <v>343</v>
      </c>
      <c r="AA3" s="4"/>
      <c r="AB3" s="29" t="s">
        <v>344</v>
      </c>
      <c r="AC3" s="30" t="s">
        <v>70</v>
      </c>
      <c r="AD3" s="31" t="s">
        <v>343</v>
      </c>
      <c r="AE3" s="4"/>
      <c r="AF3" s="29" t="s">
        <v>344</v>
      </c>
      <c r="AG3" s="30" t="s">
        <v>70</v>
      </c>
      <c r="AH3" s="31" t="s">
        <v>343</v>
      </c>
      <c r="AJ3" s="29" t="s">
        <v>344</v>
      </c>
      <c r="AK3" s="30" t="s">
        <v>70</v>
      </c>
      <c r="AL3" s="31" t="s">
        <v>343</v>
      </c>
      <c r="AN3" s="29" t="s">
        <v>344</v>
      </c>
      <c r="AO3" s="30" t="s">
        <v>70</v>
      </c>
      <c r="AP3" s="31" t="s">
        <v>343</v>
      </c>
      <c r="AQ3" s="4"/>
      <c r="AR3" s="29" t="s">
        <v>342</v>
      </c>
      <c r="AS3" s="30" t="s">
        <v>70</v>
      </c>
      <c r="AT3" s="31" t="s">
        <v>343</v>
      </c>
      <c r="AU3" s="4"/>
      <c r="AV3" s="29" t="s">
        <v>342</v>
      </c>
      <c r="AW3" s="30" t="s">
        <v>70</v>
      </c>
      <c r="AX3" s="31" t="s">
        <v>343</v>
      </c>
      <c r="AY3" s="4"/>
      <c r="AZ3" s="29" t="s">
        <v>342</v>
      </c>
      <c r="BA3" s="30" t="s">
        <v>70</v>
      </c>
      <c r="BB3" s="262" t="s">
        <v>343</v>
      </c>
      <c r="BC3" s="254" t="s">
        <v>367</v>
      </c>
      <c r="BD3" s="254" t="s">
        <v>368</v>
      </c>
      <c r="BE3" s="263" t="s">
        <v>0</v>
      </c>
      <c r="BF3" s="222"/>
    </row>
    <row r="4" spans="1:58" ht="15" thickBot="1" x14ac:dyDescent="0.35">
      <c r="A4" s="5" t="s">
        <v>45</v>
      </c>
      <c r="B4" s="6">
        <v>3100</v>
      </c>
      <c r="C4" s="17" t="s">
        <v>3</v>
      </c>
      <c r="D4" s="80">
        <v>0</v>
      </c>
      <c r="E4" s="93"/>
      <c r="F4" s="82"/>
      <c r="H4" s="80"/>
      <c r="I4" s="93"/>
      <c r="J4" s="82"/>
      <c r="K4" s="83"/>
      <c r="L4" s="80"/>
      <c r="M4" s="81"/>
      <c r="N4" s="82"/>
      <c r="O4" s="83"/>
      <c r="P4" s="80"/>
      <c r="Q4" s="81"/>
      <c r="R4" s="82"/>
      <c r="S4" s="83"/>
      <c r="T4" s="80"/>
      <c r="U4" s="81"/>
      <c r="V4" s="82"/>
      <c r="W4" s="83"/>
      <c r="X4" s="80"/>
      <c r="Y4" s="81"/>
      <c r="Z4" s="82"/>
      <c r="AA4" s="83"/>
      <c r="AB4" s="80"/>
      <c r="AC4" s="81"/>
      <c r="AD4" s="82"/>
      <c r="AE4" s="83"/>
      <c r="AF4" s="80"/>
      <c r="AG4" s="81"/>
      <c r="AH4" s="82"/>
      <c r="AI4" s="83"/>
      <c r="AJ4" s="80"/>
      <c r="AK4" s="81"/>
      <c r="AL4" s="82"/>
      <c r="AM4" s="83"/>
      <c r="AN4" s="80"/>
      <c r="AO4" s="81"/>
      <c r="AP4" s="82"/>
      <c r="AQ4" s="83"/>
      <c r="AR4" s="80"/>
      <c r="AS4" s="81"/>
      <c r="AT4" s="82"/>
      <c r="AV4" s="80"/>
      <c r="AW4" s="81"/>
      <c r="AX4" s="82"/>
      <c r="AY4" s="83"/>
      <c r="AZ4" s="80"/>
      <c r="BA4" s="81"/>
      <c r="BB4" s="232"/>
      <c r="BC4" s="264">
        <f>SUM(F4+J4+N4+R4+V4+Z4+AD4+AH4+AL4+AP4+AT4+AX4+BB4)</f>
        <v>0</v>
      </c>
      <c r="BD4" s="265">
        <f>SUM(D4+H4+L4+P4+T4+X4+AB4+AF4+AJ4+AN4+AR4+AV4+AZ4)</f>
        <v>0</v>
      </c>
      <c r="BE4" s="256">
        <v>3100</v>
      </c>
    </row>
    <row r="5" spans="1:58" x14ac:dyDescent="0.3">
      <c r="B5" s="6">
        <v>3120</v>
      </c>
      <c r="C5" s="7" t="s">
        <v>4</v>
      </c>
      <c r="D5" s="80">
        <v>0</v>
      </c>
      <c r="E5" s="93"/>
      <c r="F5" s="82"/>
      <c r="H5" s="80"/>
      <c r="I5" s="93"/>
      <c r="J5" s="82"/>
      <c r="K5" s="83"/>
      <c r="L5" s="80"/>
      <c r="M5" s="81"/>
      <c r="N5" s="82"/>
      <c r="O5" s="83"/>
      <c r="P5" s="80"/>
      <c r="Q5" s="81"/>
      <c r="R5" s="82"/>
      <c r="S5" s="83"/>
      <c r="T5" s="80"/>
      <c r="U5" s="81"/>
      <c r="V5" s="82"/>
      <c r="W5" s="83"/>
      <c r="X5" s="80"/>
      <c r="Y5" s="81"/>
      <c r="Z5" s="82"/>
      <c r="AA5" s="83"/>
      <c r="AB5" s="80"/>
      <c r="AC5" s="81"/>
      <c r="AD5" s="82"/>
      <c r="AE5" s="83"/>
      <c r="AF5" s="80"/>
      <c r="AG5" s="81"/>
      <c r="AH5" s="82"/>
      <c r="AI5" s="83"/>
      <c r="AJ5" s="80"/>
      <c r="AK5" s="81"/>
      <c r="AL5" s="82"/>
      <c r="AM5" s="83"/>
      <c r="AN5" s="80"/>
      <c r="AO5" s="81"/>
      <c r="AP5" s="82"/>
      <c r="AQ5" s="83"/>
      <c r="AR5" s="80"/>
      <c r="AS5" s="81"/>
      <c r="AT5" s="82"/>
      <c r="AV5" s="80"/>
      <c r="AW5" s="81"/>
      <c r="AX5" s="82"/>
      <c r="AY5" s="83"/>
      <c r="AZ5" s="80"/>
      <c r="BA5" s="81"/>
      <c r="BB5" s="232"/>
      <c r="BC5" s="264">
        <f t="shared" ref="BC5" si="0">SUM(F5+J5+N5+R5+V5+Z5+AD5+AH5+AL5+AP5+AT5+AX5+BB5)</f>
        <v>0</v>
      </c>
      <c r="BD5" s="265">
        <f t="shared" ref="BD5" si="1">SUM(D5+H5+L5+P5+T5+X5+AB5+AF5+AJ5+AN5+AR5+AV5+AZ5)</f>
        <v>0</v>
      </c>
      <c r="BE5" s="256">
        <v>3120</v>
      </c>
    </row>
    <row r="6" spans="1:58" x14ac:dyDescent="0.3">
      <c r="B6" s="6">
        <v>3400</v>
      </c>
      <c r="C6" s="7" t="s">
        <v>5</v>
      </c>
      <c r="D6" s="80">
        <v>0</v>
      </c>
      <c r="E6" s="93"/>
      <c r="F6" s="82"/>
      <c r="H6" s="80"/>
      <c r="I6" s="93"/>
      <c r="J6" s="82"/>
      <c r="K6" s="83"/>
      <c r="L6" s="80"/>
      <c r="M6" s="81"/>
      <c r="N6" s="82"/>
      <c r="O6" s="83"/>
      <c r="P6" s="80"/>
      <c r="Q6" s="81"/>
      <c r="R6" s="82"/>
      <c r="S6" s="83"/>
      <c r="T6" s="80"/>
      <c r="U6" s="81"/>
      <c r="V6" s="82"/>
      <c r="W6" s="83"/>
      <c r="X6" s="80"/>
      <c r="Y6" s="81"/>
      <c r="Z6" s="82"/>
      <c r="AA6" s="83"/>
      <c r="AB6" s="80"/>
      <c r="AC6" s="81"/>
      <c r="AD6" s="82"/>
      <c r="AE6" s="83"/>
      <c r="AF6" s="80">
        <v>194783</v>
      </c>
      <c r="AG6" s="81" t="s">
        <v>233</v>
      </c>
      <c r="AH6" s="82"/>
      <c r="AI6" s="83"/>
      <c r="AJ6" s="80">
        <v>550000</v>
      </c>
      <c r="AK6" s="81" t="s">
        <v>234</v>
      </c>
      <c r="AL6" s="82"/>
      <c r="AM6" s="83"/>
      <c r="AN6" s="80">
        <v>0</v>
      </c>
      <c r="AO6" s="81" t="s">
        <v>136</v>
      </c>
      <c r="AP6" s="82">
        <v>0</v>
      </c>
      <c r="AQ6" s="83"/>
      <c r="AR6" s="80"/>
      <c r="AS6" s="81"/>
      <c r="AT6" s="82"/>
      <c r="AV6" s="80"/>
      <c r="AW6" s="81"/>
      <c r="AX6" s="82"/>
      <c r="AY6" s="83"/>
      <c r="AZ6" s="80"/>
      <c r="BA6" s="81"/>
      <c r="BB6" s="232"/>
      <c r="BC6" s="264">
        <f t="shared" ref="BC6:BC68" si="2">SUM(F6+J6+N6+R6+V6+Z6+AD6+AH6+AL6+AP6+AT6+AX6+BB6)</f>
        <v>0</v>
      </c>
      <c r="BD6" s="265">
        <f t="shared" ref="BD6:BD67" si="3">SUM(D6+H6+L6+P6+T6+X6+AB6+AF6+AJ6+AN6+AR6+AV6+AZ6)</f>
        <v>744783</v>
      </c>
      <c r="BE6" s="256">
        <v>3400</v>
      </c>
    </row>
    <row r="7" spans="1:58" x14ac:dyDescent="0.3">
      <c r="B7" s="6">
        <v>3410</v>
      </c>
      <c r="C7" s="7" t="s">
        <v>6</v>
      </c>
      <c r="D7" s="80">
        <v>0</v>
      </c>
      <c r="E7" s="93"/>
      <c r="F7" s="82"/>
      <c r="H7" s="80"/>
      <c r="I7" s="93"/>
      <c r="J7" s="82"/>
      <c r="K7" s="83"/>
      <c r="L7" s="80"/>
      <c r="M7" s="81"/>
      <c r="N7" s="82"/>
      <c r="O7" s="83"/>
      <c r="P7" s="80"/>
      <c r="Q7" s="81"/>
      <c r="R7" s="82"/>
      <c r="S7" s="83"/>
      <c r="T7" s="80"/>
      <c r="U7" s="81"/>
      <c r="V7" s="82"/>
      <c r="W7" s="83"/>
      <c r="X7" s="80"/>
      <c r="Y7" s="81"/>
      <c r="Z7" s="82"/>
      <c r="AA7" s="83"/>
      <c r="AB7" s="80">
        <v>781773</v>
      </c>
      <c r="AC7" s="81" t="s">
        <v>175</v>
      </c>
      <c r="AD7" s="82"/>
      <c r="AE7" s="83"/>
      <c r="AF7" s="80"/>
      <c r="AG7" s="81"/>
      <c r="AH7" s="82"/>
      <c r="AI7" s="83"/>
      <c r="AJ7" s="80"/>
      <c r="AK7" s="81"/>
      <c r="AL7" s="82"/>
      <c r="AM7" s="83"/>
      <c r="AN7" s="80"/>
      <c r="AO7" s="81"/>
      <c r="AP7" s="82"/>
      <c r="AQ7" s="83"/>
      <c r="AR7" s="80"/>
      <c r="AS7" s="81"/>
      <c r="AT7" s="82"/>
      <c r="AV7" s="80"/>
      <c r="AW7" s="81"/>
      <c r="AX7" s="82"/>
      <c r="AY7" s="83"/>
      <c r="AZ7" s="80"/>
      <c r="BA7" s="81"/>
      <c r="BB7" s="232"/>
      <c r="BC7" s="264">
        <f t="shared" si="2"/>
        <v>0</v>
      </c>
      <c r="BD7" s="265">
        <f t="shared" si="3"/>
        <v>781773</v>
      </c>
      <c r="BE7" s="256">
        <v>3410</v>
      </c>
    </row>
    <row r="8" spans="1:58" x14ac:dyDescent="0.3">
      <c r="B8" s="6">
        <v>3900</v>
      </c>
      <c r="C8" s="7" t="s">
        <v>7</v>
      </c>
      <c r="D8" s="80">
        <v>0</v>
      </c>
      <c r="E8" s="93"/>
      <c r="F8" s="82"/>
      <c r="H8" s="80"/>
      <c r="I8" s="93"/>
      <c r="J8" s="82"/>
      <c r="K8" s="83"/>
      <c r="L8" s="80"/>
      <c r="M8" s="81"/>
      <c r="N8" s="82"/>
      <c r="O8" s="83"/>
      <c r="P8" s="80"/>
      <c r="Q8" s="81"/>
      <c r="R8" s="82"/>
      <c r="S8" s="83"/>
      <c r="T8" s="80"/>
      <c r="U8" s="81"/>
      <c r="V8" s="82"/>
      <c r="W8" s="83"/>
      <c r="X8" s="80"/>
      <c r="Y8" s="81"/>
      <c r="Z8" s="82"/>
      <c r="AA8" s="83"/>
      <c r="AB8" s="80"/>
      <c r="AC8" s="81"/>
      <c r="AD8" s="82"/>
      <c r="AE8" s="83"/>
      <c r="AF8" s="80"/>
      <c r="AG8" s="81"/>
      <c r="AH8" s="82"/>
      <c r="AI8" s="83"/>
      <c r="AJ8" s="80"/>
      <c r="AK8" s="81"/>
      <c r="AL8" s="82"/>
      <c r="AM8" s="83"/>
      <c r="AN8" s="80"/>
      <c r="AO8" s="81"/>
      <c r="AP8" s="82"/>
      <c r="AQ8" s="83"/>
      <c r="AR8" s="80"/>
      <c r="AS8" s="81"/>
      <c r="AT8" s="82"/>
      <c r="AV8" s="80"/>
      <c r="AW8" s="81"/>
      <c r="AX8" s="82"/>
      <c r="AY8" s="83"/>
      <c r="AZ8" s="80"/>
      <c r="BA8" s="81"/>
      <c r="BB8" s="232"/>
      <c r="BC8" s="264">
        <f t="shared" si="2"/>
        <v>0</v>
      </c>
      <c r="BD8" s="265">
        <f t="shared" si="3"/>
        <v>0</v>
      </c>
      <c r="BE8" s="256">
        <v>3900</v>
      </c>
    </row>
    <row r="9" spans="1:58" x14ac:dyDescent="0.3">
      <c r="B9" s="6">
        <v>3910</v>
      </c>
      <c r="C9" s="7" t="s">
        <v>8</v>
      </c>
      <c r="D9" s="80">
        <v>0</v>
      </c>
      <c r="E9" s="93"/>
      <c r="F9" s="82"/>
      <c r="H9" s="80"/>
      <c r="I9" s="93"/>
      <c r="J9" s="82"/>
      <c r="K9" s="83"/>
      <c r="L9" s="80"/>
      <c r="M9" s="81"/>
      <c r="N9" s="82"/>
      <c r="O9" s="83"/>
      <c r="P9" s="80"/>
      <c r="Q9" s="81"/>
      <c r="R9" s="82"/>
      <c r="S9" s="83"/>
      <c r="T9" s="80">
        <v>1000</v>
      </c>
      <c r="U9" s="81"/>
      <c r="V9" s="82"/>
      <c r="W9" s="83"/>
      <c r="X9" s="80"/>
      <c r="Y9" s="81"/>
      <c r="Z9" s="82"/>
      <c r="AA9" s="83"/>
      <c r="AB9" s="80"/>
      <c r="AC9" s="81"/>
      <c r="AD9" s="82"/>
      <c r="AE9" s="83"/>
      <c r="AF9" s="80"/>
      <c r="AG9" s="81"/>
      <c r="AH9" s="82"/>
      <c r="AI9" s="83"/>
      <c r="AJ9" s="80"/>
      <c r="AK9" s="81"/>
      <c r="AL9" s="82"/>
      <c r="AM9" s="83"/>
      <c r="AN9" s="80"/>
      <c r="AO9" s="81"/>
      <c r="AP9" s="82"/>
      <c r="AQ9" s="83"/>
      <c r="AR9" s="80"/>
      <c r="AS9" s="81"/>
      <c r="AT9" s="82"/>
      <c r="AV9" s="80"/>
      <c r="AW9" s="81"/>
      <c r="AX9" s="82"/>
      <c r="AY9" s="83"/>
      <c r="AZ9" s="80"/>
      <c r="BA9" s="81"/>
      <c r="BB9" s="232"/>
      <c r="BC9" s="264">
        <f t="shared" si="2"/>
        <v>0</v>
      </c>
      <c r="BD9" s="265">
        <f t="shared" si="3"/>
        <v>1000</v>
      </c>
      <c r="BE9" s="256">
        <v>3910</v>
      </c>
    </row>
    <row r="10" spans="1:58" x14ac:dyDescent="0.3">
      <c r="B10" s="6">
        <v>3950</v>
      </c>
      <c r="C10" s="7" t="s">
        <v>9</v>
      </c>
      <c r="D10" s="80">
        <v>0</v>
      </c>
      <c r="E10" s="93"/>
      <c r="F10" s="82"/>
      <c r="H10" s="80"/>
      <c r="I10" s="93"/>
      <c r="J10" s="82"/>
      <c r="K10" s="83"/>
      <c r="L10" s="80"/>
      <c r="M10" s="81"/>
      <c r="N10" s="82"/>
      <c r="O10" s="83"/>
      <c r="P10" s="80"/>
      <c r="Q10" s="81"/>
      <c r="R10" s="82"/>
      <c r="S10" s="83"/>
      <c r="T10" s="80"/>
      <c r="U10" s="81"/>
      <c r="V10" s="82"/>
      <c r="W10" s="83"/>
      <c r="X10" s="80"/>
      <c r="Y10" s="81"/>
      <c r="Z10" s="82"/>
      <c r="AA10" s="83"/>
      <c r="AB10" s="80"/>
      <c r="AC10" s="81"/>
      <c r="AD10" s="82"/>
      <c r="AE10" s="83"/>
      <c r="AF10" s="80"/>
      <c r="AG10" s="81"/>
      <c r="AH10" s="82"/>
      <c r="AI10" s="83"/>
      <c r="AJ10" s="80"/>
      <c r="AK10" s="81"/>
      <c r="AL10" s="82"/>
      <c r="AM10" s="83"/>
      <c r="AN10" s="80"/>
      <c r="AO10" s="81"/>
      <c r="AP10" s="82"/>
      <c r="AQ10" s="83"/>
      <c r="AR10" s="80"/>
      <c r="AS10" s="81"/>
      <c r="AT10" s="82"/>
      <c r="AV10" s="80">
        <v>100000</v>
      </c>
      <c r="AW10" s="81"/>
      <c r="AX10" s="82"/>
      <c r="AY10" s="83"/>
      <c r="AZ10" s="80">
        <v>20000</v>
      </c>
      <c r="BA10" s="81"/>
      <c r="BB10" s="232"/>
      <c r="BC10" s="264">
        <f t="shared" si="2"/>
        <v>0</v>
      </c>
      <c r="BD10" s="265">
        <f t="shared" si="3"/>
        <v>120000</v>
      </c>
      <c r="BE10" s="256">
        <v>3950</v>
      </c>
    </row>
    <row r="11" spans="1:58" ht="15" thickBot="1" x14ac:dyDescent="0.35">
      <c r="B11" s="6">
        <v>3951</v>
      </c>
      <c r="C11" s="7" t="s">
        <v>135</v>
      </c>
      <c r="D11" s="80">
        <v>0</v>
      </c>
      <c r="E11" s="93"/>
      <c r="F11" s="82"/>
      <c r="H11" s="80"/>
      <c r="I11" s="93"/>
      <c r="J11" s="82"/>
      <c r="K11" s="83"/>
      <c r="L11" s="80"/>
      <c r="M11" s="81"/>
      <c r="N11" s="82"/>
      <c r="O11" s="83"/>
      <c r="P11" s="80"/>
      <c r="Q11" s="81"/>
      <c r="R11" s="82"/>
      <c r="S11" s="83"/>
      <c r="T11" s="80"/>
      <c r="U11" s="81"/>
      <c r="V11" s="82"/>
      <c r="W11" s="83"/>
      <c r="X11" s="80"/>
      <c r="Y11" s="81"/>
      <c r="Z11" s="82"/>
      <c r="AA11" s="83"/>
      <c r="AB11" s="80"/>
      <c r="AC11" s="81"/>
      <c r="AD11" s="82"/>
      <c r="AE11" s="83"/>
      <c r="AF11" s="80"/>
      <c r="AG11" s="81"/>
      <c r="AH11" s="82"/>
      <c r="AI11" s="83"/>
      <c r="AJ11" s="80"/>
      <c r="AK11" s="81"/>
      <c r="AL11" s="82"/>
      <c r="AM11" s="83"/>
      <c r="AN11" s="80"/>
      <c r="AO11" s="81"/>
      <c r="AP11" s="82"/>
      <c r="AQ11" s="83"/>
      <c r="AR11" s="80">
        <v>250000</v>
      </c>
      <c r="AS11" s="81"/>
      <c r="AT11" s="82"/>
      <c r="AV11" s="80"/>
      <c r="AW11" s="81"/>
      <c r="AX11" s="82"/>
      <c r="AY11" s="83"/>
      <c r="AZ11" s="80"/>
      <c r="BA11" s="81"/>
      <c r="BB11" s="232"/>
      <c r="BC11" s="269">
        <f t="shared" si="2"/>
        <v>0</v>
      </c>
      <c r="BD11" s="268">
        <f t="shared" si="3"/>
        <v>250000</v>
      </c>
      <c r="BE11" s="256">
        <v>3951</v>
      </c>
    </row>
    <row r="12" spans="1:58" ht="15" thickBot="1" x14ac:dyDescent="0.35">
      <c r="B12" s="24"/>
      <c r="C12" s="25" t="s">
        <v>73</v>
      </c>
      <c r="D12" s="87">
        <f>SUM(D4:D11)</f>
        <v>0</v>
      </c>
      <c r="E12" s="140">
        <f>SUM(E4:E11)</f>
        <v>0</v>
      </c>
      <c r="F12" s="92"/>
      <c r="H12" s="87">
        <f>SUM(H4:H11)</f>
        <v>0</v>
      </c>
      <c r="I12" s="140">
        <f>SUM(I4:I11)</f>
        <v>0</v>
      </c>
      <c r="J12" s="92"/>
      <c r="K12" s="83"/>
      <c r="L12" s="87">
        <f>SUM(L4:L11)</f>
        <v>0</v>
      </c>
      <c r="M12" s="87">
        <f>SUM(M4:M11)</f>
        <v>0</v>
      </c>
      <c r="N12" s="92"/>
      <c r="O12" s="83"/>
      <c r="P12" s="87">
        <f>SUM(P4:P11)</f>
        <v>0</v>
      </c>
      <c r="Q12" s="87">
        <f>SUM(Q4:Q11)</f>
        <v>0</v>
      </c>
      <c r="R12" s="92"/>
      <c r="S12" s="83"/>
      <c r="T12" s="87">
        <f>SUM(T4:T11)</f>
        <v>1000</v>
      </c>
      <c r="U12" s="87">
        <f>SUM(U4:U11)</f>
        <v>0</v>
      </c>
      <c r="V12" s="92"/>
      <c r="W12" s="83"/>
      <c r="X12" s="87">
        <f>SUM(X4:X11)</f>
        <v>0</v>
      </c>
      <c r="Y12" s="87">
        <f>SUM(Y4:Y11)</f>
        <v>0</v>
      </c>
      <c r="Z12" s="92"/>
      <c r="AA12" s="83"/>
      <c r="AB12" s="87">
        <f>SUM(AB4:AB11)</f>
        <v>781773</v>
      </c>
      <c r="AC12" s="87">
        <f>SUM(AC4:AC11)</f>
        <v>0</v>
      </c>
      <c r="AD12" s="92"/>
      <c r="AE12" s="83"/>
      <c r="AF12" s="87">
        <f>SUM(AF4:AF11)</f>
        <v>194783</v>
      </c>
      <c r="AG12" s="87">
        <f>SUM(AG4:AG11)</f>
        <v>0</v>
      </c>
      <c r="AH12" s="92"/>
      <c r="AI12" s="83"/>
      <c r="AJ12" s="87">
        <f>SUM(AJ4:AJ11)</f>
        <v>550000</v>
      </c>
      <c r="AK12" s="87">
        <f>SUM(AK4:AK11)</f>
        <v>0</v>
      </c>
      <c r="AL12" s="92">
        <f>SUM(AL4:AL11)</f>
        <v>0</v>
      </c>
      <c r="AM12" s="83"/>
      <c r="AN12" s="87">
        <f>SUM(AN4:AN11)</f>
        <v>0</v>
      </c>
      <c r="AO12" s="87"/>
      <c r="AP12" s="92">
        <f>SUM(AP4:AP11)</f>
        <v>0</v>
      </c>
      <c r="AQ12" s="83"/>
      <c r="AR12" s="87">
        <f>SUM(AR4:AR11)</f>
        <v>250000</v>
      </c>
      <c r="AS12" s="87"/>
      <c r="AT12" s="92"/>
      <c r="AV12" s="87">
        <f>SUM(AV4:AV11)</f>
        <v>100000</v>
      </c>
      <c r="AW12" s="87"/>
      <c r="AX12" s="92"/>
      <c r="AY12" s="83"/>
      <c r="AZ12" s="87">
        <f>SUM(AZ4:AZ11)</f>
        <v>20000</v>
      </c>
      <c r="BA12" s="87"/>
      <c r="BB12" s="87"/>
      <c r="BC12" s="259">
        <f t="shared" si="2"/>
        <v>0</v>
      </c>
      <c r="BD12" s="260">
        <f t="shared" si="3"/>
        <v>1897556</v>
      </c>
      <c r="BE12" s="257"/>
    </row>
    <row r="13" spans="1:58" ht="15" thickBot="1" x14ac:dyDescent="0.35">
      <c r="A13" s="21" t="s">
        <v>46</v>
      </c>
      <c r="B13" s="181">
        <v>5000</v>
      </c>
      <c r="C13" s="190" t="s">
        <v>10</v>
      </c>
      <c r="D13" s="187">
        <f>Lønnsmatrise!D59</f>
        <v>233719.5</v>
      </c>
      <c r="E13" s="184"/>
      <c r="F13" s="185"/>
      <c r="H13" s="187"/>
      <c r="I13" s="184"/>
      <c r="J13" s="185"/>
      <c r="K13" s="83"/>
      <c r="L13" s="90"/>
      <c r="M13" s="81"/>
      <c r="N13" s="82"/>
      <c r="O13" s="83"/>
      <c r="P13" s="187"/>
      <c r="Q13" s="204"/>
      <c r="R13" s="185"/>
      <c r="S13" s="83"/>
      <c r="T13" s="187"/>
      <c r="U13" s="204"/>
      <c r="V13" s="185"/>
      <c r="W13" s="83"/>
      <c r="X13" s="187"/>
      <c r="Y13" s="204"/>
      <c r="Z13" s="185"/>
      <c r="AA13" s="83"/>
      <c r="AB13" s="187"/>
      <c r="AC13" s="204"/>
      <c r="AD13" s="185"/>
      <c r="AE13" s="83"/>
      <c r="AF13" s="187"/>
      <c r="AG13" s="204"/>
      <c r="AH13" s="185"/>
      <c r="AI13" s="83"/>
      <c r="AJ13" s="187"/>
      <c r="AK13" s="204"/>
      <c r="AL13" s="185"/>
      <c r="AM13" s="83"/>
      <c r="AN13" s="187"/>
      <c r="AO13" s="204"/>
      <c r="AP13" s="185"/>
      <c r="AQ13" s="83"/>
      <c r="AR13" s="187"/>
      <c r="AS13" s="204"/>
      <c r="AT13" s="185"/>
      <c r="AV13" s="187"/>
      <c r="AW13" s="204"/>
      <c r="AX13" s="185"/>
      <c r="AY13" s="83"/>
      <c r="AZ13" s="187"/>
      <c r="BA13" s="204"/>
      <c r="BB13" s="255"/>
      <c r="BC13" s="270">
        <f t="shared" si="2"/>
        <v>0</v>
      </c>
      <c r="BD13" s="271">
        <f t="shared" si="3"/>
        <v>233719.5</v>
      </c>
      <c r="BE13" s="50">
        <v>5000</v>
      </c>
    </row>
    <row r="14" spans="1:58" hidden="1" x14ac:dyDescent="0.3">
      <c r="B14" s="6">
        <v>5001</v>
      </c>
      <c r="C14" s="7" t="s">
        <v>11</v>
      </c>
      <c r="D14" s="90">
        <f>Lønnsmatrise!D60</f>
        <v>0</v>
      </c>
      <c r="E14" s="93"/>
      <c r="F14" s="82"/>
      <c r="H14" s="90"/>
      <c r="I14" s="93"/>
      <c r="J14" s="82"/>
      <c r="K14" s="83"/>
      <c r="L14" s="90"/>
      <c r="M14" s="81"/>
      <c r="N14" s="82"/>
      <c r="O14" s="83"/>
      <c r="P14" s="90"/>
      <c r="Q14" s="81"/>
      <c r="R14" s="82"/>
      <c r="S14" s="83"/>
      <c r="T14" s="90"/>
      <c r="U14" s="81"/>
      <c r="V14" s="82"/>
      <c r="W14" s="83"/>
      <c r="X14" s="90"/>
      <c r="Y14" s="81"/>
      <c r="Z14" s="82"/>
      <c r="AA14" s="83"/>
      <c r="AB14" s="90"/>
      <c r="AC14" s="81"/>
      <c r="AD14" s="82"/>
      <c r="AE14" s="83"/>
      <c r="AF14" s="90"/>
      <c r="AG14" s="81"/>
      <c r="AH14" s="82"/>
      <c r="AI14" s="83"/>
      <c r="AJ14" s="90"/>
      <c r="AK14" s="81"/>
      <c r="AL14" s="82"/>
      <c r="AM14" s="83"/>
      <c r="AN14" s="90"/>
      <c r="AO14" s="81"/>
      <c r="AP14" s="82"/>
      <c r="AQ14" s="83"/>
      <c r="AR14" s="90"/>
      <c r="AS14" s="81"/>
      <c r="AT14" s="82"/>
      <c r="AV14" s="90"/>
      <c r="AW14" s="81"/>
      <c r="AX14" s="82"/>
      <c r="AY14" s="83"/>
      <c r="AZ14" s="90"/>
      <c r="BA14" s="81"/>
      <c r="BB14" s="232"/>
      <c r="BC14" s="264">
        <f t="shared" si="2"/>
        <v>0</v>
      </c>
      <c r="BD14" s="265">
        <f t="shared" si="3"/>
        <v>0</v>
      </c>
      <c r="BE14" s="256">
        <v>5001</v>
      </c>
    </row>
    <row r="15" spans="1:58" hidden="1" x14ac:dyDescent="0.3">
      <c r="B15" s="6">
        <v>5004</v>
      </c>
      <c r="C15" s="7" t="s">
        <v>12</v>
      </c>
      <c r="D15" s="90">
        <f>Lønnsmatrise!D61</f>
        <v>0</v>
      </c>
      <c r="E15" s="93"/>
      <c r="F15" s="82"/>
      <c r="H15" s="90"/>
      <c r="I15" s="93"/>
      <c r="J15" s="82"/>
      <c r="K15" s="83"/>
      <c r="L15" s="90"/>
      <c r="M15" s="81"/>
      <c r="N15" s="82"/>
      <c r="O15" s="83"/>
      <c r="P15" s="90"/>
      <c r="Q15" s="81"/>
      <c r="R15" s="82"/>
      <c r="S15" s="83"/>
      <c r="T15" s="90"/>
      <c r="U15" s="81"/>
      <c r="V15" s="82"/>
      <c r="W15" s="83"/>
      <c r="X15" s="90"/>
      <c r="Y15" s="81"/>
      <c r="Z15" s="82"/>
      <c r="AA15" s="83"/>
      <c r="AB15" s="90"/>
      <c r="AC15" s="81"/>
      <c r="AD15" s="82"/>
      <c r="AE15" s="83"/>
      <c r="AF15" s="90"/>
      <c r="AG15" s="81"/>
      <c r="AH15" s="82"/>
      <c r="AI15" s="83"/>
      <c r="AJ15" s="90"/>
      <c r="AK15" s="81"/>
      <c r="AL15" s="82"/>
      <c r="AM15" s="83"/>
      <c r="AN15" s="90"/>
      <c r="AO15" s="81"/>
      <c r="AP15" s="82"/>
      <c r="AQ15" s="83"/>
      <c r="AR15" s="90"/>
      <c r="AS15" s="81"/>
      <c r="AT15" s="82"/>
      <c r="AV15" s="90"/>
      <c r="AW15" s="81"/>
      <c r="AX15" s="82"/>
      <c r="AY15" s="83"/>
      <c r="AZ15" s="90"/>
      <c r="BA15" s="81"/>
      <c r="BB15" s="232"/>
      <c r="BC15" s="264">
        <f t="shared" si="2"/>
        <v>0</v>
      </c>
      <c r="BD15" s="265">
        <f t="shared" si="3"/>
        <v>0</v>
      </c>
      <c r="BE15" s="256">
        <v>5004</v>
      </c>
    </row>
    <row r="16" spans="1:58" x14ac:dyDescent="0.3">
      <c r="B16" s="6">
        <v>5001</v>
      </c>
      <c r="C16" s="191" t="s">
        <v>11</v>
      </c>
      <c r="D16" s="90"/>
      <c r="E16" s="93"/>
      <c r="F16" s="82"/>
      <c r="H16" s="90"/>
      <c r="I16" s="93"/>
      <c r="J16" s="82"/>
      <c r="K16" s="83"/>
      <c r="L16" s="90"/>
      <c r="M16" s="81"/>
      <c r="N16" s="82"/>
      <c r="O16" s="83"/>
      <c r="P16" s="90"/>
      <c r="Q16" s="81"/>
      <c r="R16" s="82"/>
      <c r="S16" s="83"/>
      <c r="T16" s="90"/>
      <c r="U16" s="81"/>
      <c r="V16" s="82"/>
      <c r="W16" s="83"/>
      <c r="X16" s="90"/>
      <c r="Y16" s="81"/>
      <c r="Z16" s="82"/>
      <c r="AA16" s="83"/>
      <c r="AB16" s="90"/>
      <c r="AC16" s="81"/>
      <c r="AD16" s="82"/>
      <c r="AE16" s="83"/>
      <c r="AF16" s="90"/>
      <c r="AG16" s="81"/>
      <c r="AH16" s="82"/>
      <c r="AI16" s="83"/>
      <c r="AJ16" s="90"/>
      <c r="AK16" s="81"/>
      <c r="AL16" s="82"/>
      <c r="AM16" s="83"/>
      <c r="AN16" s="90"/>
      <c r="AO16" s="81"/>
      <c r="AP16" s="82"/>
      <c r="AQ16" s="83"/>
      <c r="AR16" s="90"/>
      <c r="AS16" s="81"/>
      <c r="AT16" s="82"/>
      <c r="AV16" s="90"/>
      <c r="AW16" s="81"/>
      <c r="AX16" s="82"/>
      <c r="AY16" s="83"/>
      <c r="AZ16" s="90"/>
      <c r="BA16" s="81"/>
      <c r="BB16" s="232"/>
      <c r="BC16" s="266">
        <f t="shared" si="2"/>
        <v>0</v>
      </c>
      <c r="BD16" s="265">
        <f t="shared" si="3"/>
        <v>0</v>
      </c>
      <c r="BE16" s="256">
        <v>5001</v>
      </c>
    </row>
    <row r="17" spans="1:57" ht="57.6" x14ac:dyDescent="0.3">
      <c r="B17" s="6">
        <v>5010</v>
      </c>
      <c r="C17" s="7" t="s">
        <v>278</v>
      </c>
      <c r="D17" s="90"/>
      <c r="E17" s="93"/>
      <c r="F17" s="82"/>
      <c r="H17" s="90">
        <f>8000+5000+3*1000</f>
        <v>16000</v>
      </c>
      <c r="I17" s="93" t="s">
        <v>279</v>
      </c>
      <c r="J17" s="82"/>
      <c r="K17" s="83"/>
      <c r="L17" s="90"/>
      <c r="M17" s="81"/>
      <c r="N17" s="82"/>
      <c r="O17" s="83"/>
      <c r="P17" s="90"/>
      <c r="Q17" s="81"/>
      <c r="R17" s="82"/>
      <c r="S17" s="83"/>
      <c r="T17" s="90"/>
      <c r="U17" s="81"/>
      <c r="V17" s="82"/>
      <c r="W17" s="83"/>
      <c r="X17" s="90"/>
      <c r="Y17" s="81"/>
      <c r="Z17" s="82"/>
      <c r="AA17" s="83"/>
      <c r="AB17" s="90"/>
      <c r="AC17" s="81"/>
      <c r="AD17" s="82"/>
      <c r="AE17" s="83"/>
      <c r="AF17" s="90"/>
      <c r="AG17" s="81"/>
      <c r="AH17" s="82"/>
      <c r="AI17" s="83"/>
      <c r="AJ17" s="90"/>
      <c r="AK17" s="81"/>
      <c r="AL17" s="82"/>
      <c r="AM17" s="83"/>
      <c r="AN17" s="90"/>
      <c r="AO17" s="81"/>
      <c r="AP17" s="82"/>
      <c r="AQ17" s="83"/>
      <c r="AR17" s="90"/>
      <c r="AS17" s="81"/>
      <c r="AT17" s="82"/>
      <c r="AV17" s="90"/>
      <c r="AW17" s="81"/>
      <c r="AX17" s="82"/>
      <c r="AY17" s="83"/>
      <c r="AZ17" s="90"/>
      <c r="BA17" s="81"/>
      <c r="BB17" s="232"/>
      <c r="BC17" s="264">
        <f t="shared" si="2"/>
        <v>0</v>
      </c>
      <c r="BD17" s="265">
        <f t="shared" si="3"/>
        <v>16000</v>
      </c>
      <c r="BE17" s="256"/>
    </row>
    <row r="18" spans="1:57" x14ac:dyDescent="0.3">
      <c r="A18" s="10"/>
      <c r="B18" s="6">
        <v>5180</v>
      </c>
      <c r="C18" s="7" t="s">
        <v>13</v>
      </c>
      <c r="D18" s="91">
        <f>Lønnsmatrise!D62</f>
        <v>28046.34</v>
      </c>
      <c r="E18" s="93"/>
      <c r="F18" s="82"/>
      <c r="H18" s="91">
        <f>SUM(H13*0.12)</f>
        <v>0</v>
      </c>
      <c r="I18" s="93"/>
      <c r="J18" s="82"/>
      <c r="K18" s="83"/>
      <c r="L18" s="91">
        <f>SUM(L13*0.12)</f>
        <v>0</v>
      </c>
      <c r="M18" s="81"/>
      <c r="N18" s="82"/>
      <c r="O18" s="83"/>
      <c r="P18" s="91">
        <f>SUM(P13*0.12)</f>
        <v>0</v>
      </c>
      <c r="Q18" s="81"/>
      <c r="R18" s="82"/>
      <c r="S18" s="83"/>
      <c r="T18" s="91">
        <f>SUM(T13*0.12)</f>
        <v>0</v>
      </c>
      <c r="U18" s="81"/>
      <c r="V18" s="82"/>
      <c r="W18" s="83"/>
      <c r="X18" s="91">
        <f>SUM(X13*0.12)</f>
        <v>0</v>
      </c>
      <c r="Y18" s="81"/>
      <c r="Z18" s="82"/>
      <c r="AA18" s="83"/>
      <c r="AB18" s="91">
        <f>SUM(AB13*0.12)</f>
        <v>0</v>
      </c>
      <c r="AC18" s="81"/>
      <c r="AD18" s="82"/>
      <c r="AE18" s="83"/>
      <c r="AF18" s="91">
        <f>SUM(AF13*0.12)</f>
        <v>0</v>
      </c>
      <c r="AG18" s="81"/>
      <c r="AH18" s="82"/>
      <c r="AI18" s="83"/>
      <c r="AJ18" s="91">
        <f>SUM(AJ13*0.12)</f>
        <v>0</v>
      </c>
      <c r="AK18" s="81"/>
      <c r="AL18" s="82"/>
      <c r="AM18" s="83"/>
      <c r="AN18" s="91">
        <f>SUM(AN13*0.12)</f>
        <v>0</v>
      </c>
      <c r="AO18" s="81"/>
      <c r="AP18" s="82"/>
      <c r="AQ18" s="83"/>
      <c r="AR18" s="91">
        <f>SUM(AR13*0.12)</f>
        <v>0</v>
      </c>
      <c r="AS18" s="81"/>
      <c r="AT18" s="82"/>
      <c r="AV18" s="91">
        <f>SUM(AV13*0.12)</f>
        <v>0</v>
      </c>
      <c r="AW18" s="81"/>
      <c r="AX18" s="82"/>
      <c r="AY18" s="83"/>
      <c r="AZ18" s="91">
        <f>SUM(AZ13*0.12)</f>
        <v>0</v>
      </c>
      <c r="BA18" s="81"/>
      <c r="BB18" s="232"/>
      <c r="BC18" s="264">
        <f t="shared" si="2"/>
        <v>0</v>
      </c>
      <c r="BD18" s="265">
        <f t="shared" si="3"/>
        <v>28046.34</v>
      </c>
      <c r="BE18" s="256">
        <v>5180</v>
      </c>
    </row>
    <row r="19" spans="1:57" x14ac:dyDescent="0.3">
      <c r="A19" s="10"/>
      <c r="B19" s="6">
        <v>5182</v>
      </c>
      <c r="C19" s="7" t="s">
        <v>14</v>
      </c>
      <c r="D19" s="91">
        <f>Lønnsmatrise!D63</f>
        <v>3954.5339399999998</v>
      </c>
      <c r="E19" s="93"/>
      <c r="F19" s="82"/>
      <c r="H19" s="91">
        <f>SUM(H18*0.141)</f>
        <v>0</v>
      </c>
      <c r="I19" s="93"/>
      <c r="J19" s="82"/>
      <c r="K19" s="83"/>
      <c r="L19" s="91">
        <f>SUM(L18*0.141)</f>
        <v>0</v>
      </c>
      <c r="M19" s="81"/>
      <c r="N19" s="82"/>
      <c r="O19" s="83"/>
      <c r="P19" s="91">
        <f>SUM(P18*0.141)</f>
        <v>0</v>
      </c>
      <c r="Q19" s="81"/>
      <c r="R19" s="82"/>
      <c r="S19" s="83"/>
      <c r="T19" s="91">
        <f>SUM(T18*0.141)</f>
        <v>0</v>
      </c>
      <c r="U19" s="81"/>
      <c r="V19" s="82"/>
      <c r="W19" s="83"/>
      <c r="X19" s="91">
        <f>SUM(X18*0.141)</f>
        <v>0</v>
      </c>
      <c r="Y19" s="81"/>
      <c r="Z19" s="82"/>
      <c r="AA19" s="83"/>
      <c r="AB19" s="91">
        <f>SUM(AB18*0.141)</f>
        <v>0</v>
      </c>
      <c r="AC19" s="81"/>
      <c r="AD19" s="82"/>
      <c r="AE19" s="83"/>
      <c r="AF19" s="91">
        <f>SUM(AF18*0.141)</f>
        <v>0</v>
      </c>
      <c r="AG19" s="81"/>
      <c r="AH19" s="82"/>
      <c r="AI19" s="83"/>
      <c r="AJ19" s="91">
        <f>SUM(AJ18*0.141)</f>
        <v>0</v>
      </c>
      <c r="AK19" s="81"/>
      <c r="AL19" s="82"/>
      <c r="AM19" s="83"/>
      <c r="AN19" s="91">
        <f>SUM(AN18*0.141)</f>
        <v>0</v>
      </c>
      <c r="AO19" s="81"/>
      <c r="AP19" s="82"/>
      <c r="AQ19" s="83"/>
      <c r="AR19" s="91">
        <f>SUM(AR18*0.141)</f>
        <v>0</v>
      </c>
      <c r="AS19" s="81"/>
      <c r="AT19" s="82"/>
      <c r="AV19" s="91">
        <f>SUM(AV18*0.141)</f>
        <v>0</v>
      </c>
      <c r="AW19" s="81"/>
      <c r="AX19" s="82"/>
      <c r="AY19" s="83"/>
      <c r="AZ19" s="91">
        <f>SUM(AZ18*0.141)</f>
        <v>0</v>
      </c>
      <c r="BA19" s="81"/>
      <c r="BB19" s="232"/>
      <c r="BC19" s="264">
        <f t="shared" si="2"/>
        <v>0</v>
      </c>
      <c r="BD19" s="265">
        <f t="shared" si="3"/>
        <v>3954.5339399999998</v>
      </c>
      <c r="BE19" s="256">
        <v>5182</v>
      </c>
    </row>
    <row r="20" spans="1:57" x14ac:dyDescent="0.3">
      <c r="A20" s="10"/>
      <c r="B20" s="6">
        <v>5211</v>
      </c>
      <c r="C20" s="7" t="s">
        <v>15</v>
      </c>
      <c r="D20" s="91">
        <f>Lønnsmatrise!D64</f>
        <v>9000</v>
      </c>
      <c r="E20" s="93"/>
      <c r="F20" s="82"/>
      <c r="H20" s="91"/>
      <c r="I20" s="93"/>
      <c r="J20" s="82"/>
      <c r="K20" s="83"/>
      <c r="L20" s="80"/>
      <c r="M20" s="81"/>
      <c r="N20" s="82"/>
      <c r="O20" s="83"/>
      <c r="P20" s="80"/>
      <c r="Q20" s="81"/>
      <c r="R20" s="82"/>
      <c r="S20" s="83"/>
      <c r="T20" s="80"/>
      <c r="U20" s="81"/>
      <c r="V20" s="82"/>
      <c r="W20" s="83"/>
      <c r="X20" s="80"/>
      <c r="Y20" s="81"/>
      <c r="Z20" s="82"/>
      <c r="AA20" s="83"/>
      <c r="AB20" s="80"/>
      <c r="AC20" s="81"/>
      <c r="AD20" s="82"/>
      <c r="AE20" s="83"/>
      <c r="AF20" s="80"/>
      <c r="AG20" s="81"/>
      <c r="AH20" s="82"/>
      <c r="AI20" s="83"/>
      <c r="AJ20" s="80"/>
      <c r="AK20" s="81"/>
      <c r="AL20" s="82"/>
      <c r="AM20" s="83"/>
      <c r="AN20" s="80"/>
      <c r="AO20" s="81"/>
      <c r="AP20" s="82"/>
      <c r="AQ20" s="83"/>
      <c r="AR20" s="80"/>
      <c r="AS20" s="81"/>
      <c r="AT20" s="82"/>
      <c r="AV20" s="80"/>
      <c r="AW20" s="81"/>
      <c r="AX20" s="82"/>
      <c r="AY20" s="83"/>
      <c r="AZ20" s="80"/>
      <c r="BA20" s="81"/>
      <c r="BB20" s="232"/>
      <c r="BC20" s="264">
        <f t="shared" si="2"/>
        <v>0</v>
      </c>
      <c r="BD20" s="265">
        <f t="shared" si="3"/>
        <v>9000</v>
      </c>
      <c r="BE20" s="256">
        <v>5211</v>
      </c>
    </row>
    <row r="21" spans="1:57" hidden="1" x14ac:dyDescent="0.3">
      <c r="A21" s="10"/>
      <c r="B21" s="6">
        <v>5230</v>
      </c>
      <c r="C21" s="7" t="s">
        <v>16</v>
      </c>
      <c r="D21" s="80"/>
      <c r="E21" s="93"/>
      <c r="F21" s="82"/>
      <c r="H21" s="80"/>
      <c r="I21" s="93"/>
      <c r="J21" s="82"/>
      <c r="K21" s="83"/>
      <c r="L21" s="80"/>
      <c r="M21" s="81"/>
      <c r="N21" s="82"/>
      <c r="O21" s="83"/>
      <c r="P21" s="80"/>
      <c r="Q21" s="81"/>
      <c r="R21" s="82"/>
      <c r="S21" s="83"/>
      <c r="T21" s="80"/>
      <c r="U21" s="81"/>
      <c r="V21" s="82"/>
      <c r="W21" s="83"/>
      <c r="X21" s="80"/>
      <c r="Y21" s="81"/>
      <c r="Z21" s="82"/>
      <c r="AA21" s="83"/>
      <c r="AB21" s="80"/>
      <c r="AC21" s="81"/>
      <c r="AD21" s="82"/>
      <c r="AE21" s="83"/>
      <c r="AF21" s="80"/>
      <c r="AG21" s="81"/>
      <c r="AH21" s="82"/>
      <c r="AI21" s="83"/>
      <c r="AJ21" s="80"/>
      <c r="AK21" s="81"/>
      <c r="AL21" s="82"/>
      <c r="AM21" s="83"/>
      <c r="AN21" s="80"/>
      <c r="AO21" s="81"/>
      <c r="AP21" s="82"/>
      <c r="AQ21" s="83"/>
      <c r="AR21" s="80"/>
      <c r="AS21" s="81"/>
      <c r="AT21" s="82"/>
      <c r="AV21" s="80"/>
      <c r="AW21" s="81"/>
      <c r="AX21" s="82"/>
      <c r="AY21" s="83"/>
      <c r="AZ21" s="80"/>
      <c r="BA21" s="81"/>
      <c r="BB21" s="232"/>
      <c r="BC21" s="264">
        <f t="shared" si="2"/>
        <v>0</v>
      </c>
      <c r="BD21" s="265">
        <f t="shared" si="3"/>
        <v>0</v>
      </c>
      <c r="BE21" s="256">
        <v>5230</v>
      </c>
    </row>
    <row r="22" spans="1:57" x14ac:dyDescent="0.3">
      <c r="A22" s="10"/>
      <c r="B22" s="6">
        <v>5400</v>
      </c>
      <c r="C22" s="7" t="s">
        <v>48</v>
      </c>
      <c r="D22" s="91">
        <f>Lønnsmatrise!D65</f>
        <v>35871.171974999997</v>
      </c>
      <c r="E22" s="93"/>
      <c r="F22" s="82"/>
      <c r="H22" s="91">
        <f>SUM((H13+H14+H15++H17+H20+H21)*0.141)</f>
        <v>2256</v>
      </c>
      <c r="I22" s="93"/>
      <c r="J22" s="82"/>
      <c r="K22" s="83"/>
      <c r="L22" s="91">
        <f>SUM((L13+L14+L15+L20+L21)*0.141)</f>
        <v>0</v>
      </c>
      <c r="M22" s="81"/>
      <c r="N22" s="82"/>
      <c r="O22" s="83"/>
      <c r="P22" s="91">
        <f>SUM((P13+P14+P15+P20+P21)*0.141)</f>
        <v>0</v>
      </c>
      <c r="Q22" s="81"/>
      <c r="R22" s="82"/>
      <c r="S22" s="83"/>
      <c r="T22" s="91">
        <f>SUM((T13+T14+T15+T20+T21)*0.141)</f>
        <v>0</v>
      </c>
      <c r="U22" s="81"/>
      <c r="V22" s="82"/>
      <c r="W22" s="83"/>
      <c r="X22" s="91">
        <f>SUM((X13+X14+X15+X20+X21)*0.141)</f>
        <v>0</v>
      </c>
      <c r="Y22" s="81"/>
      <c r="Z22" s="82"/>
      <c r="AA22" s="83"/>
      <c r="AB22" s="91">
        <f>SUM((AB13+AB14+AB15+AB20+AB21)*0.141)</f>
        <v>0</v>
      </c>
      <c r="AC22" s="81"/>
      <c r="AD22" s="82"/>
      <c r="AE22" s="83"/>
      <c r="AF22" s="91">
        <f>SUM((AF13+AF14+AF15+AF20+AF21)*0.141)</f>
        <v>0</v>
      </c>
      <c r="AG22" s="81"/>
      <c r="AH22" s="82"/>
      <c r="AI22" s="83"/>
      <c r="AJ22" s="91">
        <f>SUM((AJ13+AJ14+AJ15+AJ20+AJ21)*0.141)</f>
        <v>0</v>
      </c>
      <c r="AK22" s="81"/>
      <c r="AL22" s="82"/>
      <c r="AM22" s="83"/>
      <c r="AN22" s="91">
        <f>SUM((AN13+AN14+AN15+AN20+AN21)*0.141)</f>
        <v>0</v>
      </c>
      <c r="AO22" s="81"/>
      <c r="AP22" s="82"/>
      <c r="AQ22" s="83"/>
      <c r="AR22" s="91">
        <f>SUM((AR13+AR14+AR15+AR20+AR21)*0.141)</f>
        <v>0</v>
      </c>
      <c r="AS22" s="81"/>
      <c r="AT22" s="82"/>
      <c r="AV22" s="91">
        <f>SUM((AV13+AV14+AV15+AV20+AV21)*0.141)</f>
        <v>0</v>
      </c>
      <c r="AW22" s="81"/>
      <c r="AX22" s="82"/>
      <c r="AY22" s="83"/>
      <c r="AZ22" s="91">
        <f>SUM((AZ13+AZ14+AZ15+AZ20+AZ21)*0.141)</f>
        <v>0</v>
      </c>
      <c r="BA22" s="81"/>
      <c r="BB22" s="232"/>
      <c r="BC22" s="264">
        <f t="shared" si="2"/>
        <v>0</v>
      </c>
      <c r="BD22" s="265">
        <f t="shared" si="3"/>
        <v>38127.171974999997</v>
      </c>
      <c r="BE22" s="256">
        <v>5400</v>
      </c>
    </row>
    <row r="23" spans="1:57" x14ac:dyDescent="0.3">
      <c r="B23" s="6">
        <v>5420</v>
      </c>
      <c r="C23" s="7" t="s">
        <v>284</v>
      </c>
      <c r="D23" s="91">
        <f>Lønnsmatrise!D66</f>
        <v>11685.975</v>
      </c>
      <c r="E23" s="93"/>
      <c r="F23" s="82"/>
      <c r="H23" s="91"/>
      <c r="I23" s="93"/>
      <c r="J23" s="82"/>
      <c r="K23" s="83"/>
      <c r="L23" s="80"/>
      <c r="M23" s="81"/>
      <c r="N23" s="82"/>
      <c r="O23" s="83"/>
      <c r="P23" s="80"/>
      <c r="Q23" s="81"/>
      <c r="R23" s="82"/>
      <c r="S23" s="83"/>
      <c r="T23" s="80"/>
      <c r="U23" s="81"/>
      <c r="V23" s="82"/>
      <c r="W23" s="83"/>
      <c r="X23" s="80"/>
      <c r="Y23" s="81"/>
      <c r="Z23" s="82"/>
      <c r="AA23" s="83"/>
      <c r="AB23" s="80"/>
      <c r="AC23" s="81"/>
      <c r="AD23" s="82"/>
      <c r="AE23" s="83"/>
      <c r="AF23" s="80"/>
      <c r="AG23" s="81"/>
      <c r="AH23" s="82"/>
      <c r="AI23" s="83"/>
      <c r="AJ23" s="80"/>
      <c r="AK23" s="81"/>
      <c r="AL23" s="82"/>
      <c r="AM23" s="83"/>
      <c r="AN23" s="80"/>
      <c r="AO23" s="81"/>
      <c r="AP23" s="82"/>
      <c r="AQ23" s="83"/>
      <c r="AR23" s="80"/>
      <c r="AS23" s="81"/>
      <c r="AT23" s="82"/>
      <c r="AV23" s="80"/>
      <c r="AW23" s="81"/>
      <c r="AX23" s="82"/>
      <c r="AY23" s="83"/>
      <c r="AZ23" s="80"/>
      <c r="BA23" s="81"/>
      <c r="BB23" s="232"/>
      <c r="BC23" s="264">
        <f t="shared" si="2"/>
        <v>0</v>
      </c>
      <c r="BD23" s="265">
        <f t="shared" si="3"/>
        <v>11685.975</v>
      </c>
      <c r="BE23" s="256">
        <v>5990</v>
      </c>
    </row>
    <row r="24" spans="1:57" hidden="1" x14ac:dyDescent="0.3">
      <c r="B24" s="6">
        <v>6110</v>
      </c>
      <c r="C24" s="7" t="s">
        <v>50</v>
      </c>
      <c r="D24" s="80">
        <v>0</v>
      </c>
      <c r="E24" s="93"/>
      <c r="F24" s="82"/>
      <c r="H24" s="80"/>
      <c r="I24" s="93"/>
      <c r="J24" s="82"/>
      <c r="K24" s="83"/>
      <c r="L24" s="80"/>
      <c r="M24" s="81"/>
      <c r="N24" s="82"/>
      <c r="O24" s="83"/>
      <c r="P24" s="80"/>
      <c r="Q24" s="81"/>
      <c r="R24" s="82"/>
      <c r="S24" s="83"/>
      <c r="T24" s="80"/>
      <c r="U24" s="81"/>
      <c r="V24" s="82"/>
      <c r="W24" s="83"/>
      <c r="X24" s="80"/>
      <c r="Y24" s="81"/>
      <c r="Z24" s="82"/>
      <c r="AA24" s="83"/>
      <c r="AB24" s="80"/>
      <c r="AC24" s="81"/>
      <c r="AD24" s="82"/>
      <c r="AE24" s="83"/>
      <c r="AF24" s="80"/>
      <c r="AG24" s="81"/>
      <c r="AH24" s="82"/>
      <c r="AI24" s="83"/>
      <c r="AJ24" s="80"/>
      <c r="AK24" s="81"/>
      <c r="AL24" s="82"/>
      <c r="AM24" s="83"/>
      <c r="AN24" s="80"/>
      <c r="AO24" s="81"/>
      <c r="AP24" s="82"/>
      <c r="AQ24" s="83"/>
      <c r="AR24" s="80"/>
      <c r="AS24" s="81"/>
      <c r="AT24" s="82"/>
      <c r="AV24" s="80"/>
      <c r="AW24" s="81"/>
      <c r="AX24" s="82"/>
      <c r="AY24" s="83"/>
      <c r="AZ24" s="80"/>
      <c r="BA24" s="81"/>
      <c r="BB24" s="232"/>
      <c r="BC24" s="264">
        <f t="shared" si="2"/>
        <v>0</v>
      </c>
      <c r="BD24" s="265">
        <f t="shared" si="3"/>
        <v>0</v>
      </c>
      <c r="BE24" s="256">
        <v>6110</v>
      </c>
    </row>
    <row r="25" spans="1:57" ht="43.2" x14ac:dyDescent="0.3">
      <c r="B25" s="6">
        <v>6300</v>
      </c>
      <c r="C25" s="7" t="s">
        <v>18</v>
      </c>
      <c r="D25" s="80">
        <v>8800</v>
      </c>
      <c r="E25" s="93" t="s">
        <v>262</v>
      </c>
      <c r="F25" s="82"/>
      <c r="H25" s="80"/>
      <c r="I25" s="93"/>
      <c r="J25" s="82"/>
      <c r="K25" s="83"/>
      <c r="L25" s="80"/>
      <c r="M25" s="81"/>
      <c r="N25" s="82"/>
      <c r="O25" s="83"/>
      <c r="P25" s="80"/>
      <c r="Q25" s="81"/>
      <c r="R25" s="82"/>
      <c r="S25" s="83"/>
      <c r="T25" s="80"/>
      <c r="U25" s="81"/>
      <c r="V25" s="82"/>
      <c r="W25" s="83"/>
      <c r="X25" s="80"/>
      <c r="Y25" s="81"/>
      <c r="Z25" s="82"/>
      <c r="AA25" s="83"/>
      <c r="AB25" s="80"/>
      <c r="AC25" s="81"/>
      <c r="AD25" s="82"/>
      <c r="AE25" s="83"/>
      <c r="AF25" s="80"/>
      <c r="AG25" s="81"/>
      <c r="AH25" s="82"/>
      <c r="AI25" s="83"/>
      <c r="AJ25" s="80"/>
      <c r="AK25" s="81"/>
      <c r="AL25" s="82"/>
      <c r="AM25" s="83"/>
      <c r="AN25" s="80"/>
      <c r="AO25" s="81"/>
      <c r="AP25" s="82"/>
      <c r="AQ25" s="83"/>
      <c r="AR25" s="80"/>
      <c r="AS25" s="81"/>
      <c r="AT25" s="82"/>
      <c r="AV25" s="80"/>
      <c r="AW25" s="81"/>
      <c r="AX25" s="82"/>
      <c r="AY25" s="83"/>
      <c r="AZ25" s="80"/>
      <c r="BA25" s="81"/>
      <c r="BB25" s="232"/>
      <c r="BC25" s="264">
        <f t="shared" si="2"/>
        <v>0</v>
      </c>
      <c r="BD25" s="265">
        <f t="shared" si="3"/>
        <v>8800</v>
      </c>
      <c r="BE25" s="256">
        <v>6300</v>
      </c>
    </row>
    <row r="26" spans="1:57" ht="43.2" x14ac:dyDescent="0.3">
      <c r="B26" s="6">
        <v>6310</v>
      </c>
      <c r="C26" s="7" t="s">
        <v>137</v>
      </c>
      <c r="D26" s="80">
        <v>15000</v>
      </c>
      <c r="E26" s="93" t="s">
        <v>263</v>
      </c>
      <c r="F26" s="82"/>
      <c r="H26" s="80"/>
      <c r="I26" s="93"/>
      <c r="J26" s="82"/>
      <c r="K26" s="83"/>
      <c r="L26" s="80"/>
      <c r="M26" s="81"/>
      <c r="N26" s="82"/>
      <c r="O26" s="83"/>
      <c r="P26" s="80"/>
      <c r="Q26" s="81"/>
      <c r="R26" s="82"/>
      <c r="S26" s="83"/>
      <c r="T26" s="80"/>
      <c r="U26" s="81"/>
      <c r="V26" s="82"/>
      <c r="W26" s="83"/>
      <c r="X26" s="80"/>
      <c r="Y26" s="81"/>
      <c r="Z26" s="82"/>
      <c r="AA26" s="83"/>
      <c r="AB26" s="80"/>
      <c r="AC26" s="81"/>
      <c r="AD26" s="82"/>
      <c r="AE26" s="83"/>
      <c r="AF26" s="80"/>
      <c r="AG26" s="81"/>
      <c r="AH26" s="82"/>
      <c r="AI26" s="83"/>
      <c r="AJ26" s="80"/>
      <c r="AK26" s="81"/>
      <c r="AL26" s="82"/>
      <c r="AM26" s="83"/>
      <c r="AN26" s="80"/>
      <c r="AO26" s="81"/>
      <c r="AP26" s="82"/>
      <c r="AQ26" s="83"/>
      <c r="AR26" s="80"/>
      <c r="AS26" s="81"/>
      <c r="AT26" s="82"/>
      <c r="AV26" s="80"/>
      <c r="AW26" s="81"/>
      <c r="AX26" s="82"/>
      <c r="AY26" s="83"/>
      <c r="AZ26" s="80"/>
      <c r="BA26" s="81"/>
      <c r="BB26" s="232"/>
      <c r="BC26" s="264">
        <f t="shared" si="2"/>
        <v>0</v>
      </c>
      <c r="BD26" s="265">
        <f t="shared" si="3"/>
        <v>15000</v>
      </c>
      <c r="BE26" s="256">
        <v>6310</v>
      </c>
    </row>
    <row r="27" spans="1:57" ht="17.25" customHeight="1" x14ac:dyDescent="0.3">
      <c r="B27" s="6">
        <v>6440</v>
      </c>
      <c r="C27" s="7" t="s">
        <v>19</v>
      </c>
      <c r="D27" s="80"/>
      <c r="E27" s="93"/>
      <c r="F27" s="82"/>
      <c r="H27" s="80"/>
      <c r="I27" s="93"/>
      <c r="J27" s="82"/>
      <c r="K27" s="83"/>
      <c r="L27" s="80"/>
      <c r="M27" s="81"/>
      <c r="N27" s="82"/>
      <c r="O27" s="83"/>
      <c r="P27" s="80"/>
      <c r="Q27" s="81"/>
      <c r="R27" s="82"/>
      <c r="S27" s="83"/>
      <c r="T27" s="80"/>
      <c r="U27" s="81"/>
      <c r="V27" s="82"/>
      <c r="W27" s="83"/>
      <c r="X27" s="80"/>
      <c r="Y27" s="81"/>
      <c r="Z27" s="82"/>
      <c r="AA27" s="83"/>
      <c r="AB27" s="80"/>
      <c r="AC27" s="81"/>
      <c r="AD27" s="82"/>
      <c r="AE27" s="83"/>
      <c r="AF27" s="80"/>
      <c r="AG27" s="81"/>
      <c r="AH27" s="82"/>
      <c r="AI27" s="83"/>
      <c r="AJ27" s="80"/>
      <c r="AK27" s="81"/>
      <c r="AL27" s="82"/>
      <c r="AM27" s="83"/>
      <c r="AN27" s="80"/>
      <c r="AO27" s="81"/>
      <c r="AP27" s="82"/>
      <c r="AQ27" s="83"/>
      <c r="AR27" s="80"/>
      <c r="AS27" s="81"/>
      <c r="AT27" s="82"/>
      <c r="AV27" s="80"/>
      <c r="AW27" s="81"/>
      <c r="AX27" s="82"/>
      <c r="AY27" s="83"/>
      <c r="AZ27" s="80"/>
      <c r="BA27" s="81"/>
      <c r="BB27" s="232"/>
      <c r="BC27" s="264">
        <f t="shared" si="2"/>
        <v>0</v>
      </c>
      <c r="BD27" s="265">
        <f t="shared" si="3"/>
        <v>0</v>
      </c>
      <c r="BE27" s="256">
        <v>6440</v>
      </c>
    </row>
    <row r="28" spans="1:57" x14ac:dyDescent="0.3">
      <c r="B28" s="6">
        <v>6550</v>
      </c>
      <c r="C28" s="7" t="s">
        <v>20</v>
      </c>
      <c r="D28" s="80">
        <v>5000</v>
      </c>
      <c r="E28" s="93"/>
      <c r="F28" s="82"/>
      <c r="H28" s="80"/>
      <c r="I28" s="93"/>
      <c r="J28" s="82"/>
      <c r="K28" s="83"/>
      <c r="L28" s="80"/>
      <c r="M28" s="81"/>
      <c r="N28" s="82"/>
      <c r="O28" s="83"/>
      <c r="P28" s="80"/>
      <c r="Q28" s="81"/>
      <c r="R28" s="82"/>
      <c r="S28" s="83"/>
      <c r="T28" s="80"/>
      <c r="U28" s="81"/>
      <c r="V28" s="82"/>
      <c r="W28" s="83"/>
      <c r="X28" s="80"/>
      <c r="Y28" s="81"/>
      <c r="Z28" s="82"/>
      <c r="AA28" s="83"/>
      <c r="AB28" s="80"/>
      <c r="AC28" s="81"/>
      <c r="AD28" s="82"/>
      <c r="AE28" s="83"/>
      <c r="AF28" s="80"/>
      <c r="AG28" s="81"/>
      <c r="AH28" s="82"/>
      <c r="AI28" s="83"/>
      <c r="AJ28" s="80"/>
      <c r="AK28" s="81"/>
      <c r="AL28" s="82"/>
      <c r="AM28" s="83"/>
      <c r="AN28" s="80"/>
      <c r="AO28" s="81"/>
      <c r="AP28" s="82"/>
      <c r="AQ28" s="83"/>
      <c r="AR28" s="80"/>
      <c r="AS28" s="81"/>
      <c r="AT28" s="82"/>
      <c r="AV28" s="80"/>
      <c r="AW28" s="81"/>
      <c r="AX28" s="82"/>
      <c r="AY28" s="83"/>
      <c r="AZ28" s="80"/>
      <c r="BA28" s="81"/>
      <c r="BB28" s="232"/>
      <c r="BC28" s="264">
        <f t="shared" si="2"/>
        <v>0</v>
      </c>
      <c r="BD28" s="265">
        <f t="shared" si="3"/>
        <v>5000</v>
      </c>
      <c r="BE28" s="256">
        <v>6550</v>
      </c>
    </row>
    <row r="29" spans="1:57" x14ac:dyDescent="0.3">
      <c r="B29" s="6">
        <v>6560</v>
      </c>
      <c r="C29" s="7" t="s">
        <v>21</v>
      </c>
      <c r="D29" s="80">
        <v>4000</v>
      </c>
      <c r="E29" s="93"/>
      <c r="F29" s="82"/>
      <c r="H29" s="80"/>
      <c r="I29" s="93"/>
      <c r="J29" s="82"/>
      <c r="K29" s="83"/>
      <c r="L29" s="80"/>
      <c r="M29" s="81"/>
      <c r="N29" s="82"/>
      <c r="O29" s="83"/>
      <c r="P29" s="80"/>
      <c r="Q29" s="81"/>
      <c r="R29" s="82"/>
      <c r="S29" s="83"/>
      <c r="T29" s="80"/>
      <c r="U29" s="81"/>
      <c r="V29" s="82"/>
      <c r="W29" s="83"/>
      <c r="X29" s="80"/>
      <c r="Y29" s="81"/>
      <c r="Z29" s="82"/>
      <c r="AA29" s="83"/>
      <c r="AB29" s="80"/>
      <c r="AC29" s="81"/>
      <c r="AD29" s="82"/>
      <c r="AE29" s="83"/>
      <c r="AF29" s="80"/>
      <c r="AG29" s="81"/>
      <c r="AH29" s="82"/>
      <c r="AI29" s="83"/>
      <c r="AJ29" s="80"/>
      <c r="AK29" s="81"/>
      <c r="AL29" s="82"/>
      <c r="AM29" s="83"/>
      <c r="AN29" s="80"/>
      <c r="AO29" s="81"/>
      <c r="AP29" s="82"/>
      <c r="AQ29" s="83"/>
      <c r="AR29" s="80"/>
      <c r="AS29" s="81"/>
      <c r="AT29" s="82"/>
      <c r="AV29" s="80"/>
      <c r="AW29" s="81"/>
      <c r="AX29" s="82"/>
      <c r="AY29" s="83"/>
      <c r="AZ29" s="80"/>
      <c r="BA29" s="81"/>
      <c r="BB29" s="232"/>
      <c r="BC29" s="264">
        <f t="shared" si="2"/>
        <v>0</v>
      </c>
      <c r="BD29" s="265">
        <f t="shared" si="3"/>
        <v>4000</v>
      </c>
      <c r="BE29" s="256">
        <v>6560</v>
      </c>
    </row>
    <row r="30" spans="1:57" ht="15" customHeight="1" x14ac:dyDescent="0.3">
      <c r="B30" s="6">
        <v>6580</v>
      </c>
      <c r="C30" s="7" t="s">
        <v>2</v>
      </c>
      <c r="D30" s="80"/>
      <c r="E30" s="93"/>
      <c r="F30" s="82"/>
      <c r="H30" s="80"/>
      <c r="I30" s="93"/>
      <c r="J30" s="82"/>
      <c r="K30" s="83"/>
      <c r="L30" s="80"/>
      <c r="M30" s="81"/>
      <c r="N30" s="82"/>
      <c r="O30" s="83"/>
      <c r="P30" s="80"/>
      <c r="Q30" s="81"/>
      <c r="R30" s="82"/>
      <c r="S30" s="83"/>
      <c r="T30" s="80"/>
      <c r="U30" s="81"/>
      <c r="V30" s="82"/>
      <c r="W30" s="83"/>
      <c r="X30" s="80"/>
      <c r="Y30" s="81"/>
      <c r="Z30" s="82"/>
      <c r="AA30" s="83"/>
      <c r="AB30" s="80"/>
      <c r="AC30" s="81"/>
      <c r="AD30" s="82"/>
      <c r="AE30" s="83"/>
      <c r="AF30" s="80"/>
      <c r="AG30" s="81"/>
      <c r="AH30" s="82"/>
      <c r="AI30" s="83"/>
      <c r="AJ30" s="80"/>
      <c r="AK30" s="81"/>
      <c r="AL30" s="82"/>
      <c r="AM30" s="83"/>
      <c r="AN30" s="80"/>
      <c r="AO30" s="81"/>
      <c r="AP30" s="82"/>
      <c r="AQ30" s="83"/>
      <c r="AR30" s="80"/>
      <c r="AS30" s="81"/>
      <c r="AT30" s="82"/>
      <c r="AV30" s="80"/>
      <c r="AW30" s="81"/>
      <c r="AX30" s="82"/>
      <c r="AY30" s="83"/>
      <c r="AZ30" s="80"/>
      <c r="BA30" s="81"/>
      <c r="BB30" s="232"/>
      <c r="BC30" s="264">
        <f t="shared" si="2"/>
        <v>0</v>
      </c>
      <c r="BD30" s="265">
        <f t="shared" si="3"/>
        <v>0</v>
      </c>
      <c r="BE30" s="256">
        <v>6580</v>
      </c>
    </row>
    <row r="31" spans="1:57" x14ac:dyDescent="0.3">
      <c r="B31" s="6">
        <v>6580</v>
      </c>
      <c r="C31" s="191" t="s">
        <v>2</v>
      </c>
      <c r="D31" s="80"/>
      <c r="E31" s="93"/>
      <c r="F31" s="82"/>
      <c r="H31" s="80"/>
      <c r="I31" s="93"/>
      <c r="J31" s="82"/>
      <c r="K31" s="83"/>
      <c r="L31" s="80"/>
      <c r="M31" s="81"/>
      <c r="N31" s="82"/>
      <c r="O31" s="83"/>
      <c r="P31" s="80"/>
      <c r="Q31" s="81"/>
      <c r="R31" s="82"/>
      <c r="S31" s="83"/>
      <c r="T31" s="80"/>
      <c r="U31" s="81"/>
      <c r="V31" s="82"/>
      <c r="W31" s="83"/>
      <c r="X31" s="80"/>
      <c r="Y31" s="81"/>
      <c r="Z31" s="82"/>
      <c r="AA31" s="83"/>
      <c r="AB31" s="80"/>
      <c r="AC31" s="81"/>
      <c r="AD31" s="82"/>
      <c r="AE31" s="83"/>
      <c r="AF31" s="80"/>
      <c r="AG31" s="81"/>
      <c r="AH31" s="82"/>
      <c r="AI31" s="83"/>
      <c r="AJ31" s="80"/>
      <c r="AK31" s="81"/>
      <c r="AL31" s="82"/>
      <c r="AM31" s="83"/>
      <c r="AN31" s="80"/>
      <c r="AO31" s="81"/>
      <c r="AP31" s="82"/>
      <c r="AQ31" s="83"/>
      <c r="AR31" s="80"/>
      <c r="AS31" s="81"/>
      <c r="AT31" s="82"/>
      <c r="AV31" s="80"/>
      <c r="AW31" s="81"/>
      <c r="AX31" s="82"/>
      <c r="AY31" s="83"/>
      <c r="AZ31" s="80"/>
      <c r="BA31" s="81"/>
      <c r="BB31" s="232"/>
      <c r="BC31" s="264">
        <f t="shared" si="2"/>
        <v>0</v>
      </c>
      <c r="BD31" s="265">
        <f t="shared" si="3"/>
        <v>0</v>
      </c>
      <c r="BE31" s="256"/>
    </row>
    <row r="32" spans="1:57" x14ac:dyDescent="0.3">
      <c r="B32" s="6">
        <v>6700</v>
      </c>
      <c r="C32" s="7" t="s">
        <v>138</v>
      </c>
      <c r="D32" s="80">
        <v>25000</v>
      </c>
      <c r="E32" s="93"/>
      <c r="F32" s="82"/>
      <c r="H32" s="80"/>
      <c r="I32" s="93"/>
      <c r="J32" s="82"/>
      <c r="K32" s="83"/>
      <c r="L32" s="80"/>
      <c r="M32" s="81"/>
      <c r="N32" s="82"/>
      <c r="O32" s="83"/>
      <c r="P32" s="80"/>
      <c r="Q32" s="81"/>
      <c r="R32" s="82"/>
      <c r="S32" s="83"/>
      <c r="T32" s="80"/>
      <c r="U32" s="81"/>
      <c r="V32" s="82"/>
      <c r="W32" s="83"/>
      <c r="X32" s="80"/>
      <c r="Y32" s="81"/>
      <c r="Z32" s="82"/>
      <c r="AA32" s="83"/>
      <c r="AB32" s="80"/>
      <c r="AC32" s="81"/>
      <c r="AD32" s="82"/>
      <c r="AE32" s="83"/>
      <c r="AF32" s="80"/>
      <c r="AG32" s="81"/>
      <c r="AH32" s="82"/>
      <c r="AI32" s="83"/>
      <c r="AJ32" s="80"/>
      <c r="AK32" s="81"/>
      <c r="AL32" s="82"/>
      <c r="AM32" s="83"/>
      <c r="AN32" s="80"/>
      <c r="AO32" s="81"/>
      <c r="AP32" s="82"/>
      <c r="AQ32" s="83"/>
      <c r="AR32" s="80"/>
      <c r="AS32" s="81"/>
      <c r="AT32" s="82"/>
      <c r="AV32" s="80"/>
      <c r="AW32" s="81"/>
      <c r="AX32" s="82"/>
      <c r="AY32" s="83"/>
      <c r="AZ32" s="80"/>
      <c r="BA32" s="81"/>
      <c r="BB32" s="232"/>
      <c r="BC32" s="264">
        <f t="shared" si="2"/>
        <v>0</v>
      </c>
      <c r="BD32" s="265">
        <f t="shared" si="3"/>
        <v>25000</v>
      </c>
      <c r="BE32" s="256">
        <v>6700</v>
      </c>
    </row>
    <row r="33" spans="2:57" x14ac:dyDescent="0.3">
      <c r="B33" s="6">
        <v>6720</v>
      </c>
      <c r="C33" s="7" t="s">
        <v>139</v>
      </c>
      <c r="D33" s="80">
        <v>67200</v>
      </c>
      <c r="E33" s="93"/>
      <c r="F33" s="82"/>
      <c r="H33" s="80"/>
      <c r="I33" s="93"/>
      <c r="J33" s="82"/>
      <c r="K33" s="83"/>
      <c r="L33" s="80"/>
      <c r="M33" s="81"/>
      <c r="N33" s="82"/>
      <c r="O33" s="83"/>
      <c r="P33" s="80"/>
      <c r="Q33" s="81"/>
      <c r="R33" s="82"/>
      <c r="S33" s="83"/>
      <c r="T33" s="80"/>
      <c r="U33" s="81"/>
      <c r="V33" s="82"/>
      <c r="W33" s="83"/>
      <c r="X33" s="80"/>
      <c r="Y33" s="81"/>
      <c r="Z33" s="82"/>
      <c r="AA33" s="83"/>
      <c r="AB33" s="80"/>
      <c r="AC33" s="81"/>
      <c r="AD33" s="82"/>
      <c r="AE33" s="83"/>
      <c r="AF33" s="80"/>
      <c r="AG33" s="81"/>
      <c r="AH33" s="82"/>
      <c r="AI33" s="83"/>
      <c r="AJ33" s="80"/>
      <c r="AK33" s="81"/>
      <c r="AL33" s="82"/>
      <c r="AM33" s="83"/>
      <c r="AN33" s="80"/>
      <c r="AO33" s="81"/>
      <c r="AP33" s="82"/>
      <c r="AQ33" s="83"/>
      <c r="AR33" s="80"/>
      <c r="AS33" s="81"/>
      <c r="AT33" s="82"/>
      <c r="AV33" s="80"/>
      <c r="AW33" s="81"/>
      <c r="AX33" s="82"/>
      <c r="AY33" s="83"/>
      <c r="AZ33" s="80"/>
      <c r="BA33" s="81"/>
      <c r="BB33" s="232"/>
      <c r="BC33" s="264">
        <f t="shared" si="2"/>
        <v>0</v>
      </c>
      <c r="BD33" s="265">
        <f t="shared" si="3"/>
        <v>67200</v>
      </c>
      <c r="BE33" s="256">
        <v>6720</v>
      </c>
    </row>
    <row r="34" spans="2:57" ht="14.25" customHeight="1" x14ac:dyDescent="0.3">
      <c r="B34" s="6">
        <v>6725</v>
      </c>
      <c r="C34" s="7" t="s">
        <v>140</v>
      </c>
      <c r="D34" s="80"/>
      <c r="E34" s="93"/>
      <c r="F34" s="82"/>
      <c r="H34" s="80"/>
      <c r="I34" s="93"/>
      <c r="J34" s="82"/>
      <c r="K34" s="83"/>
      <c r="L34" s="80"/>
      <c r="M34" s="81"/>
      <c r="N34" s="82"/>
      <c r="O34" s="83"/>
      <c r="P34" s="80"/>
      <c r="Q34" s="81"/>
      <c r="R34" s="82"/>
      <c r="S34" s="83"/>
      <c r="T34" s="80"/>
      <c r="U34" s="81"/>
      <c r="V34" s="82"/>
      <c r="W34" s="83"/>
      <c r="X34" s="80"/>
      <c r="Y34" s="81"/>
      <c r="Z34" s="82"/>
      <c r="AA34" s="83"/>
      <c r="AB34" s="80"/>
      <c r="AC34" s="81"/>
      <c r="AD34" s="82"/>
      <c r="AE34" s="83"/>
      <c r="AF34" s="80"/>
      <c r="AG34" s="81"/>
      <c r="AH34" s="82"/>
      <c r="AI34" s="83"/>
      <c r="AJ34" s="80"/>
      <c r="AK34" s="81"/>
      <c r="AL34" s="82"/>
      <c r="AM34" s="83"/>
      <c r="AN34" s="80"/>
      <c r="AO34" s="81"/>
      <c r="AP34" s="82"/>
      <c r="AQ34" s="83"/>
      <c r="AR34" s="80"/>
      <c r="AS34" s="81"/>
      <c r="AT34" s="82"/>
      <c r="AV34" s="80"/>
      <c r="AW34" s="81"/>
      <c r="AX34" s="82"/>
      <c r="AY34" s="83"/>
      <c r="AZ34" s="80"/>
      <c r="BA34" s="81"/>
      <c r="BB34" s="232"/>
      <c r="BC34" s="264">
        <f t="shared" si="2"/>
        <v>0</v>
      </c>
      <c r="BD34" s="265">
        <f t="shared" si="3"/>
        <v>0</v>
      </c>
      <c r="BE34" s="256">
        <v>6725</v>
      </c>
    </row>
    <row r="35" spans="2:57" ht="14.25" customHeight="1" x14ac:dyDescent="0.3">
      <c r="B35" s="6">
        <v>6800</v>
      </c>
      <c r="C35" s="7" t="s">
        <v>22</v>
      </c>
      <c r="D35" s="80">
        <v>0</v>
      </c>
      <c r="E35" s="93"/>
      <c r="F35" s="82"/>
      <c r="H35" s="80"/>
      <c r="I35" s="93"/>
      <c r="J35" s="82"/>
      <c r="K35" s="83"/>
      <c r="L35" s="80"/>
      <c r="M35" s="81"/>
      <c r="N35" s="82"/>
      <c r="O35" s="83"/>
      <c r="P35" s="80"/>
      <c r="Q35" s="81"/>
      <c r="R35" s="82"/>
      <c r="S35" s="83"/>
      <c r="T35" s="80"/>
      <c r="U35" s="81"/>
      <c r="V35" s="82"/>
      <c r="W35" s="83"/>
      <c r="X35" s="80"/>
      <c r="Y35" s="81"/>
      <c r="Z35" s="82"/>
      <c r="AA35" s="83"/>
      <c r="AB35" s="80"/>
      <c r="AC35" s="81"/>
      <c r="AD35" s="82"/>
      <c r="AE35" s="83"/>
      <c r="AF35" s="80"/>
      <c r="AG35" s="81"/>
      <c r="AH35" s="82"/>
      <c r="AI35" s="83"/>
      <c r="AJ35" s="80"/>
      <c r="AK35" s="81"/>
      <c r="AL35" s="82"/>
      <c r="AM35" s="83"/>
      <c r="AN35" s="80"/>
      <c r="AO35" s="81"/>
      <c r="AP35" s="82"/>
      <c r="AQ35" s="83"/>
      <c r="AR35" s="80"/>
      <c r="AS35" s="81"/>
      <c r="AT35" s="82"/>
      <c r="AV35" s="80"/>
      <c r="AW35" s="81"/>
      <c r="AX35" s="82"/>
      <c r="AY35" s="83"/>
      <c r="AZ35" s="80"/>
      <c r="BA35" s="81"/>
      <c r="BB35" s="232"/>
      <c r="BC35" s="264">
        <f t="shared" si="2"/>
        <v>0</v>
      </c>
      <c r="BD35" s="265">
        <f t="shared" si="3"/>
        <v>0</v>
      </c>
      <c r="BE35" s="256">
        <v>6800</v>
      </c>
    </row>
    <row r="36" spans="2:57" x14ac:dyDescent="0.3">
      <c r="B36" s="6">
        <v>6790</v>
      </c>
      <c r="C36" s="191" t="s">
        <v>292</v>
      </c>
      <c r="D36" s="80"/>
      <c r="E36" s="93"/>
      <c r="F36" s="82"/>
      <c r="H36" s="80"/>
      <c r="I36" s="93"/>
      <c r="J36" s="82"/>
      <c r="K36" s="83"/>
      <c r="L36" s="80"/>
      <c r="M36" s="81"/>
      <c r="N36" s="82"/>
      <c r="O36" s="83"/>
      <c r="P36" s="80"/>
      <c r="Q36" s="81"/>
      <c r="R36" s="82"/>
      <c r="S36" s="83"/>
      <c r="T36" s="80"/>
      <c r="U36" s="81"/>
      <c r="V36" s="82"/>
      <c r="W36" s="83"/>
      <c r="X36" s="80"/>
      <c r="Y36" s="81"/>
      <c r="Z36" s="82"/>
      <c r="AA36" s="83"/>
      <c r="AB36" s="80"/>
      <c r="AC36" s="81"/>
      <c r="AD36" s="82"/>
      <c r="AE36" s="83"/>
      <c r="AF36" s="80"/>
      <c r="AG36" s="81"/>
      <c r="AH36" s="82"/>
      <c r="AI36" s="83"/>
      <c r="AJ36" s="80"/>
      <c r="AK36" s="81"/>
      <c r="AL36" s="82"/>
      <c r="AM36" s="83"/>
      <c r="AN36" s="80"/>
      <c r="AO36" s="81"/>
      <c r="AP36" s="82"/>
      <c r="AQ36" s="83"/>
      <c r="AR36" s="80"/>
      <c r="AS36" s="81"/>
      <c r="AT36" s="82"/>
      <c r="AV36" s="80"/>
      <c r="AW36" s="81"/>
      <c r="AX36" s="82"/>
      <c r="AY36" s="83"/>
      <c r="AZ36" s="80"/>
      <c r="BA36" s="81"/>
      <c r="BB36" s="232"/>
      <c r="BC36" s="264">
        <f t="shared" si="2"/>
        <v>0</v>
      </c>
      <c r="BD36" s="265">
        <f t="shared" si="3"/>
        <v>0</v>
      </c>
      <c r="BE36" s="256">
        <v>6790</v>
      </c>
    </row>
    <row r="37" spans="2:57" x14ac:dyDescent="0.3">
      <c r="B37" s="6">
        <v>6820</v>
      </c>
      <c r="C37" s="7" t="s">
        <v>23</v>
      </c>
      <c r="D37" s="80">
        <v>1000</v>
      </c>
      <c r="E37" s="93"/>
      <c r="F37" s="82"/>
      <c r="H37" s="80"/>
      <c r="I37" s="93"/>
      <c r="J37" s="82"/>
      <c r="K37" s="83"/>
      <c r="L37" s="80"/>
      <c r="M37" s="81"/>
      <c r="N37" s="82"/>
      <c r="O37" s="83"/>
      <c r="P37" s="80"/>
      <c r="Q37" s="81"/>
      <c r="R37" s="82"/>
      <c r="S37" s="83"/>
      <c r="T37" s="80"/>
      <c r="U37" s="81"/>
      <c r="V37" s="82"/>
      <c r="W37" s="83"/>
      <c r="X37" s="80"/>
      <c r="Y37" s="81"/>
      <c r="Z37" s="82"/>
      <c r="AA37" s="83"/>
      <c r="AB37" s="80"/>
      <c r="AC37" s="81"/>
      <c r="AD37" s="82"/>
      <c r="AE37" s="83"/>
      <c r="AF37" s="80"/>
      <c r="AG37" s="81"/>
      <c r="AH37" s="82"/>
      <c r="AI37" s="83"/>
      <c r="AJ37" s="80"/>
      <c r="AK37" s="81"/>
      <c r="AL37" s="82"/>
      <c r="AM37" s="83"/>
      <c r="AN37" s="80"/>
      <c r="AO37" s="81"/>
      <c r="AP37" s="82"/>
      <c r="AQ37" s="83"/>
      <c r="AR37" s="80"/>
      <c r="AS37" s="81"/>
      <c r="AT37" s="82"/>
      <c r="AV37" s="80"/>
      <c r="AW37" s="81"/>
      <c r="AX37" s="82"/>
      <c r="AY37" s="83"/>
      <c r="AZ37" s="80"/>
      <c r="BA37" s="81"/>
      <c r="BB37" s="232"/>
      <c r="BC37" s="264">
        <f t="shared" si="2"/>
        <v>0</v>
      </c>
      <c r="BD37" s="265">
        <f t="shared" si="3"/>
        <v>1000</v>
      </c>
      <c r="BE37" s="256">
        <v>6820</v>
      </c>
    </row>
    <row r="38" spans="2:57" ht="15" customHeight="1" x14ac:dyDescent="0.3">
      <c r="B38" s="6">
        <v>6840</v>
      </c>
      <c r="C38" s="7" t="s">
        <v>24</v>
      </c>
      <c r="D38" s="80">
        <v>0</v>
      </c>
      <c r="E38" s="93"/>
      <c r="F38" s="82"/>
      <c r="H38" s="80"/>
      <c r="I38" s="93"/>
      <c r="J38" s="82"/>
      <c r="K38" s="83"/>
      <c r="L38" s="80"/>
      <c r="M38" s="81"/>
      <c r="N38" s="82"/>
      <c r="O38" s="83"/>
      <c r="P38" s="80"/>
      <c r="Q38" s="81"/>
      <c r="R38" s="82"/>
      <c r="S38" s="83"/>
      <c r="T38" s="80"/>
      <c r="U38" s="81"/>
      <c r="V38" s="82"/>
      <c r="W38" s="83"/>
      <c r="X38" s="80"/>
      <c r="Y38" s="81"/>
      <c r="Z38" s="82"/>
      <c r="AA38" s="83"/>
      <c r="AB38" s="80"/>
      <c r="AC38" s="81"/>
      <c r="AD38" s="82"/>
      <c r="AE38" s="83"/>
      <c r="AF38" s="80"/>
      <c r="AG38" s="81"/>
      <c r="AH38" s="82"/>
      <c r="AI38" s="83"/>
      <c r="AJ38" s="80"/>
      <c r="AK38" s="81"/>
      <c r="AL38" s="82"/>
      <c r="AM38" s="83"/>
      <c r="AN38" s="80"/>
      <c r="AO38" s="81"/>
      <c r="AP38" s="82"/>
      <c r="AQ38" s="83"/>
      <c r="AR38" s="80"/>
      <c r="AS38" s="81"/>
      <c r="AT38" s="82"/>
      <c r="AV38" s="80"/>
      <c r="AW38" s="81"/>
      <c r="AX38" s="82"/>
      <c r="AY38" s="83"/>
      <c r="AZ38" s="80"/>
      <c r="BA38" s="81"/>
      <c r="BB38" s="232"/>
      <c r="BC38" s="264">
        <f t="shared" si="2"/>
        <v>0</v>
      </c>
      <c r="BD38" s="265">
        <f t="shared" si="3"/>
        <v>0</v>
      </c>
      <c r="BE38" s="256">
        <v>6840</v>
      </c>
    </row>
    <row r="39" spans="2:57" x14ac:dyDescent="0.3">
      <c r="B39" s="6">
        <v>6860</v>
      </c>
      <c r="C39" s="7" t="s">
        <v>25</v>
      </c>
      <c r="D39" s="80">
        <v>2000</v>
      </c>
      <c r="E39" s="93"/>
      <c r="F39" s="82"/>
      <c r="H39" s="80"/>
      <c r="I39" s="93"/>
      <c r="J39" s="82"/>
      <c r="K39" s="83"/>
      <c r="L39" s="80"/>
      <c r="M39" s="81"/>
      <c r="N39" s="82"/>
      <c r="O39" s="83"/>
      <c r="P39" s="80"/>
      <c r="Q39" s="81"/>
      <c r="R39" s="82"/>
      <c r="S39" s="83"/>
      <c r="T39" s="80"/>
      <c r="U39" s="81"/>
      <c r="V39" s="82"/>
      <c r="W39" s="83"/>
      <c r="X39" s="80"/>
      <c r="Y39" s="81"/>
      <c r="Z39" s="82"/>
      <c r="AA39" s="83"/>
      <c r="AB39" s="80"/>
      <c r="AC39" s="81"/>
      <c r="AD39" s="82"/>
      <c r="AE39" s="83"/>
      <c r="AF39" s="80"/>
      <c r="AG39" s="81"/>
      <c r="AH39" s="82"/>
      <c r="AI39" s="83"/>
      <c r="AJ39" s="80"/>
      <c r="AK39" s="81"/>
      <c r="AL39" s="82"/>
      <c r="AM39" s="83"/>
      <c r="AN39" s="80"/>
      <c r="AO39" s="81"/>
      <c r="AP39" s="82"/>
      <c r="AQ39" s="83"/>
      <c r="AR39" s="80"/>
      <c r="AS39" s="81"/>
      <c r="AT39" s="82"/>
      <c r="AV39" s="80"/>
      <c r="AW39" s="81"/>
      <c r="AX39" s="82"/>
      <c r="AY39" s="83"/>
      <c r="AZ39" s="80"/>
      <c r="BA39" s="81"/>
      <c r="BB39" s="232"/>
      <c r="BC39" s="264">
        <f t="shared" si="2"/>
        <v>0</v>
      </c>
      <c r="BD39" s="265">
        <f t="shared" si="3"/>
        <v>2000</v>
      </c>
      <c r="BE39" s="256">
        <v>6860</v>
      </c>
    </row>
    <row r="40" spans="2:57" ht="15" customHeight="1" x14ac:dyDescent="0.3">
      <c r="B40" s="6">
        <v>6900</v>
      </c>
      <c r="C40" s="7" t="s">
        <v>141</v>
      </c>
      <c r="D40" s="80">
        <v>0</v>
      </c>
      <c r="E40" s="93"/>
      <c r="F40" s="82"/>
      <c r="H40" s="80"/>
      <c r="I40" s="93"/>
      <c r="J40" s="82"/>
      <c r="K40" s="83"/>
      <c r="L40" s="80"/>
      <c r="M40" s="81"/>
      <c r="N40" s="82"/>
      <c r="O40" s="83"/>
      <c r="P40" s="80"/>
      <c r="Q40" s="81"/>
      <c r="R40" s="82"/>
      <c r="S40" s="83"/>
      <c r="T40" s="80"/>
      <c r="U40" s="81"/>
      <c r="V40" s="82"/>
      <c r="W40" s="83"/>
      <c r="X40" s="80"/>
      <c r="Y40" s="81"/>
      <c r="Z40" s="82"/>
      <c r="AA40" s="83"/>
      <c r="AB40" s="80"/>
      <c r="AC40" s="81"/>
      <c r="AD40" s="82"/>
      <c r="AE40" s="83"/>
      <c r="AF40" s="80"/>
      <c r="AG40" s="81"/>
      <c r="AH40" s="82"/>
      <c r="AI40" s="83"/>
      <c r="AJ40" s="80"/>
      <c r="AK40" s="81"/>
      <c r="AL40" s="82"/>
      <c r="AM40" s="83"/>
      <c r="AN40" s="80"/>
      <c r="AO40" s="81"/>
      <c r="AP40" s="82"/>
      <c r="AQ40" s="83"/>
      <c r="AR40" s="80"/>
      <c r="AS40" s="81"/>
      <c r="AT40" s="82"/>
      <c r="AV40" s="80"/>
      <c r="AW40" s="81"/>
      <c r="AX40" s="82"/>
      <c r="AY40" s="83"/>
      <c r="AZ40" s="80"/>
      <c r="BA40" s="81"/>
      <c r="BB40" s="232"/>
      <c r="BC40" s="264">
        <f t="shared" si="2"/>
        <v>0</v>
      </c>
      <c r="BD40" s="265">
        <f t="shared" si="3"/>
        <v>0</v>
      </c>
      <c r="BE40" s="256">
        <v>6900</v>
      </c>
    </row>
    <row r="41" spans="2:57" x14ac:dyDescent="0.3">
      <c r="B41" s="6">
        <v>6910</v>
      </c>
      <c r="C41" s="7" t="s">
        <v>26</v>
      </c>
      <c r="D41" s="80">
        <v>19700</v>
      </c>
      <c r="E41" s="93" t="s">
        <v>232</v>
      </c>
      <c r="F41" s="82"/>
      <c r="H41" s="80"/>
      <c r="I41" s="93"/>
      <c r="J41" s="82"/>
      <c r="K41" s="83"/>
      <c r="L41" s="80"/>
      <c r="M41" s="81"/>
      <c r="N41" s="82"/>
      <c r="O41" s="83"/>
      <c r="P41" s="80"/>
      <c r="Q41" s="81"/>
      <c r="R41" s="82"/>
      <c r="S41" s="83"/>
      <c r="T41" s="80"/>
      <c r="U41" s="81"/>
      <c r="V41" s="82"/>
      <c r="W41" s="83"/>
      <c r="X41" s="80"/>
      <c r="Y41" s="81"/>
      <c r="Z41" s="82"/>
      <c r="AA41" s="83"/>
      <c r="AB41" s="80"/>
      <c r="AC41" s="81"/>
      <c r="AD41" s="82"/>
      <c r="AE41" s="83"/>
      <c r="AF41" s="80"/>
      <c r="AG41" s="81"/>
      <c r="AH41" s="82"/>
      <c r="AI41" s="83"/>
      <c r="AJ41" s="80"/>
      <c r="AK41" s="81"/>
      <c r="AL41" s="82"/>
      <c r="AM41" s="83"/>
      <c r="AN41" s="80"/>
      <c r="AO41" s="81"/>
      <c r="AP41" s="82"/>
      <c r="AQ41" s="83"/>
      <c r="AR41" s="80"/>
      <c r="AS41" s="81"/>
      <c r="AT41" s="82"/>
      <c r="AV41" s="80"/>
      <c r="AW41" s="81"/>
      <c r="AX41" s="82"/>
      <c r="AY41" s="83"/>
      <c r="AZ41" s="80"/>
      <c r="BA41" s="81"/>
      <c r="BB41" s="232"/>
      <c r="BC41" s="264">
        <f t="shared" si="2"/>
        <v>0</v>
      </c>
      <c r="BD41" s="265">
        <f t="shared" si="3"/>
        <v>19700</v>
      </c>
      <c r="BE41" s="256">
        <v>6910</v>
      </c>
    </row>
    <row r="42" spans="2:57" x14ac:dyDescent="0.3">
      <c r="B42" s="6">
        <v>6940</v>
      </c>
      <c r="C42" s="7" t="s">
        <v>49</v>
      </c>
      <c r="D42" s="80">
        <v>500</v>
      </c>
      <c r="E42" s="93"/>
      <c r="F42" s="82"/>
      <c r="H42" s="80"/>
      <c r="I42" s="93"/>
      <c r="J42" s="82"/>
      <c r="K42" s="83"/>
      <c r="L42" s="80"/>
      <c r="M42" s="81"/>
      <c r="N42" s="82"/>
      <c r="O42" s="83"/>
      <c r="P42" s="80"/>
      <c r="Q42" s="81"/>
      <c r="R42" s="82"/>
      <c r="S42" s="83"/>
      <c r="T42" s="80"/>
      <c r="U42" s="81"/>
      <c r="V42" s="82"/>
      <c r="W42" s="83"/>
      <c r="X42" s="80"/>
      <c r="Y42" s="81"/>
      <c r="Z42" s="82"/>
      <c r="AA42" s="83"/>
      <c r="AB42" s="80"/>
      <c r="AC42" s="81"/>
      <c r="AD42" s="82"/>
      <c r="AE42" s="83"/>
      <c r="AF42" s="80"/>
      <c r="AG42" s="81"/>
      <c r="AH42" s="82"/>
      <c r="AI42" s="83"/>
      <c r="AJ42" s="80"/>
      <c r="AK42" s="81"/>
      <c r="AL42" s="82"/>
      <c r="AM42" s="83"/>
      <c r="AN42" s="80"/>
      <c r="AO42" s="81"/>
      <c r="AP42" s="82"/>
      <c r="AQ42" s="83"/>
      <c r="AR42" s="80"/>
      <c r="AS42" s="81"/>
      <c r="AT42" s="82"/>
      <c r="AV42" s="80"/>
      <c r="AW42" s="81"/>
      <c r="AX42" s="82"/>
      <c r="AY42" s="83"/>
      <c r="AZ42" s="80"/>
      <c r="BA42" s="81"/>
      <c r="BB42" s="232"/>
      <c r="BC42" s="264">
        <f t="shared" si="2"/>
        <v>0</v>
      </c>
      <c r="BD42" s="265">
        <f t="shared" si="3"/>
        <v>500</v>
      </c>
      <c r="BE42" s="256">
        <v>6940</v>
      </c>
    </row>
    <row r="43" spans="2:57" ht="15.75" customHeight="1" x14ac:dyDescent="0.3">
      <c r="B43" s="6">
        <v>7000</v>
      </c>
      <c r="C43" s="7" t="s">
        <v>27</v>
      </c>
      <c r="D43" s="80"/>
      <c r="E43" s="93"/>
      <c r="F43" s="82"/>
      <c r="H43" s="80"/>
      <c r="I43" s="93"/>
      <c r="J43" s="82"/>
      <c r="K43" s="83"/>
      <c r="L43" s="80"/>
      <c r="M43" s="81"/>
      <c r="N43" s="82"/>
      <c r="O43" s="83"/>
      <c r="P43" s="80"/>
      <c r="Q43" s="81"/>
      <c r="R43" s="82"/>
      <c r="S43" s="83"/>
      <c r="T43" s="80"/>
      <c r="U43" s="81"/>
      <c r="V43" s="82"/>
      <c r="W43" s="83"/>
      <c r="X43" s="80"/>
      <c r="Y43" s="81"/>
      <c r="Z43" s="82"/>
      <c r="AA43" s="83"/>
      <c r="AB43" s="80"/>
      <c r="AC43" s="81"/>
      <c r="AD43" s="82"/>
      <c r="AE43" s="83"/>
      <c r="AF43" s="80"/>
      <c r="AG43" s="81"/>
      <c r="AH43" s="82"/>
      <c r="AI43" s="83"/>
      <c r="AJ43" s="80"/>
      <c r="AK43" s="81"/>
      <c r="AL43" s="82"/>
      <c r="AM43" s="83"/>
      <c r="AN43" s="80"/>
      <c r="AO43" s="81"/>
      <c r="AP43" s="82"/>
      <c r="AQ43" s="83"/>
      <c r="AR43" s="80"/>
      <c r="AS43" s="81"/>
      <c r="AT43" s="82"/>
      <c r="AV43" s="80"/>
      <c r="AW43" s="81"/>
      <c r="AX43" s="82"/>
      <c r="AY43" s="83"/>
      <c r="AZ43" s="80"/>
      <c r="BA43" s="81"/>
      <c r="BB43" s="232"/>
      <c r="BC43" s="264">
        <f t="shared" si="2"/>
        <v>0</v>
      </c>
      <c r="BD43" s="265">
        <f t="shared" si="3"/>
        <v>0</v>
      </c>
      <c r="BE43" s="256">
        <v>7000</v>
      </c>
    </row>
    <row r="44" spans="2:57" x14ac:dyDescent="0.3">
      <c r="B44" s="6">
        <v>7100</v>
      </c>
      <c r="C44" s="7" t="s">
        <v>28</v>
      </c>
      <c r="D44" s="80">
        <v>3000</v>
      </c>
      <c r="E44" s="93"/>
      <c r="F44" s="82"/>
      <c r="H44" s="80"/>
      <c r="I44" s="93"/>
      <c r="J44" s="82"/>
      <c r="K44" s="83"/>
      <c r="L44" s="80">
        <v>3000</v>
      </c>
      <c r="M44" s="81" t="s">
        <v>235</v>
      </c>
      <c r="N44" s="82"/>
      <c r="O44" s="83"/>
      <c r="P44" s="80"/>
      <c r="Q44" s="81"/>
      <c r="R44" s="82"/>
      <c r="S44" s="83"/>
      <c r="T44" s="80"/>
      <c r="U44" s="81"/>
      <c r="V44" s="82"/>
      <c r="W44" s="83"/>
      <c r="X44" s="80"/>
      <c r="Y44" s="81"/>
      <c r="Z44" s="82"/>
      <c r="AA44" s="83"/>
      <c r="AB44" s="80"/>
      <c r="AC44" s="81"/>
      <c r="AD44" s="82"/>
      <c r="AE44" s="83"/>
      <c r="AF44" s="80"/>
      <c r="AG44" s="81"/>
      <c r="AH44" s="82"/>
      <c r="AI44" s="83"/>
      <c r="AJ44" s="80"/>
      <c r="AK44" s="81"/>
      <c r="AL44" s="82"/>
      <c r="AM44" s="83"/>
      <c r="AN44" s="80"/>
      <c r="AO44" s="81"/>
      <c r="AP44" s="82"/>
      <c r="AQ44" s="83"/>
      <c r="AR44" s="80"/>
      <c r="AS44" s="81"/>
      <c r="AT44" s="82"/>
      <c r="AV44" s="80"/>
      <c r="AW44" s="81"/>
      <c r="AX44" s="82"/>
      <c r="AY44" s="83"/>
      <c r="AZ44" s="80"/>
      <c r="BA44" s="81"/>
      <c r="BB44" s="232"/>
      <c r="BC44" s="264">
        <f t="shared" si="2"/>
        <v>0</v>
      </c>
      <c r="BD44" s="265">
        <f t="shared" si="3"/>
        <v>6000</v>
      </c>
      <c r="BE44" s="256">
        <v>7100</v>
      </c>
    </row>
    <row r="45" spans="2:57" ht="14.25" customHeight="1" x14ac:dyDescent="0.3">
      <c r="B45" s="6">
        <v>7101</v>
      </c>
      <c r="C45" s="7" t="s">
        <v>29</v>
      </c>
      <c r="D45" s="80"/>
      <c r="E45" s="93"/>
      <c r="F45" s="82"/>
      <c r="H45" s="80"/>
      <c r="I45" s="93"/>
      <c r="J45" s="82"/>
      <c r="K45" s="83"/>
      <c r="L45" s="80"/>
      <c r="M45" s="81"/>
      <c r="N45" s="82"/>
      <c r="O45" s="83"/>
      <c r="P45" s="80"/>
      <c r="Q45" s="81"/>
      <c r="R45" s="82"/>
      <c r="S45" s="83"/>
      <c r="T45" s="80"/>
      <c r="U45" s="81"/>
      <c r="V45" s="82"/>
      <c r="W45" s="83"/>
      <c r="X45" s="80"/>
      <c r="Y45" s="81"/>
      <c r="Z45" s="82"/>
      <c r="AA45" s="83"/>
      <c r="AB45" s="80"/>
      <c r="AC45" s="81"/>
      <c r="AD45" s="82"/>
      <c r="AE45" s="83"/>
      <c r="AF45" s="80"/>
      <c r="AG45" s="81"/>
      <c r="AH45" s="82"/>
      <c r="AI45" s="83"/>
      <c r="AJ45" s="80"/>
      <c r="AK45" s="81"/>
      <c r="AL45" s="82"/>
      <c r="AM45" s="83"/>
      <c r="AN45" s="80"/>
      <c r="AO45" s="81"/>
      <c r="AP45" s="82"/>
      <c r="AQ45" s="83"/>
      <c r="AR45" s="80"/>
      <c r="AS45" s="81"/>
      <c r="AT45" s="82"/>
      <c r="AV45" s="80"/>
      <c r="AW45" s="81"/>
      <c r="AX45" s="82"/>
      <c r="AY45" s="83"/>
      <c r="AZ45" s="80"/>
      <c r="BA45" s="81"/>
      <c r="BB45" s="232"/>
      <c r="BC45" s="264">
        <f t="shared" si="2"/>
        <v>0</v>
      </c>
      <c r="BD45" s="265">
        <f t="shared" si="3"/>
        <v>0</v>
      </c>
      <c r="BE45" s="256">
        <v>7101</v>
      </c>
    </row>
    <row r="46" spans="2:57" x14ac:dyDescent="0.3">
      <c r="B46" s="6">
        <v>7102</v>
      </c>
      <c r="C46" s="191" t="s">
        <v>29</v>
      </c>
      <c r="D46" s="80"/>
      <c r="E46" s="93"/>
      <c r="F46" s="82"/>
      <c r="H46" s="80"/>
      <c r="I46" s="93"/>
      <c r="J46" s="82"/>
      <c r="K46" s="83"/>
      <c r="L46" s="80"/>
      <c r="M46" s="81"/>
      <c r="N46" s="82"/>
      <c r="O46" s="83"/>
      <c r="P46" s="80"/>
      <c r="Q46" s="81"/>
      <c r="R46" s="82"/>
      <c r="S46" s="83"/>
      <c r="T46" s="80"/>
      <c r="U46" s="81"/>
      <c r="V46" s="82"/>
      <c r="W46" s="83"/>
      <c r="X46" s="80"/>
      <c r="Y46" s="81"/>
      <c r="Z46" s="82"/>
      <c r="AA46" s="83"/>
      <c r="AB46" s="80"/>
      <c r="AC46" s="81"/>
      <c r="AD46" s="82"/>
      <c r="AE46" s="83"/>
      <c r="AF46" s="80"/>
      <c r="AG46" s="81"/>
      <c r="AH46" s="82"/>
      <c r="AI46" s="83"/>
      <c r="AJ46" s="80"/>
      <c r="AK46" s="81"/>
      <c r="AL46" s="82"/>
      <c r="AM46" s="83"/>
      <c r="AN46" s="80"/>
      <c r="AO46" s="81"/>
      <c r="AP46" s="82"/>
      <c r="AQ46" s="83"/>
      <c r="AR46" s="80"/>
      <c r="AS46" s="81"/>
      <c r="AT46" s="82"/>
      <c r="AV46" s="80"/>
      <c r="AW46" s="81"/>
      <c r="AX46" s="82"/>
      <c r="AY46" s="83"/>
      <c r="AZ46" s="80"/>
      <c r="BA46" s="81"/>
      <c r="BB46" s="232"/>
      <c r="BC46" s="266">
        <f t="shared" si="2"/>
        <v>0</v>
      </c>
      <c r="BD46" s="265">
        <f t="shared" si="3"/>
        <v>0</v>
      </c>
      <c r="BE46" s="256">
        <v>7102</v>
      </c>
    </row>
    <row r="47" spans="2:57" x14ac:dyDescent="0.3">
      <c r="B47" s="6">
        <v>7110</v>
      </c>
      <c r="C47" s="7" t="s">
        <v>30</v>
      </c>
      <c r="D47" s="80"/>
      <c r="E47" s="93"/>
      <c r="F47" s="82"/>
      <c r="H47" s="80">
        <v>6000</v>
      </c>
      <c r="I47" s="93" t="s">
        <v>265</v>
      </c>
      <c r="J47" s="82"/>
      <c r="K47" s="83"/>
      <c r="L47" s="80">
        <v>10000</v>
      </c>
      <c r="M47" s="81" t="s">
        <v>237</v>
      </c>
      <c r="N47" s="82"/>
      <c r="O47" s="83"/>
      <c r="P47" s="80">
        <v>5000</v>
      </c>
      <c r="Q47" s="81"/>
      <c r="R47" s="82"/>
      <c r="S47" s="83"/>
      <c r="T47" s="80"/>
      <c r="U47" s="81"/>
      <c r="V47" s="82"/>
      <c r="W47" s="83"/>
      <c r="X47" s="80">
        <v>15000</v>
      </c>
      <c r="Y47" s="81" t="s">
        <v>345</v>
      </c>
      <c r="Z47" s="82"/>
      <c r="AA47" s="83"/>
      <c r="AB47" s="80"/>
      <c r="AC47" s="81"/>
      <c r="AD47" s="82"/>
      <c r="AE47" s="83"/>
      <c r="AF47" s="80"/>
      <c r="AG47" s="81"/>
      <c r="AH47" s="82"/>
      <c r="AI47" s="83"/>
      <c r="AJ47" s="80"/>
      <c r="AK47" s="81"/>
      <c r="AL47" s="82"/>
      <c r="AM47" s="83"/>
      <c r="AN47" s="80"/>
      <c r="AO47" s="81"/>
      <c r="AP47" s="82"/>
      <c r="AQ47" s="83"/>
      <c r="AR47" s="80"/>
      <c r="AS47" s="81"/>
      <c r="AT47" s="82"/>
      <c r="AV47" s="80"/>
      <c r="AW47" s="81"/>
      <c r="AX47" s="82"/>
      <c r="AY47" s="83"/>
      <c r="AZ47" s="80"/>
      <c r="BA47" s="81"/>
      <c r="BB47" s="232"/>
      <c r="BC47" s="264">
        <f t="shared" si="2"/>
        <v>0</v>
      </c>
      <c r="BD47" s="265">
        <f t="shared" si="3"/>
        <v>36000</v>
      </c>
      <c r="BE47" s="256">
        <v>7110</v>
      </c>
    </row>
    <row r="48" spans="2:57" x14ac:dyDescent="0.3">
      <c r="B48" s="6">
        <v>7141</v>
      </c>
      <c r="C48" s="7" t="s">
        <v>31</v>
      </c>
      <c r="D48" s="80"/>
      <c r="E48" s="93"/>
      <c r="F48" s="82"/>
      <c r="H48" s="80"/>
      <c r="I48" s="93"/>
      <c r="J48" s="82"/>
      <c r="K48" s="83"/>
      <c r="L48" s="80">
        <v>5000</v>
      </c>
      <c r="M48" s="81" t="s">
        <v>238</v>
      </c>
      <c r="N48" s="82"/>
      <c r="O48" s="83"/>
      <c r="P48" s="80">
        <v>10000</v>
      </c>
      <c r="Q48" s="81"/>
      <c r="R48" s="82"/>
      <c r="S48" s="83"/>
      <c r="T48" s="80"/>
      <c r="U48" s="81"/>
      <c r="V48" s="82"/>
      <c r="W48" s="83"/>
      <c r="X48" s="80">
        <v>5000</v>
      </c>
      <c r="Y48" s="81" t="s">
        <v>346</v>
      </c>
      <c r="Z48" s="82"/>
      <c r="AA48" s="83"/>
      <c r="AB48" s="80"/>
      <c r="AC48" s="81"/>
      <c r="AD48" s="82"/>
      <c r="AE48" s="83"/>
      <c r="AF48" s="80"/>
      <c r="AG48" s="81"/>
      <c r="AH48" s="82"/>
      <c r="AI48" s="83"/>
      <c r="AJ48" s="80"/>
      <c r="AK48" s="81"/>
      <c r="AL48" s="82"/>
      <c r="AM48" s="83"/>
      <c r="AN48" s="80"/>
      <c r="AO48" s="81"/>
      <c r="AP48" s="82"/>
      <c r="AQ48" s="83"/>
      <c r="AR48" s="80"/>
      <c r="AS48" s="81"/>
      <c r="AT48" s="82"/>
      <c r="AV48" s="80"/>
      <c r="AW48" s="81"/>
      <c r="AX48" s="82"/>
      <c r="AY48" s="83"/>
      <c r="AZ48" s="80"/>
      <c r="BA48" s="81"/>
      <c r="BB48" s="232"/>
      <c r="BC48" s="264">
        <f t="shared" si="2"/>
        <v>0</v>
      </c>
      <c r="BD48" s="265">
        <f t="shared" si="3"/>
        <v>20000</v>
      </c>
      <c r="BE48" s="256">
        <v>7141</v>
      </c>
    </row>
    <row r="49" spans="2:57" x14ac:dyDescent="0.3">
      <c r="B49" s="6">
        <v>7145</v>
      </c>
      <c r="C49" s="7" t="s">
        <v>32</v>
      </c>
      <c r="D49" s="80"/>
      <c r="E49" s="93"/>
      <c r="F49" s="82"/>
      <c r="H49" s="80"/>
      <c r="I49" s="93"/>
      <c r="J49" s="82"/>
      <c r="K49" s="83"/>
      <c r="L49" s="80">
        <v>2200</v>
      </c>
      <c r="M49" s="81" t="s">
        <v>236</v>
      </c>
      <c r="N49" s="82"/>
      <c r="O49" s="83"/>
      <c r="P49" s="80">
        <v>1000</v>
      </c>
      <c r="Q49" s="81"/>
      <c r="R49" s="82"/>
      <c r="S49" s="83"/>
      <c r="T49" s="80"/>
      <c r="U49" s="81"/>
      <c r="V49" s="82"/>
      <c r="W49" s="83"/>
      <c r="X49" s="80">
        <v>1000</v>
      </c>
      <c r="Y49" s="81"/>
      <c r="Z49" s="82"/>
      <c r="AA49" s="83"/>
      <c r="AB49" s="80"/>
      <c r="AC49" s="81"/>
      <c r="AD49" s="82"/>
      <c r="AE49" s="83"/>
      <c r="AF49" s="80"/>
      <c r="AG49" s="81"/>
      <c r="AH49" s="82"/>
      <c r="AI49" s="83"/>
      <c r="AJ49" s="80"/>
      <c r="AK49" s="81"/>
      <c r="AL49" s="82"/>
      <c r="AM49" s="83"/>
      <c r="AN49" s="80"/>
      <c r="AO49" s="81"/>
      <c r="AP49" s="82"/>
      <c r="AQ49" s="83"/>
      <c r="AR49" s="80"/>
      <c r="AS49" s="81"/>
      <c r="AT49" s="82"/>
      <c r="AV49" s="80"/>
      <c r="AW49" s="81"/>
      <c r="AX49" s="82"/>
      <c r="AY49" s="83"/>
      <c r="AZ49" s="80"/>
      <c r="BA49" s="81"/>
      <c r="BB49" s="232"/>
      <c r="BC49" s="264">
        <f t="shared" si="2"/>
        <v>0</v>
      </c>
      <c r="BD49" s="265">
        <f t="shared" si="3"/>
        <v>4200</v>
      </c>
      <c r="BE49" s="256">
        <v>7145</v>
      </c>
    </row>
    <row r="50" spans="2:57" ht="28.8" x14ac:dyDescent="0.3">
      <c r="B50" s="6">
        <v>7162</v>
      </c>
      <c r="C50" s="7" t="s">
        <v>33</v>
      </c>
      <c r="D50" s="80">
        <v>500</v>
      </c>
      <c r="E50" s="93"/>
      <c r="F50" s="82"/>
      <c r="H50" s="80">
        <v>3000</v>
      </c>
      <c r="I50" s="93" t="s">
        <v>266</v>
      </c>
      <c r="J50" s="82"/>
      <c r="K50" s="83"/>
      <c r="L50" s="80">
        <v>4000</v>
      </c>
      <c r="M50" s="93" t="s">
        <v>267</v>
      </c>
      <c r="N50" s="82"/>
      <c r="O50" s="83"/>
      <c r="P50" s="80">
        <v>2500</v>
      </c>
      <c r="Q50" s="81"/>
      <c r="R50" s="82"/>
      <c r="S50" s="83"/>
      <c r="T50" s="80">
        <v>4000</v>
      </c>
      <c r="U50" s="81"/>
      <c r="V50" s="82"/>
      <c r="W50" s="83"/>
      <c r="X50" s="80">
        <v>1000</v>
      </c>
      <c r="Y50" s="81"/>
      <c r="Z50" s="82"/>
      <c r="AA50" s="83"/>
      <c r="AB50" s="80"/>
      <c r="AC50" s="81"/>
      <c r="AD50" s="82"/>
      <c r="AE50" s="83"/>
      <c r="AF50" s="80"/>
      <c r="AG50" s="81"/>
      <c r="AH50" s="82"/>
      <c r="AI50" s="83"/>
      <c r="AJ50" s="80"/>
      <c r="AK50" s="81"/>
      <c r="AL50" s="82"/>
      <c r="AM50" s="83"/>
      <c r="AN50" s="80"/>
      <c r="AO50" s="81"/>
      <c r="AP50" s="82"/>
      <c r="AQ50" s="83"/>
      <c r="AR50" s="80"/>
      <c r="AS50" s="81"/>
      <c r="AT50" s="82"/>
      <c r="AV50" s="80"/>
      <c r="AW50" s="81"/>
      <c r="AX50" s="82"/>
      <c r="AY50" s="83"/>
      <c r="AZ50" s="80"/>
      <c r="BA50" s="81"/>
      <c r="BB50" s="232"/>
      <c r="BC50" s="264">
        <f t="shared" si="2"/>
        <v>0</v>
      </c>
      <c r="BD50" s="265">
        <f t="shared" si="3"/>
        <v>15000</v>
      </c>
      <c r="BE50" s="256">
        <v>7162</v>
      </c>
    </row>
    <row r="51" spans="2:57" hidden="1" x14ac:dyDescent="0.3">
      <c r="B51" s="6">
        <v>7320</v>
      </c>
      <c r="C51" s="7" t="s">
        <v>34</v>
      </c>
      <c r="D51" s="80"/>
      <c r="E51" s="93"/>
      <c r="F51" s="82"/>
      <c r="H51" s="80"/>
      <c r="I51" s="93"/>
      <c r="J51" s="82"/>
      <c r="K51" s="83"/>
      <c r="L51" s="80"/>
      <c r="M51" s="81"/>
      <c r="N51" s="82"/>
      <c r="O51" s="83"/>
      <c r="P51" s="80"/>
      <c r="Q51" s="81"/>
      <c r="R51" s="82"/>
      <c r="S51" s="83"/>
      <c r="T51" s="80"/>
      <c r="U51" s="81"/>
      <c r="V51" s="82"/>
      <c r="W51" s="83"/>
      <c r="X51" s="80"/>
      <c r="Y51" s="81"/>
      <c r="Z51" s="82"/>
      <c r="AA51" s="83"/>
      <c r="AB51" s="80"/>
      <c r="AC51" s="81"/>
      <c r="AD51" s="82"/>
      <c r="AE51" s="83"/>
      <c r="AF51" s="80"/>
      <c r="AG51" s="81"/>
      <c r="AH51" s="82"/>
      <c r="AI51" s="83"/>
      <c r="AJ51" s="80"/>
      <c r="AK51" s="81"/>
      <c r="AL51" s="82"/>
      <c r="AM51" s="83"/>
      <c r="AN51" s="80"/>
      <c r="AO51" s="81"/>
      <c r="AP51" s="82"/>
      <c r="AQ51" s="83"/>
      <c r="AR51" s="80"/>
      <c r="AS51" s="81"/>
      <c r="AT51" s="82"/>
      <c r="AV51" s="80"/>
      <c r="AW51" s="81"/>
      <c r="AX51" s="82"/>
      <c r="AY51" s="83"/>
      <c r="AZ51" s="80"/>
      <c r="BA51" s="81"/>
      <c r="BB51" s="232"/>
      <c r="BC51" s="264">
        <f t="shared" si="2"/>
        <v>0</v>
      </c>
      <c r="BD51" s="265">
        <f t="shared" si="3"/>
        <v>0</v>
      </c>
      <c r="BE51" s="256">
        <v>7320</v>
      </c>
    </row>
    <row r="52" spans="2:57" hidden="1" x14ac:dyDescent="0.3">
      <c r="B52" s="6">
        <v>7350</v>
      </c>
      <c r="C52" s="7" t="s">
        <v>35</v>
      </c>
      <c r="D52" s="80"/>
      <c r="E52" s="93"/>
      <c r="F52" s="82"/>
      <c r="H52" s="80"/>
      <c r="I52" s="93"/>
      <c r="J52" s="82"/>
      <c r="K52" s="83"/>
      <c r="L52" s="80"/>
      <c r="M52" s="81"/>
      <c r="N52" s="82"/>
      <c r="O52" s="83"/>
      <c r="P52" s="80"/>
      <c r="Q52" s="81"/>
      <c r="R52" s="82"/>
      <c r="S52" s="83"/>
      <c r="T52" s="80"/>
      <c r="U52" s="81"/>
      <c r="V52" s="82"/>
      <c r="W52" s="83"/>
      <c r="X52" s="80"/>
      <c r="Y52" s="81"/>
      <c r="Z52" s="82"/>
      <c r="AA52" s="83"/>
      <c r="AB52" s="80"/>
      <c r="AC52" s="81"/>
      <c r="AD52" s="82"/>
      <c r="AE52" s="83"/>
      <c r="AF52" s="80"/>
      <c r="AG52" s="81"/>
      <c r="AH52" s="82"/>
      <c r="AI52" s="83"/>
      <c r="AJ52" s="80"/>
      <c r="AK52" s="81"/>
      <c r="AL52" s="82"/>
      <c r="AM52" s="83"/>
      <c r="AN52" s="80"/>
      <c r="AO52" s="81"/>
      <c r="AP52" s="82"/>
      <c r="AQ52" s="83"/>
      <c r="AR52" s="80"/>
      <c r="AS52" s="81"/>
      <c r="AT52" s="82"/>
      <c r="AV52" s="80"/>
      <c r="AW52" s="81"/>
      <c r="AX52" s="82"/>
      <c r="AY52" s="83"/>
      <c r="AZ52" s="80"/>
      <c r="BA52" s="81"/>
      <c r="BB52" s="232"/>
      <c r="BC52" s="264">
        <f t="shared" si="2"/>
        <v>0</v>
      </c>
      <c r="BD52" s="265">
        <f t="shared" si="3"/>
        <v>0</v>
      </c>
      <c r="BE52" s="256">
        <v>7350</v>
      </c>
    </row>
    <row r="53" spans="2:57" hidden="1" x14ac:dyDescent="0.3">
      <c r="B53" s="6">
        <v>7400</v>
      </c>
      <c r="C53" s="7" t="s">
        <v>36</v>
      </c>
      <c r="D53" s="80"/>
      <c r="E53" s="93"/>
      <c r="F53" s="82"/>
      <c r="H53" s="80"/>
      <c r="I53" s="93"/>
      <c r="J53" s="82"/>
      <c r="K53" s="83"/>
      <c r="L53" s="80"/>
      <c r="M53" s="81"/>
      <c r="N53" s="82"/>
      <c r="O53" s="83"/>
      <c r="P53" s="80"/>
      <c r="Q53" s="81"/>
      <c r="R53" s="82"/>
      <c r="S53" s="83"/>
      <c r="T53" s="80"/>
      <c r="U53" s="81"/>
      <c r="V53" s="82"/>
      <c r="W53" s="83"/>
      <c r="X53" s="80"/>
      <c r="Y53" s="81"/>
      <c r="Z53" s="82"/>
      <c r="AA53" s="83"/>
      <c r="AB53" s="80"/>
      <c r="AC53" s="81"/>
      <c r="AD53" s="82"/>
      <c r="AE53" s="83"/>
      <c r="AF53" s="80"/>
      <c r="AG53" s="81"/>
      <c r="AH53" s="82"/>
      <c r="AI53" s="83"/>
      <c r="AJ53" s="80"/>
      <c r="AK53" s="81"/>
      <c r="AL53" s="82"/>
      <c r="AM53" s="83"/>
      <c r="AN53" s="80"/>
      <c r="AO53" s="81"/>
      <c r="AP53" s="82"/>
      <c r="AQ53" s="83"/>
      <c r="AR53" s="80"/>
      <c r="AS53" s="81"/>
      <c r="AT53" s="82"/>
      <c r="AV53" s="80"/>
      <c r="AW53" s="81"/>
      <c r="AX53" s="82"/>
      <c r="AY53" s="83"/>
      <c r="AZ53" s="80"/>
      <c r="BA53" s="81"/>
      <c r="BB53" s="232"/>
      <c r="BC53" s="264">
        <f t="shared" si="2"/>
        <v>0</v>
      </c>
      <c r="BD53" s="265">
        <f t="shared" si="3"/>
        <v>0</v>
      </c>
      <c r="BE53" s="256">
        <v>7400</v>
      </c>
    </row>
    <row r="54" spans="2:57" hidden="1" x14ac:dyDescent="0.3">
      <c r="B54" s="6">
        <v>7411</v>
      </c>
      <c r="C54" s="7" t="s">
        <v>37</v>
      </c>
      <c r="D54" s="80"/>
      <c r="E54" s="93"/>
      <c r="F54" s="82"/>
      <c r="H54" s="80"/>
      <c r="I54" s="93"/>
      <c r="J54" s="82"/>
      <c r="K54" s="83"/>
      <c r="L54" s="80"/>
      <c r="M54" s="81"/>
      <c r="N54" s="82"/>
      <c r="O54" s="83"/>
      <c r="P54" s="80"/>
      <c r="Q54" s="81"/>
      <c r="R54" s="82"/>
      <c r="S54" s="83"/>
      <c r="T54" s="80"/>
      <c r="U54" s="81"/>
      <c r="V54" s="82"/>
      <c r="W54" s="83"/>
      <c r="X54" s="80"/>
      <c r="Y54" s="81"/>
      <c r="Z54" s="82"/>
      <c r="AA54" s="83"/>
      <c r="AB54" s="80"/>
      <c r="AC54" s="81"/>
      <c r="AD54" s="82"/>
      <c r="AE54" s="83"/>
      <c r="AF54" s="80"/>
      <c r="AG54" s="81"/>
      <c r="AH54" s="82"/>
      <c r="AI54" s="83"/>
      <c r="AJ54" s="80"/>
      <c r="AK54" s="81"/>
      <c r="AL54" s="82"/>
      <c r="AM54" s="83"/>
      <c r="AN54" s="80"/>
      <c r="AO54" s="81"/>
      <c r="AP54" s="82"/>
      <c r="AQ54" s="83"/>
      <c r="AR54" s="80"/>
      <c r="AS54" s="81"/>
      <c r="AT54" s="82"/>
      <c r="AV54" s="80"/>
      <c r="AW54" s="81"/>
      <c r="AX54" s="82"/>
      <c r="AY54" s="83"/>
      <c r="AZ54" s="80"/>
      <c r="BA54" s="81"/>
      <c r="BB54" s="232"/>
      <c r="BC54" s="264">
        <f t="shared" si="2"/>
        <v>0</v>
      </c>
      <c r="BD54" s="265">
        <f t="shared" si="3"/>
        <v>0</v>
      </c>
      <c r="BE54" s="256">
        <v>7411</v>
      </c>
    </row>
    <row r="55" spans="2:57" hidden="1" x14ac:dyDescent="0.3">
      <c r="B55" s="6">
        <v>7420</v>
      </c>
      <c r="C55" s="7" t="s">
        <v>38</v>
      </c>
      <c r="D55" s="80"/>
      <c r="E55" s="93"/>
      <c r="F55" s="82"/>
      <c r="H55" s="80"/>
      <c r="I55" s="93"/>
      <c r="J55" s="82"/>
      <c r="K55" s="83"/>
      <c r="L55" s="80"/>
      <c r="M55" s="81"/>
      <c r="N55" s="82"/>
      <c r="O55" s="83"/>
      <c r="P55" s="80"/>
      <c r="Q55" s="81"/>
      <c r="R55" s="82"/>
      <c r="S55" s="83"/>
      <c r="T55" s="80"/>
      <c r="U55" s="81"/>
      <c r="V55" s="82"/>
      <c r="W55" s="83"/>
      <c r="X55" s="80"/>
      <c r="Y55" s="81"/>
      <c r="Z55" s="82"/>
      <c r="AA55" s="83"/>
      <c r="AB55" s="80"/>
      <c r="AC55" s="81"/>
      <c r="AD55" s="82"/>
      <c r="AE55" s="83"/>
      <c r="AF55" s="80"/>
      <c r="AG55" s="81"/>
      <c r="AH55" s="82"/>
      <c r="AI55" s="83"/>
      <c r="AJ55" s="80"/>
      <c r="AK55" s="81"/>
      <c r="AL55" s="82"/>
      <c r="AM55" s="83"/>
      <c r="AN55" s="80"/>
      <c r="AO55" s="81"/>
      <c r="AP55" s="82"/>
      <c r="AQ55" s="83"/>
      <c r="AR55" s="80"/>
      <c r="AS55" s="81"/>
      <c r="AT55" s="82"/>
      <c r="AV55" s="80"/>
      <c r="AW55" s="81"/>
      <c r="AX55" s="82"/>
      <c r="AY55" s="83"/>
      <c r="AZ55" s="80"/>
      <c r="BA55" s="81"/>
      <c r="BB55" s="232"/>
      <c r="BC55" s="264">
        <f t="shared" si="2"/>
        <v>0</v>
      </c>
      <c r="BD55" s="265">
        <f t="shared" si="3"/>
        <v>0</v>
      </c>
      <c r="BE55" s="256">
        <v>7420</v>
      </c>
    </row>
    <row r="56" spans="2:57" x14ac:dyDescent="0.3">
      <c r="B56" s="6">
        <v>7400</v>
      </c>
      <c r="C56" s="191" t="s">
        <v>36</v>
      </c>
      <c r="D56" s="80"/>
      <c r="E56" s="93"/>
      <c r="F56" s="82"/>
      <c r="H56" s="80"/>
      <c r="I56" s="93"/>
      <c r="J56" s="82"/>
      <c r="K56" s="83"/>
      <c r="L56" s="80"/>
      <c r="M56" s="81"/>
      <c r="N56" s="82"/>
      <c r="O56" s="83"/>
      <c r="P56" s="80"/>
      <c r="Q56" s="81"/>
      <c r="R56" s="82"/>
      <c r="S56" s="83"/>
      <c r="T56" s="80"/>
      <c r="U56" s="81"/>
      <c r="V56" s="82"/>
      <c r="W56" s="83"/>
      <c r="X56" s="80"/>
      <c r="Y56" s="81"/>
      <c r="Z56" s="82"/>
      <c r="AA56" s="83"/>
      <c r="AB56" s="80"/>
      <c r="AC56" s="81"/>
      <c r="AD56" s="82"/>
      <c r="AE56" s="83"/>
      <c r="AF56" s="80"/>
      <c r="AG56" s="81"/>
      <c r="AH56" s="82"/>
      <c r="AI56" s="83"/>
      <c r="AJ56" s="80"/>
      <c r="AK56" s="81"/>
      <c r="AL56" s="82"/>
      <c r="AM56" s="83"/>
      <c r="AN56" s="80"/>
      <c r="AO56" s="81"/>
      <c r="AP56" s="82"/>
      <c r="AQ56" s="83"/>
      <c r="AR56" s="80"/>
      <c r="AS56" s="81"/>
      <c r="AT56" s="82"/>
      <c r="AV56" s="80"/>
      <c r="AW56" s="81"/>
      <c r="AX56" s="82"/>
      <c r="AY56" s="83"/>
      <c r="AZ56" s="80"/>
      <c r="BA56" s="81"/>
      <c r="BB56" s="232"/>
      <c r="BC56" s="266">
        <f t="shared" si="2"/>
        <v>0</v>
      </c>
      <c r="BD56" s="265">
        <f t="shared" si="3"/>
        <v>0</v>
      </c>
      <c r="BE56" s="256">
        <v>7400</v>
      </c>
    </row>
    <row r="57" spans="2:57" x14ac:dyDescent="0.3">
      <c r="B57" s="6">
        <v>7420</v>
      </c>
      <c r="C57" s="191" t="s">
        <v>38</v>
      </c>
      <c r="D57" s="80"/>
      <c r="E57" s="93"/>
      <c r="F57" s="82"/>
      <c r="H57" s="80"/>
      <c r="I57" s="93"/>
      <c r="J57" s="82"/>
      <c r="K57" s="83"/>
      <c r="L57" s="80"/>
      <c r="M57" s="81"/>
      <c r="N57" s="82"/>
      <c r="O57" s="83"/>
      <c r="P57" s="80"/>
      <c r="Q57" s="81"/>
      <c r="R57" s="82"/>
      <c r="S57" s="83"/>
      <c r="T57" s="80"/>
      <c r="U57" s="81"/>
      <c r="V57" s="82"/>
      <c r="W57" s="83"/>
      <c r="X57" s="80"/>
      <c r="Y57" s="81"/>
      <c r="Z57" s="82"/>
      <c r="AA57" s="83"/>
      <c r="AB57" s="80"/>
      <c r="AC57" s="81"/>
      <c r="AD57" s="82"/>
      <c r="AE57" s="83"/>
      <c r="AF57" s="80"/>
      <c r="AG57" s="81"/>
      <c r="AH57" s="82"/>
      <c r="AI57" s="83"/>
      <c r="AJ57" s="80"/>
      <c r="AK57" s="81"/>
      <c r="AL57" s="82"/>
      <c r="AM57" s="83"/>
      <c r="AN57" s="80"/>
      <c r="AO57" s="81"/>
      <c r="AP57" s="82"/>
      <c r="AQ57" s="83"/>
      <c r="AR57" s="80"/>
      <c r="AS57" s="81"/>
      <c r="AT57" s="82"/>
      <c r="AV57" s="80"/>
      <c r="AW57" s="81"/>
      <c r="AX57" s="82"/>
      <c r="AY57" s="83"/>
      <c r="AZ57" s="80"/>
      <c r="BA57" s="81"/>
      <c r="BB57" s="232"/>
      <c r="BC57" s="266">
        <f t="shared" si="2"/>
        <v>0</v>
      </c>
      <c r="BD57" s="265">
        <f t="shared" si="3"/>
        <v>0</v>
      </c>
      <c r="BE57" s="256"/>
    </row>
    <row r="58" spans="2:57" x14ac:dyDescent="0.3">
      <c r="B58" s="6">
        <v>7425</v>
      </c>
      <c r="C58" s="7" t="s">
        <v>39</v>
      </c>
      <c r="D58" s="80"/>
      <c r="E58" s="93"/>
      <c r="F58" s="82"/>
      <c r="H58" s="80"/>
      <c r="I58" s="93"/>
      <c r="J58" s="82"/>
      <c r="K58" s="83"/>
      <c r="L58" s="80"/>
      <c r="M58" s="81"/>
      <c r="N58" s="82"/>
      <c r="O58" s="83"/>
      <c r="P58" s="80"/>
      <c r="Q58" s="81"/>
      <c r="R58" s="82"/>
      <c r="S58" s="83"/>
      <c r="T58" s="80"/>
      <c r="U58" s="81"/>
      <c r="V58" s="82"/>
      <c r="W58" s="83"/>
      <c r="X58" s="80"/>
      <c r="Y58" s="81"/>
      <c r="Z58" s="82"/>
      <c r="AA58" s="83"/>
      <c r="AB58" s="80"/>
      <c r="AC58" s="81"/>
      <c r="AD58" s="82"/>
      <c r="AE58" s="83"/>
      <c r="AF58" s="80"/>
      <c r="AG58" s="81"/>
      <c r="AH58" s="82"/>
      <c r="AI58" s="83"/>
      <c r="AJ58" s="80"/>
      <c r="AK58" s="81"/>
      <c r="AL58" s="82"/>
      <c r="AM58" s="83"/>
      <c r="AN58" s="80"/>
      <c r="AO58" s="81"/>
      <c r="AP58" s="82"/>
      <c r="AQ58" s="83"/>
      <c r="AR58" s="80"/>
      <c r="AS58" s="81"/>
      <c r="AT58" s="82"/>
      <c r="AV58" s="80"/>
      <c r="AW58" s="81"/>
      <c r="AX58" s="82"/>
      <c r="AY58" s="83"/>
      <c r="AZ58" s="80"/>
      <c r="BA58" s="81"/>
      <c r="BB58" s="232"/>
      <c r="BC58" s="264">
        <f t="shared" si="2"/>
        <v>0</v>
      </c>
      <c r="BD58" s="265">
        <f t="shared" si="3"/>
        <v>0</v>
      </c>
      <c r="BE58" s="256">
        <v>7425</v>
      </c>
    </row>
    <row r="59" spans="2:57" hidden="1" x14ac:dyDescent="0.3">
      <c r="B59" s="6">
        <v>7430</v>
      </c>
      <c r="C59" s="7" t="s">
        <v>40</v>
      </c>
      <c r="D59" s="80"/>
      <c r="E59" s="93"/>
      <c r="F59" s="82"/>
      <c r="H59" s="80"/>
      <c r="I59" s="93"/>
      <c r="J59" s="82"/>
      <c r="K59" s="83"/>
      <c r="L59" s="80"/>
      <c r="M59" s="81"/>
      <c r="N59" s="82"/>
      <c r="O59" s="83"/>
      <c r="P59" s="80"/>
      <c r="Q59" s="81"/>
      <c r="R59" s="82"/>
      <c r="S59" s="83"/>
      <c r="T59" s="80"/>
      <c r="U59" s="81"/>
      <c r="V59" s="82"/>
      <c r="W59" s="83"/>
      <c r="X59" s="80"/>
      <c r="Y59" s="81"/>
      <c r="Z59" s="82"/>
      <c r="AA59" s="83"/>
      <c r="AB59" s="80"/>
      <c r="AC59" s="81"/>
      <c r="AD59" s="82"/>
      <c r="AE59" s="83"/>
      <c r="AF59" s="80"/>
      <c r="AG59" s="81"/>
      <c r="AH59" s="82"/>
      <c r="AI59" s="83"/>
      <c r="AJ59" s="80"/>
      <c r="AK59" s="81"/>
      <c r="AL59" s="82"/>
      <c r="AM59" s="83"/>
      <c r="AN59" s="80"/>
      <c r="AO59" s="81"/>
      <c r="AP59" s="82"/>
      <c r="AQ59" s="83"/>
      <c r="AR59" s="80"/>
      <c r="AS59" s="81"/>
      <c r="AT59" s="82"/>
      <c r="AV59" s="80"/>
      <c r="AW59" s="81"/>
      <c r="AX59" s="82"/>
      <c r="AY59" s="83"/>
      <c r="AZ59" s="80"/>
      <c r="BA59" s="81"/>
      <c r="BB59" s="232"/>
      <c r="BC59" s="264">
        <f t="shared" si="2"/>
        <v>0</v>
      </c>
      <c r="BD59" s="265">
        <f t="shared" si="3"/>
        <v>0</v>
      </c>
      <c r="BE59" s="256">
        <v>7430</v>
      </c>
    </row>
    <row r="60" spans="2:57" hidden="1" x14ac:dyDescent="0.3">
      <c r="B60" s="6">
        <v>7500</v>
      </c>
      <c r="C60" s="7" t="s">
        <v>41</v>
      </c>
      <c r="D60" s="80">
        <v>0</v>
      </c>
      <c r="E60" s="93"/>
      <c r="F60" s="82"/>
      <c r="H60" s="80"/>
      <c r="I60" s="93"/>
      <c r="J60" s="82"/>
      <c r="K60" s="83"/>
      <c r="L60" s="80"/>
      <c r="M60" s="81"/>
      <c r="N60" s="82"/>
      <c r="O60" s="83"/>
      <c r="P60" s="80"/>
      <c r="Q60" s="81"/>
      <c r="R60" s="82"/>
      <c r="S60" s="83"/>
      <c r="T60" s="80"/>
      <c r="U60" s="81"/>
      <c r="V60" s="82"/>
      <c r="W60" s="83"/>
      <c r="X60" s="80"/>
      <c r="Y60" s="81"/>
      <c r="Z60" s="82"/>
      <c r="AA60" s="83"/>
      <c r="AB60" s="80"/>
      <c r="AC60" s="81"/>
      <c r="AD60" s="82"/>
      <c r="AE60" s="83"/>
      <c r="AF60" s="80"/>
      <c r="AG60" s="81"/>
      <c r="AH60" s="82"/>
      <c r="AI60" s="83"/>
      <c r="AJ60" s="80"/>
      <c r="AK60" s="81"/>
      <c r="AL60" s="82"/>
      <c r="AM60" s="83"/>
      <c r="AN60" s="80"/>
      <c r="AO60" s="81"/>
      <c r="AP60" s="82"/>
      <c r="AQ60" s="83"/>
      <c r="AR60" s="80"/>
      <c r="AS60" s="81"/>
      <c r="AT60" s="82"/>
      <c r="AV60" s="80"/>
      <c r="AW60" s="81"/>
      <c r="AX60" s="82"/>
      <c r="AY60" s="83"/>
      <c r="AZ60" s="80"/>
      <c r="BA60" s="81"/>
      <c r="BB60" s="232"/>
      <c r="BC60" s="264">
        <f t="shared" si="2"/>
        <v>0</v>
      </c>
      <c r="BD60" s="265">
        <f t="shared" si="3"/>
        <v>0</v>
      </c>
      <c r="BE60" s="256">
        <v>7500</v>
      </c>
    </row>
    <row r="61" spans="2:57" hidden="1" x14ac:dyDescent="0.3">
      <c r="B61" s="6">
        <v>7746</v>
      </c>
      <c r="C61" s="7" t="s">
        <v>42</v>
      </c>
      <c r="D61" s="80"/>
      <c r="E61" s="93"/>
      <c r="F61" s="82"/>
      <c r="H61" s="80"/>
      <c r="I61" s="93"/>
      <c r="J61" s="82"/>
      <c r="K61" s="83"/>
      <c r="L61" s="80"/>
      <c r="M61" s="81"/>
      <c r="N61" s="82"/>
      <c r="O61" s="83"/>
      <c r="P61" s="80"/>
      <c r="Q61" s="81"/>
      <c r="R61" s="82"/>
      <c r="S61" s="83"/>
      <c r="T61" s="80"/>
      <c r="U61" s="81"/>
      <c r="V61" s="82"/>
      <c r="W61" s="83"/>
      <c r="X61" s="80"/>
      <c r="Y61" s="81"/>
      <c r="Z61" s="82"/>
      <c r="AA61" s="83"/>
      <c r="AB61" s="80"/>
      <c r="AC61" s="81"/>
      <c r="AD61" s="82"/>
      <c r="AE61" s="83"/>
      <c r="AF61" s="80"/>
      <c r="AG61" s="81"/>
      <c r="AH61" s="82"/>
      <c r="AI61" s="83"/>
      <c r="AJ61" s="80"/>
      <c r="AK61" s="81"/>
      <c r="AL61" s="82"/>
      <c r="AM61" s="83"/>
      <c r="AN61" s="80"/>
      <c r="AO61" s="81"/>
      <c r="AP61" s="82"/>
      <c r="AQ61" s="83"/>
      <c r="AR61" s="80"/>
      <c r="AS61" s="81"/>
      <c r="AT61" s="82"/>
      <c r="AV61" s="80"/>
      <c r="AW61" s="81"/>
      <c r="AX61" s="82"/>
      <c r="AY61" s="83"/>
      <c r="AZ61" s="80"/>
      <c r="BA61" s="81"/>
      <c r="BB61" s="232"/>
      <c r="BC61" s="264">
        <f t="shared" si="2"/>
        <v>0</v>
      </c>
      <c r="BD61" s="265">
        <f t="shared" si="3"/>
        <v>0</v>
      </c>
      <c r="BE61" s="256">
        <v>7746</v>
      </c>
    </row>
    <row r="62" spans="2:57" ht="14.4" customHeight="1" x14ac:dyDescent="0.3">
      <c r="B62" s="6">
        <v>7770</v>
      </c>
      <c r="C62" s="7" t="s">
        <v>43</v>
      </c>
      <c r="D62" s="80">
        <v>3000</v>
      </c>
      <c r="E62" s="93"/>
      <c r="F62" s="82"/>
      <c r="H62" s="188"/>
      <c r="I62" s="93"/>
      <c r="J62" s="82"/>
      <c r="K62" s="83"/>
      <c r="L62" s="80"/>
      <c r="M62" s="81"/>
      <c r="N62" s="82"/>
      <c r="O62" s="83"/>
      <c r="P62" s="80"/>
      <c r="Q62" s="81"/>
      <c r="R62" s="82"/>
      <c r="S62" s="83"/>
      <c r="T62" s="80"/>
      <c r="U62" s="81"/>
      <c r="V62" s="82"/>
      <c r="W62" s="83"/>
      <c r="X62" s="80"/>
      <c r="Y62" s="81"/>
      <c r="Z62" s="82"/>
      <c r="AA62" s="83"/>
      <c r="AB62" s="80"/>
      <c r="AC62" s="81"/>
      <c r="AD62" s="82"/>
      <c r="AE62" s="83"/>
      <c r="AF62" s="80"/>
      <c r="AG62" s="81"/>
      <c r="AH62" s="82"/>
      <c r="AI62" s="83"/>
      <c r="AJ62" s="188"/>
      <c r="AK62" s="81"/>
      <c r="AL62" s="82"/>
      <c r="AM62" s="83"/>
      <c r="AN62" s="80"/>
      <c r="AO62" s="81"/>
      <c r="AP62" s="82"/>
      <c r="AQ62" s="83"/>
      <c r="AR62" s="80"/>
      <c r="AS62" s="81"/>
      <c r="AT62" s="82"/>
      <c r="AV62" s="188"/>
      <c r="AW62" s="81"/>
      <c r="AX62" s="82"/>
      <c r="AY62" s="83"/>
      <c r="AZ62" s="188"/>
      <c r="BA62" s="81"/>
      <c r="BB62" s="232"/>
      <c r="BC62" s="264">
        <f t="shared" si="2"/>
        <v>0</v>
      </c>
      <c r="BD62" s="265">
        <f t="shared" si="3"/>
        <v>3000</v>
      </c>
      <c r="BE62" s="256">
        <v>7770</v>
      </c>
    </row>
    <row r="63" spans="2:57" ht="15" hidden="1" thickBot="1" x14ac:dyDescent="0.35">
      <c r="B63" s="6">
        <v>7775</v>
      </c>
      <c r="C63" s="7" t="s">
        <v>44</v>
      </c>
      <c r="D63" s="80"/>
      <c r="E63" s="93"/>
      <c r="F63" s="82"/>
      <c r="H63" s="188"/>
      <c r="I63" s="93"/>
      <c r="J63" s="82"/>
      <c r="K63" s="83"/>
      <c r="L63" s="80"/>
      <c r="M63" s="81"/>
      <c r="N63" s="82"/>
      <c r="O63" s="83"/>
      <c r="P63" s="80"/>
      <c r="Q63" s="81"/>
      <c r="R63" s="82"/>
      <c r="S63" s="83"/>
      <c r="T63" s="80"/>
      <c r="U63" s="81"/>
      <c r="V63" s="82"/>
      <c r="W63" s="83"/>
      <c r="X63" s="80"/>
      <c r="Y63" s="81"/>
      <c r="Z63" s="82"/>
      <c r="AA63" s="83"/>
      <c r="AB63" s="80"/>
      <c r="AC63" s="81"/>
      <c r="AD63" s="82"/>
      <c r="AE63" s="83"/>
      <c r="AF63" s="80"/>
      <c r="AG63" s="81"/>
      <c r="AH63" s="82"/>
      <c r="AI63" s="83"/>
      <c r="AJ63" s="189"/>
      <c r="AK63" s="85"/>
      <c r="AL63" s="86"/>
      <c r="AM63" s="83"/>
      <c r="AN63" s="80"/>
      <c r="AO63" s="81"/>
      <c r="AP63" s="82"/>
      <c r="AQ63" s="83"/>
      <c r="AR63" s="80"/>
      <c r="AS63" s="81"/>
      <c r="AT63" s="82"/>
      <c r="AV63" s="188"/>
      <c r="AW63" s="81"/>
      <c r="AX63" s="82"/>
      <c r="AY63" s="83"/>
      <c r="AZ63" s="188"/>
      <c r="BA63" s="81"/>
      <c r="BB63" s="232"/>
      <c r="BC63" s="264">
        <f t="shared" si="2"/>
        <v>0</v>
      </c>
      <c r="BD63" s="265">
        <f t="shared" si="3"/>
        <v>0</v>
      </c>
      <c r="BE63" s="258">
        <v>7775</v>
      </c>
    </row>
    <row r="64" spans="2:57" ht="15" thickBot="1" x14ac:dyDescent="0.35">
      <c r="B64" s="6">
        <v>7775</v>
      </c>
      <c r="C64" s="191" t="s">
        <v>44</v>
      </c>
      <c r="D64" s="188"/>
      <c r="E64" s="93"/>
      <c r="F64" s="82"/>
      <c r="H64" s="188"/>
      <c r="I64" s="93"/>
      <c r="J64" s="82"/>
      <c r="K64" s="83"/>
      <c r="L64" s="188"/>
      <c r="M64" s="81"/>
      <c r="N64" s="82"/>
      <c r="O64" s="83"/>
      <c r="P64" s="188"/>
      <c r="Q64" s="81"/>
      <c r="R64" s="82"/>
      <c r="S64" s="83"/>
      <c r="T64" s="188"/>
      <c r="U64" s="81"/>
      <c r="V64" s="82"/>
      <c r="W64" s="83"/>
      <c r="X64" s="188"/>
      <c r="Y64" s="81"/>
      <c r="Z64" s="82"/>
      <c r="AA64" s="83"/>
      <c r="AB64" s="188"/>
      <c r="AC64" s="81"/>
      <c r="AD64" s="82"/>
      <c r="AE64" s="83"/>
      <c r="AF64" s="188"/>
      <c r="AG64" s="81"/>
      <c r="AH64" s="82"/>
      <c r="AI64" s="83"/>
      <c r="AJ64" s="188"/>
      <c r="AK64" s="81"/>
      <c r="AL64" s="82"/>
      <c r="AM64" s="83"/>
      <c r="AN64" s="188"/>
      <c r="AO64" s="81"/>
      <c r="AP64" s="82"/>
      <c r="AQ64" s="83"/>
      <c r="AR64" s="188"/>
      <c r="AS64" s="81"/>
      <c r="AT64" s="82"/>
      <c r="AV64" s="188"/>
      <c r="AW64" s="81"/>
      <c r="AX64" s="82"/>
      <c r="AY64" s="83"/>
      <c r="AZ64" s="188"/>
      <c r="BA64" s="81"/>
      <c r="BB64" s="232"/>
      <c r="BC64" s="266">
        <f t="shared" si="2"/>
        <v>0</v>
      </c>
      <c r="BD64" s="265">
        <f t="shared" si="3"/>
        <v>0</v>
      </c>
      <c r="BE64" s="42">
        <v>7775</v>
      </c>
    </row>
    <row r="65" spans="2:58" ht="15" thickBot="1" x14ac:dyDescent="0.35">
      <c r="B65" s="178">
        <v>7790</v>
      </c>
      <c r="C65" s="192" t="s">
        <v>285</v>
      </c>
      <c r="D65" s="188"/>
      <c r="E65" s="93"/>
      <c r="F65" s="82"/>
      <c r="H65" s="188"/>
      <c r="I65" s="93"/>
      <c r="J65" s="82"/>
      <c r="K65" s="83"/>
      <c r="L65" s="188"/>
      <c r="M65" s="81"/>
      <c r="N65" s="82"/>
      <c r="O65" s="83"/>
      <c r="P65" s="188"/>
      <c r="Q65" s="81"/>
      <c r="R65" s="82"/>
      <c r="S65" s="83"/>
      <c r="T65" s="188"/>
      <c r="U65" s="81"/>
      <c r="V65" s="82"/>
      <c r="W65" s="83"/>
      <c r="X65" s="188"/>
      <c r="Y65" s="81"/>
      <c r="Z65" s="82"/>
      <c r="AA65" s="83"/>
      <c r="AB65" s="188"/>
      <c r="AC65" s="81"/>
      <c r="AD65" s="82"/>
      <c r="AE65" s="83"/>
      <c r="AF65" s="188"/>
      <c r="AG65" s="81"/>
      <c r="AH65" s="82"/>
      <c r="AI65" s="83"/>
      <c r="AJ65" s="188"/>
      <c r="AK65" s="81"/>
      <c r="AL65" s="82"/>
      <c r="AM65" s="83"/>
      <c r="AN65" s="188"/>
      <c r="AO65" s="81"/>
      <c r="AP65" s="82"/>
      <c r="AQ65" s="83"/>
      <c r="AR65" s="188"/>
      <c r="AS65" s="81"/>
      <c r="AT65" s="82"/>
      <c r="AV65" s="188"/>
      <c r="AW65" s="81"/>
      <c r="AX65" s="82"/>
      <c r="AY65" s="83"/>
      <c r="AZ65" s="188"/>
      <c r="BA65" s="81"/>
      <c r="BB65" s="232"/>
      <c r="BC65" s="266">
        <f t="shared" si="2"/>
        <v>0</v>
      </c>
      <c r="BD65" s="265">
        <f t="shared" si="3"/>
        <v>0</v>
      </c>
      <c r="BE65" s="42">
        <v>7790</v>
      </c>
    </row>
    <row r="66" spans="2:58" ht="15" thickBot="1" x14ac:dyDescent="0.35">
      <c r="B66" s="6">
        <v>7830</v>
      </c>
      <c r="C66" s="191" t="s">
        <v>286</v>
      </c>
      <c r="D66" s="188"/>
      <c r="E66" s="93"/>
      <c r="F66" s="82"/>
      <c r="H66" s="188"/>
      <c r="I66" s="93"/>
      <c r="J66" s="82"/>
      <c r="K66" s="83"/>
      <c r="L66" s="188"/>
      <c r="M66" s="81"/>
      <c r="N66" s="82"/>
      <c r="O66" s="83"/>
      <c r="P66" s="188"/>
      <c r="Q66" s="81"/>
      <c r="R66" s="82"/>
      <c r="S66" s="83"/>
      <c r="T66" s="188"/>
      <c r="U66" s="81"/>
      <c r="V66" s="82"/>
      <c r="W66" s="83"/>
      <c r="X66" s="188"/>
      <c r="Y66" s="81"/>
      <c r="Z66" s="82"/>
      <c r="AA66" s="83"/>
      <c r="AB66" s="188"/>
      <c r="AC66" s="81"/>
      <c r="AD66" s="82"/>
      <c r="AE66" s="83"/>
      <c r="AF66" s="188"/>
      <c r="AG66" s="81"/>
      <c r="AH66" s="82"/>
      <c r="AI66" s="83"/>
      <c r="AJ66" s="188"/>
      <c r="AK66" s="81"/>
      <c r="AL66" s="82"/>
      <c r="AM66" s="83"/>
      <c r="AN66" s="188"/>
      <c r="AO66" s="81"/>
      <c r="AP66" s="82"/>
      <c r="AQ66" s="83"/>
      <c r="AR66" s="188"/>
      <c r="AS66" s="81"/>
      <c r="AT66" s="82"/>
      <c r="AV66" s="188"/>
      <c r="AW66" s="81"/>
      <c r="AX66" s="82"/>
      <c r="AY66" s="83"/>
      <c r="AZ66" s="188"/>
      <c r="BA66" s="81"/>
      <c r="BB66" s="232"/>
      <c r="BC66" s="266">
        <f t="shared" si="2"/>
        <v>0</v>
      </c>
      <c r="BD66" s="265">
        <f t="shared" si="3"/>
        <v>0</v>
      </c>
      <c r="BE66" s="42">
        <v>7830</v>
      </c>
    </row>
    <row r="67" spans="2:58" ht="15" thickBot="1" x14ac:dyDescent="0.35">
      <c r="B67" s="193">
        <v>8040</v>
      </c>
      <c r="C67" s="186" t="s">
        <v>287</v>
      </c>
      <c r="D67" s="188">
        <v>-9000</v>
      </c>
      <c r="E67" s="93"/>
      <c r="F67" s="82"/>
      <c r="H67" s="188"/>
      <c r="I67" s="93"/>
      <c r="J67" s="82"/>
      <c r="K67" s="83"/>
      <c r="L67" s="188"/>
      <c r="M67" s="81"/>
      <c r="N67" s="82"/>
      <c r="O67" s="83"/>
      <c r="P67" s="188"/>
      <c r="Q67" s="81"/>
      <c r="R67" s="82"/>
      <c r="S67" s="83"/>
      <c r="T67" s="188"/>
      <c r="U67" s="81"/>
      <c r="V67" s="82"/>
      <c r="W67" s="83"/>
      <c r="X67" s="188"/>
      <c r="Y67" s="81"/>
      <c r="Z67" s="82"/>
      <c r="AA67" s="83"/>
      <c r="AB67" s="188"/>
      <c r="AC67" s="81"/>
      <c r="AD67" s="82"/>
      <c r="AE67" s="83"/>
      <c r="AF67" s="188"/>
      <c r="AG67" s="81"/>
      <c r="AH67" s="82"/>
      <c r="AI67" s="83"/>
      <c r="AJ67" s="188"/>
      <c r="AK67" s="81"/>
      <c r="AL67" s="82"/>
      <c r="AM67" s="83"/>
      <c r="AN67" s="188"/>
      <c r="AO67" s="81"/>
      <c r="AP67" s="82"/>
      <c r="AQ67" s="83"/>
      <c r="AR67" s="188"/>
      <c r="AS67" s="81"/>
      <c r="AT67" s="82"/>
      <c r="AV67" s="188"/>
      <c r="AW67" s="81"/>
      <c r="AX67" s="82"/>
      <c r="AY67" s="83"/>
      <c r="AZ67" s="188"/>
      <c r="BA67" s="81"/>
      <c r="BB67" s="232"/>
      <c r="BC67" s="266">
        <f t="shared" si="2"/>
        <v>0</v>
      </c>
      <c r="BD67" s="265">
        <f t="shared" si="3"/>
        <v>-9000</v>
      </c>
      <c r="BE67" s="42">
        <v>8040</v>
      </c>
    </row>
    <row r="68" spans="2:58" ht="15" thickBot="1" x14ac:dyDescent="0.35">
      <c r="B68" s="193">
        <v>8170</v>
      </c>
      <c r="C68" s="194" t="s">
        <v>288</v>
      </c>
      <c r="D68" s="188"/>
      <c r="E68" s="93"/>
      <c r="F68" s="82"/>
      <c r="H68" s="201"/>
      <c r="I68" s="202"/>
      <c r="J68" s="200"/>
      <c r="K68" s="83"/>
      <c r="L68" s="201"/>
      <c r="M68" s="203"/>
      <c r="N68" s="200"/>
      <c r="O68" s="83"/>
      <c r="P68" s="201"/>
      <c r="Q68" s="203"/>
      <c r="R68" s="200"/>
      <c r="S68" s="83"/>
      <c r="T68" s="201"/>
      <c r="U68" s="203"/>
      <c r="V68" s="200"/>
      <c r="W68" s="83"/>
      <c r="X68" s="201"/>
      <c r="Y68" s="203"/>
      <c r="Z68" s="200"/>
      <c r="AA68" s="83"/>
      <c r="AB68" s="201"/>
      <c r="AC68" s="203"/>
      <c r="AD68" s="200"/>
      <c r="AE68" s="83"/>
      <c r="AF68" s="201"/>
      <c r="AG68" s="203"/>
      <c r="AH68" s="200"/>
      <c r="AI68" s="83"/>
      <c r="AJ68" s="201"/>
      <c r="AK68" s="203"/>
      <c r="AL68" s="200"/>
      <c r="AM68" s="83"/>
      <c r="AN68" s="201"/>
      <c r="AO68" s="203"/>
      <c r="AP68" s="200"/>
      <c r="AQ68" s="83"/>
      <c r="AR68" s="201"/>
      <c r="AS68" s="203"/>
      <c r="AT68" s="200"/>
      <c r="AV68" s="189"/>
      <c r="AW68" s="85"/>
      <c r="AX68" s="86"/>
      <c r="AY68" s="83"/>
      <c r="AZ68" s="189"/>
      <c r="BA68" s="85"/>
      <c r="BB68" s="177"/>
      <c r="BC68" s="267">
        <f t="shared" si="2"/>
        <v>0</v>
      </c>
      <c r="BD68" s="268">
        <f t="shared" ref="BD68:BD70" si="4">SUM(D68+H68+L68+P68+T68+X68+AB68+AF68+AJ68+AN68+AR68+AV68+AZ68)</f>
        <v>0</v>
      </c>
      <c r="BE68" s="42">
        <v>8170</v>
      </c>
      <c r="BF68" s="223" t="s">
        <v>310</v>
      </c>
    </row>
    <row r="69" spans="2:58" ht="15" thickBot="1" x14ac:dyDescent="0.35">
      <c r="B69" s="8"/>
      <c r="C69" s="199" t="s">
        <v>74</v>
      </c>
      <c r="D69" s="196">
        <f>SUM(D13:D68)</f>
        <v>467977.520915</v>
      </c>
      <c r="E69" s="197"/>
      <c r="F69" s="198">
        <f>SUM(F13:F68)</f>
        <v>0</v>
      </c>
      <c r="H69" s="96">
        <f>SUM(H13:H68)</f>
        <v>27256</v>
      </c>
      <c r="I69" s="150"/>
      <c r="J69" s="96">
        <f>SUM(J13:J68)</f>
        <v>0</v>
      </c>
      <c r="K69" s="83"/>
      <c r="L69" s="96">
        <f>SUM(L13:L63)</f>
        <v>24200</v>
      </c>
      <c r="M69" s="96"/>
      <c r="N69" s="96">
        <f>SUM(N13:N68)</f>
        <v>0</v>
      </c>
      <c r="O69" s="83"/>
      <c r="P69" s="96">
        <f>SUM(P13:P63)</f>
        <v>18500</v>
      </c>
      <c r="Q69" s="96">
        <f>SUM(Q13:Q63)</f>
        <v>0</v>
      </c>
      <c r="R69" s="96">
        <f>SUM(R13:R68)</f>
        <v>0</v>
      </c>
      <c r="S69" s="83"/>
      <c r="T69" s="96">
        <f>SUM(T13:T63)</f>
        <v>4000</v>
      </c>
      <c r="U69" s="96">
        <f>SUM(U13:U63)</f>
        <v>0</v>
      </c>
      <c r="V69" s="96">
        <f>SUM(V13:V68)</f>
        <v>0</v>
      </c>
      <c r="W69" s="83"/>
      <c r="X69" s="96">
        <f>SUM(X13:X63)</f>
        <v>22000</v>
      </c>
      <c r="Y69" s="96">
        <f>SUM(Y13:Y63)</f>
        <v>0</v>
      </c>
      <c r="Z69" s="96">
        <f>SUM(Z13:Z68)</f>
        <v>0</v>
      </c>
      <c r="AA69" s="83"/>
      <c r="AB69" s="96">
        <f>SUM(AB13:AB63)</f>
        <v>0</v>
      </c>
      <c r="AC69" s="96">
        <f>SUM(AC13:AC63)</f>
        <v>0</v>
      </c>
      <c r="AD69" s="96">
        <v>0</v>
      </c>
      <c r="AE69" s="83"/>
      <c r="AF69" s="96">
        <f>SUM(AF13:AF63)</f>
        <v>0</v>
      </c>
      <c r="AG69" s="96"/>
      <c r="AH69" s="96">
        <f>SUM(AH13:AH63)</f>
        <v>0</v>
      </c>
      <c r="AI69" s="83">
        <f>SUM(AI13:AI63)</f>
        <v>0</v>
      </c>
      <c r="AJ69" s="96">
        <f>SUM(AJ13:AJ63)</f>
        <v>0</v>
      </c>
      <c r="AK69" s="96"/>
      <c r="AL69" s="96">
        <f>SUM(AL13:AL63)</f>
        <v>0</v>
      </c>
      <c r="AM69" s="83"/>
      <c r="AN69" s="96">
        <f>SUM(AN13:AN63)</f>
        <v>0</v>
      </c>
      <c r="AO69" s="96"/>
      <c r="AP69" s="96">
        <f>SUM(AP13:AP63)</f>
        <v>0</v>
      </c>
      <c r="AQ69" s="83"/>
      <c r="AR69" s="96">
        <f>SUM(AR13:AR63)</f>
        <v>0</v>
      </c>
      <c r="AS69" s="96"/>
      <c r="AT69" s="96">
        <f>SUM(AT13:AT68)</f>
        <v>0</v>
      </c>
      <c r="AV69" s="96">
        <f>SUM(AV13:AV63)</f>
        <v>0</v>
      </c>
      <c r="AW69" s="96"/>
      <c r="AX69" s="96">
        <f>SUM(AX13:AX63)</f>
        <v>0</v>
      </c>
      <c r="AY69" s="83"/>
      <c r="AZ69" s="96">
        <f>SUM(AZ13:AZ63)</f>
        <v>0</v>
      </c>
      <c r="BA69" s="96"/>
      <c r="BB69" s="207">
        <f>SUM(BB13:BB63)</f>
        <v>0</v>
      </c>
      <c r="BC69" s="259">
        <f>SUM(BC13:BC68)</f>
        <v>0</v>
      </c>
      <c r="BD69" s="260">
        <f t="shared" si="4"/>
        <v>563933.520915</v>
      </c>
      <c r="BE69" s="257"/>
      <c r="BF69" s="220">
        <f>SUM(D69+H69+L69+P69+T69+X69+AB69+AF69+AJ69+AN69+AR69+AV69+AZ69)</f>
        <v>563933.520915</v>
      </c>
    </row>
    <row r="70" spans="2:58" ht="15" thickBot="1" x14ac:dyDescent="0.35">
      <c r="C70" s="13" t="s">
        <v>373</v>
      </c>
      <c r="D70" s="310">
        <f>D12-D69</f>
        <v>-467977.520915</v>
      </c>
      <c r="E70" s="312"/>
      <c r="F70" s="310">
        <f>F12-F69</f>
        <v>0</v>
      </c>
      <c r="G70" s="313"/>
      <c r="H70" s="310">
        <f>H12-H69</f>
        <v>-27256</v>
      </c>
      <c r="I70" s="312"/>
      <c r="J70" s="310">
        <f>J12-J69</f>
        <v>0</v>
      </c>
      <c r="K70" s="313"/>
      <c r="L70" s="310">
        <f>L12-L69</f>
        <v>-24200</v>
      </c>
      <c r="M70" s="310"/>
      <c r="N70" s="310">
        <f>N12-N69</f>
        <v>0</v>
      </c>
      <c r="O70" s="313"/>
      <c r="P70" s="310">
        <f>P12-P69</f>
        <v>-18500</v>
      </c>
      <c r="Q70" s="310"/>
      <c r="R70" s="310">
        <f>R12-R69</f>
        <v>0</v>
      </c>
      <c r="S70" s="313"/>
      <c r="T70" s="310">
        <f>T12-T69</f>
        <v>-3000</v>
      </c>
      <c r="U70" s="310"/>
      <c r="V70" s="310">
        <f>V12-V69</f>
        <v>0</v>
      </c>
      <c r="W70" s="313"/>
      <c r="X70" s="310">
        <f>X12-X69</f>
        <v>-22000</v>
      </c>
      <c r="Y70" s="310"/>
      <c r="Z70" s="310">
        <f>Z12-Z69</f>
        <v>0</v>
      </c>
      <c r="AA70" s="313"/>
      <c r="AB70" s="310">
        <f>AB12-AB69</f>
        <v>781773</v>
      </c>
      <c r="AC70" s="310"/>
      <c r="AD70" s="310">
        <f>AD12-AD69</f>
        <v>0</v>
      </c>
      <c r="AE70" s="313"/>
      <c r="AF70" s="310">
        <f>AF12-AF69</f>
        <v>194783</v>
      </c>
      <c r="AG70" s="310"/>
      <c r="AH70" s="310">
        <f>AH12-AH69</f>
        <v>0</v>
      </c>
      <c r="AI70" s="313"/>
      <c r="AJ70" s="310">
        <f>AJ12-AJ69</f>
        <v>550000</v>
      </c>
      <c r="AK70" s="310"/>
      <c r="AL70" s="310">
        <f>AL12-AL69</f>
        <v>0</v>
      </c>
      <c r="AM70" s="313"/>
      <c r="AN70" s="310">
        <f>AN12-AN69</f>
        <v>0</v>
      </c>
      <c r="AO70" s="310"/>
      <c r="AP70" s="310">
        <f>AP12-AP69</f>
        <v>0</v>
      </c>
      <c r="AQ70" s="313"/>
      <c r="AR70" s="310">
        <f>AR12-AR69</f>
        <v>250000</v>
      </c>
      <c r="AS70" s="310"/>
      <c r="AT70" s="310">
        <f>AT12-AT69</f>
        <v>0</v>
      </c>
      <c r="AU70" s="313"/>
      <c r="AV70" s="310">
        <f>AV12-AV69</f>
        <v>100000</v>
      </c>
      <c r="AW70" s="310"/>
      <c r="AX70" s="310">
        <f>AX12-AX69</f>
        <v>0</v>
      </c>
      <c r="AY70" s="313"/>
      <c r="AZ70" s="310">
        <f>AZ12-AZ69</f>
        <v>20000</v>
      </c>
      <c r="BA70" s="310"/>
      <c r="BB70" s="314">
        <f>BB12-BB69</f>
        <v>0</v>
      </c>
      <c r="BC70" s="315">
        <f>BC12-BC69</f>
        <v>0</v>
      </c>
      <c r="BD70" s="316">
        <f t="shared" si="4"/>
        <v>1333622.479085</v>
      </c>
      <c r="BE70" s="42"/>
      <c r="BF70" s="42"/>
    </row>
    <row r="72" spans="2:58" x14ac:dyDescent="0.3">
      <c r="D72" s="346" t="s">
        <v>164</v>
      </c>
      <c r="E72" s="346"/>
      <c r="F72" s="346"/>
      <c r="H72" s="346" t="s">
        <v>264</v>
      </c>
      <c r="I72" s="346"/>
      <c r="J72" s="346"/>
      <c r="L72" s="346"/>
      <c r="M72" s="346"/>
      <c r="N72" s="346"/>
    </row>
    <row r="73" spans="2:58" x14ac:dyDescent="0.3">
      <c r="D73" s="346"/>
      <c r="E73" s="346"/>
      <c r="F73" s="346"/>
      <c r="H73" s="346"/>
      <c r="I73" s="346"/>
      <c r="J73" s="346"/>
      <c r="L73" s="346"/>
      <c r="M73" s="346"/>
      <c r="N73" s="346"/>
    </row>
    <row r="74" spans="2:58" x14ac:dyDescent="0.3">
      <c r="D74" s="346"/>
      <c r="E74" s="346"/>
      <c r="F74" s="346"/>
      <c r="H74" s="346"/>
      <c r="I74" s="346"/>
      <c r="J74" s="346"/>
      <c r="L74" s="346"/>
      <c r="M74" s="346"/>
      <c r="N74" s="346"/>
    </row>
    <row r="75" spans="2:58" x14ac:dyDescent="0.3">
      <c r="D75" s="346"/>
      <c r="E75" s="346"/>
      <c r="F75" s="346"/>
      <c r="H75" s="346"/>
      <c r="I75" s="346"/>
      <c r="J75" s="346"/>
      <c r="L75" s="346"/>
      <c r="M75" s="346"/>
      <c r="N75" s="346"/>
    </row>
    <row r="76" spans="2:58" x14ac:dyDescent="0.3">
      <c r="D76" s="346"/>
      <c r="E76" s="346"/>
      <c r="F76" s="346"/>
      <c r="H76" s="346"/>
      <c r="I76" s="346"/>
      <c r="J76" s="346"/>
      <c r="L76" s="346"/>
      <c r="M76" s="346"/>
      <c r="N76" s="346"/>
    </row>
    <row r="77" spans="2:58" x14ac:dyDescent="0.3">
      <c r="D77" s="346"/>
      <c r="E77" s="346"/>
      <c r="F77" s="346"/>
      <c r="H77" s="346"/>
      <c r="I77" s="346"/>
      <c r="J77" s="346"/>
      <c r="L77" s="346"/>
      <c r="M77" s="346"/>
      <c r="N77" s="346"/>
    </row>
    <row r="78" spans="2:58" x14ac:dyDescent="0.3">
      <c r="D78" s="346"/>
      <c r="E78" s="346"/>
      <c r="F78" s="346"/>
      <c r="H78" s="346"/>
      <c r="I78" s="346"/>
      <c r="J78" s="346"/>
      <c r="L78" s="346"/>
      <c r="M78" s="346"/>
      <c r="N78" s="346"/>
    </row>
    <row r="79" spans="2:58" x14ac:dyDescent="0.3">
      <c r="D79" s="346"/>
      <c r="E79" s="346"/>
      <c r="F79" s="346"/>
      <c r="H79" s="346"/>
      <c r="I79" s="346"/>
      <c r="J79" s="346"/>
      <c r="L79" s="346"/>
      <c r="M79" s="346"/>
      <c r="N79" s="346"/>
    </row>
    <row r="80" spans="2:58" x14ac:dyDescent="0.3">
      <c r="D80" s="346"/>
      <c r="E80" s="346"/>
      <c r="F80" s="346"/>
      <c r="H80" s="346"/>
      <c r="I80" s="346"/>
      <c r="J80" s="346"/>
      <c r="L80" s="346"/>
      <c r="M80" s="346"/>
      <c r="N80" s="346"/>
    </row>
    <row r="81" spans="4:14" x14ac:dyDescent="0.3">
      <c r="D81" s="346"/>
      <c r="E81" s="346"/>
      <c r="F81" s="346"/>
      <c r="H81" s="346"/>
      <c r="I81" s="346"/>
      <c r="J81" s="346"/>
      <c r="L81" s="346"/>
      <c r="M81" s="346"/>
      <c r="N81" s="346"/>
    </row>
    <row r="82" spans="4:14" x14ac:dyDescent="0.3">
      <c r="D82" s="346"/>
      <c r="E82" s="346"/>
      <c r="F82" s="346"/>
      <c r="H82" s="346"/>
      <c r="I82" s="346"/>
      <c r="J82" s="346"/>
      <c r="L82" s="346"/>
      <c r="M82" s="346"/>
      <c r="N82" s="346"/>
    </row>
    <row r="83" spans="4:14" x14ac:dyDescent="0.3">
      <c r="D83" s="346"/>
      <c r="E83" s="346"/>
      <c r="F83" s="346"/>
      <c r="H83" s="346"/>
      <c r="I83" s="346"/>
      <c r="J83" s="346"/>
      <c r="L83" s="346"/>
      <c r="M83" s="346"/>
      <c r="N83" s="346"/>
    </row>
    <row r="84" spans="4:14" x14ac:dyDescent="0.3">
      <c r="D84" s="346"/>
      <c r="E84" s="346"/>
      <c r="F84" s="346"/>
      <c r="H84" s="346"/>
      <c r="I84" s="346"/>
      <c r="J84" s="346"/>
      <c r="L84" s="346"/>
      <c r="M84" s="346"/>
      <c r="N84" s="346"/>
    </row>
  </sheetData>
  <sheetProtection algorithmName="SHA-512" hashValue="ymi/FCOJk10g+oYoR6HGQ+F155oNb7C8v5yMLXKUAqd7GeTcMo79V4b7qskNteBOn3yl29DIUgfQl/I2W7Ry5A==" saltValue="oPsYSBiOXyXf8VTplF953w==" spinCount="100000" sheet="1" selectLockedCells="1"/>
  <protectedRanges>
    <protectedRange sqref="D20 H20:I20 L20:M20 AB20:AC20 AF20:AG20 AJ20:AK20 AN20:AO20 AR20:AS20 AV20:AW20 AZ20:BA20 P20:Q20 T20:U20 X20:Y20" name="Område2_2"/>
    <protectedRange password="8B3B" sqref="D22 H22:I22 L22:M22 AB22:AC22 AF22:AG22 AJ22:AK22 AN22:AO22 AR22:AS22 AV22:AW22 AZ22:BA22 P22:Q22 T22:U22 X22:Y22" name="Område1_2"/>
  </protectedRanges>
  <mergeCells count="18">
    <mergeCell ref="B1:C1"/>
    <mergeCell ref="E1:F1"/>
    <mergeCell ref="AK1:AL1"/>
    <mergeCell ref="AO1:AP1"/>
    <mergeCell ref="H72:J84"/>
    <mergeCell ref="D72:F84"/>
    <mergeCell ref="B2:C2"/>
    <mergeCell ref="I1:J1"/>
    <mergeCell ref="M1:N1"/>
    <mergeCell ref="Q1:R1"/>
    <mergeCell ref="U1:V1"/>
    <mergeCell ref="Y1:Z1"/>
    <mergeCell ref="AW1:AX1"/>
    <mergeCell ref="BA1:BB1"/>
    <mergeCell ref="AS1:AT1"/>
    <mergeCell ref="L72:N84"/>
    <mergeCell ref="AG1:AH1"/>
    <mergeCell ref="AC1:AD1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68"/>
  <sheetViews>
    <sheetView zoomScale="70" zoomScaleNormal="85" zoomScalePageLayoutView="90" workbookViewId="0">
      <pane xSplit="3" topLeftCell="D1" activePane="topRight" state="frozen"/>
      <selection pane="topRight" activeCell="D31" sqref="D31"/>
    </sheetView>
  </sheetViews>
  <sheetFormatPr baseColWidth="10" defaultColWidth="11.44140625" defaultRowHeight="14.4" x14ac:dyDescent="0.3"/>
  <cols>
    <col min="1" max="1" width="9.44140625" bestFit="1" customWidth="1"/>
    <col min="2" max="2" width="6.44140625" bestFit="1" customWidth="1"/>
    <col min="3" max="3" width="37.5546875" bestFit="1" customWidth="1"/>
    <col min="4" max="4" width="12.44140625" bestFit="1" customWidth="1"/>
    <col min="5" max="5" width="12.88671875" bestFit="1" customWidth="1"/>
    <col min="6" max="6" width="13.88671875" bestFit="1" customWidth="1"/>
    <col min="7" max="7" width="4.44140625" customWidth="1"/>
    <col min="8" max="8" width="13.109375" bestFit="1" customWidth="1"/>
    <col min="9" max="9" width="17.44140625" style="104" customWidth="1"/>
    <col min="10" max="10" width="13.88671875" bestFit="1" customWidth="1"/>
    <col min="11" max="11" width="4.5546875" customWidth="1"/>
    <col min="12" max="12" width="12.44140625" bestFit="1" customWidth="1"/>
    <col min="13" max="13" width="12" bestFit="1" customWidth="1"/>
    <col min="14" max="14" width="13.5546875" bestFit="1" customWidth="1"/>
    <col min="15" max="15" width="4.5546875" customWidth="1"/>
    <col min="16" max="16" width="12.44140625" bestFit="1" customWidth="1"/>
    <col min="17" max="17" width="12" bestFit="1" customWidth="1"/>
    <col min="18" max="18" width="13.5546875" bestFit="1" customWidth="1"/>
    <col min="19" max="19" width="4.44140625" customWidth="1"/>
    <col min="20" max="20" width="12.44140625" bestFit="1" customWidth="1"/>
    <col min="21" max="21" width="12" bestFit="1" customWidth="1"/>
    <col min="22" max="22" width="13.5546875" bestFit="1" customWidth="1"/>
    <col min="23" max="23" width="2.5546875" customWidth="1"/>
    <col min="24" max="24" width="13.109375" bestFit="1" customWidth="1"/>
    <col min="25" max="25" width="13.109375" customWidth="1"/>
    <col min="26" max="26" width="6.44140625" bestFit="1" customWidth="1"/>
    <col min="27" max="27" width="12.6640625" bestFit="1" customWidth="1"/>
  </cols>
  <sheetData>
    <row r="1" spans="1:26" ht="15" thickBot="1" x14ac:dyDescent="0.35">
      <c r="A1" s="33"/>
      <c r="B1" s="341" t="s">
        <v>76</v>
      </c>
      <c r="C1" s="341"/>
      <c r="D1" s="19">
        <v>20000</v>
      </c>
      <c r="E1" s="344" t="s">
        <v>53</v>
      </c>
      <c r="F1" s="345"/>
      <c r="G1" s="1"/>
      <c r="H1" s="19">
        <v>21000</v>
      </c>
      <c r="I1" s="344" t="s">
        <v>56</v>
      </c>
      <c r="J1" s="345" t="s">
        <v>54</v>
      </c>
      <c r="K1" s="1"/>
      <c r="L1" s="19">
        <v>22000</v>
      </c>
      <c r="M1" s="344" t="s">
        <v>228</v>
      </c>
      <c r="N1" s="345"/>
      <c r="O1" s="1"/>
      <c r="P1" s="19"/>
      <c r="Q1" s="344"/>
      <c r="R1" s="345"/>
      <c r="S1" s="1"/>
      <c r="T1" s="19"/>
      <c r="U1" s="344"/>
      <c r="V1" s="345"/>
    </row>
    <row r="2" spans="1:26" ht="15" thickBot="1" x14ac:dyDescent="0.35">
      <c r="A2" s="32"/>
      <c r="B2" s="341" t="s">
        <v>75</v>
      </c>
      <c r="C2" s="341"/>
      <c r="D2" s="14"/>
      <c r="E2" s="15"/>
      <c r="F2" s="16"/>
      <c r="G2" s="2"/>
      <c r="H2" s="14"/>
      <c r="I2" s="138"/>
      <c r="J2" s="16"/>
      <c r="K2" s="2"/>
      <c r="L2" s="14"/>
      <c r="M2" s="15"/>
      <c r="N2" s="16"/>
      <c r="O2" s="2"/>
      <c r="P2" s="14"/>
      <c r="Q2" s="15"/>
      <c r="R2" s="16"/>
      <c r="S2" s="2"/>
      <c r="T2" s="14"/>
      <c r="U2" s="15"/>
      <c r="V2" s="16"/>
      <c r="X2" s="273" t="s">
        <v>52</v>
      </c>
      <c r="Y2" s="274" t="s">
        <v>52</v>
      </c>
    </row>
    <row r="3" spans="1:26" ht="15" thickBot="1" x14ac:dyDescent="0.35">
      <c r="B3" s="3" t="s">
        <v>0</v>
      </c>
      <c r="C3" s="18" t="s">
        <v>47</v>
      </c>
      <c r="D3" s="209" t="s">
        <v>342</v>
      </c>
      <c r="E3" s="30" t="s">
        <v>70</v>
      </c>
      <c r="F3" s="31" t="s">
        <v>343</v>
      </c>
      <c r="G3" s="4"/>
      <c r="H3" s="29" t="s">
        <v>342</v>
      </c>
      <c r="I3" s="139" t="s">
        <v>70</v>
      </c>
      <c r="J3" s="31" t="s">
        <v>343</v>
      </c>
      <c r="K3" s="4"/>
      <c r="L3" s="29" t="s">
        <v>342</v>
      </c>
      <c r="M3" s="30" t="s">
        <v>70</v>
      </c>
      <c r="N3" s="31" t="s">
        <v>343</v>
      </c>
      <c r="O3" s="4"/>
      <c r="P3" s="29" t="s">
        <v>304</v>
      </c>
      <c r="Q3" s="30" t="s">
        <v>70</v>
      </c>
      <c r="R3" s="31" t="s">
        <v>283</v>
      </c>
      <c r="S3" s="4"/>
      <c r="T3" s="29" t="s">
        <v>304</v>
      </c>
      <c r="U3" s="30" t="s">
        <v>70</v>
      </c>
      <c r="V3" s="31" t="s">
        <v>283</v>
      </c>
      <c r="W3" s="4"/>
      <c r="X3" s="118" t="s">
        <v>367</v>
      </c>
      <c r="Y3" s="284" t="s">
        <v>368</v>
      </c>
      <c r="Z3" s="263" t="s">
        <v>0</v>
      </c>
    </row>
    <row r="4" spans="1:26" ht="15" thickBot="1" x14ac:dyDescent="0.35">
      <c r="A4" s="5" t="s">
        <v>45</v>
      </c>
      <c r="B4" s="6">
        <v>3100</v>
      </c>
      <c r="C4" s="17" t="s">
        <v>3</v>
      </c>
      <c r="D4" s="188"/>
      <c r="E4" s="81"/>
      <c r="F4" s="82"/>
      <c r="G4" s="83"/>
      <c r="H4" s="211"/>
      <c r="I4" s="210"/>
      <c r="J4" s="82"/>
      <c r="K4" s="83"/>
      <c r="L4" s="188"/>
      <c r="M4" s="81"/>
      <c r="N4" s="82"/>
      <c r="O4" s="83"/>
      <c r="P4" s="80"/>
      <c r="Q4" s="81"/>
      <c r="R4" s="82"/>
      <c r="S4" s="83"/>
      <c r="T4" s="80"/>
      <c r="U4" s="81"/>
      <c r="V4" s="82"/>
      <c r="W4" s="83"/>
      <c r="X4" s="275">
        <f>SUM(V4+R4+N4+J4+F4)</f>
        <v>0</v>
      </c>
      <c r="Y4" s="276">
        <f>SUM(D4+H4+L4+P4+T4)</f>
        <v>0</v>
      </c>
      <c r="Z4" s="256">
        <v>3100</v>
      </c>
    </row>
    <row r="5" spans="1:26" hidden="1" x14ac:dyDescent="0.3">
      <c r="B5" s="6">
        <v>3120</v>
      </c>
      <c r="C5" s="7" t="s">
        <v>4</v>
      </c>
      <c r="D5" s="188"/>
      <c r="E5" s="81"/>
      <c r="F5" s="82"/>
      <c r="G5" s="83"/>
      <c r="H5" s="188"/>
      <c r="I5" s="93"/>
      <c r="J5" s="82"/>
      <c r="K5" s="83"/>
      <c r="L5" s="188"/>
      <c r="M5" s="81"/>
      <c r="N5" s="82"/>
      <c r="O5" s="83"/>
      <c r="P5" s="80"/>
      <c r="Q5" s="81"/>
      <c r="R5" s="82"/>
      <c r="S5" s="83"/>
      <c r="T5" s="80"/>
      <c r="U5" s="81"/>
      <c r="V5" s="82"/>
      <c r="W5" s="83"/>
      <c r="X5" s="277">
        <f t="shared" ref="X5:X56" si="0">SUM(V5+R5+N5+J5+F5)</f>
        <v>0</v>
      </c>
      <c r="Y5" s="278">
        <f t="shared" ref="Y5:Y56" si="1">SUM(D5+H5+L5+P5+T5)</f>
        <v>0</v>
      </c>
      <c r="Z5" s="256">
        <v>3120</v>
      </c>
    </row>
    <row r="6" spans="1:26" hidden="1" x14ac:dyDescent="0.3">
      <c r="B6" s="6">
        <v>3400</v>
      </c>
      <c r="C6" s="7" t="s">
        <v>5</v>
      </c>
      <c r="D6" s="188"/>
      <c r="E6" s="81"/>
      <c r="F6" s="82"/>
      <c r="G6" s="83"/>
      <c r="H6" s="188"/>
      <c r="I6" s="93"/>
      <c r="J6" s="82"/>
      <c r="K6" s="83"/>
      <c r="L6" s="188"/>
      <c r="M6" s="81"/>
      <c r="N6" s="82"/>
      <c r="O6" s="83"/>
      <c r="P6" s="80"/>
      <c r="Q6" s="81"/>
      <c r="R6" s="82"/>
      <c r="S6" s="83"/>
      <c r="T6" s="80"/>
      <c r="U6" s="81"/>
      <c r="V6" s="82"/>
      <c r="W6" s="83"/>
      <c r="X6" s="277">
        <f t="shared" si="0"/>
        <v>0</v>
      </c>
      <c r="Y6" s="278">
        <f t="shared" si="1"/>
        <v>0</v>
      </c>
      <c r="Z6" s="256">
        <v>3400</v>
      </c>
    </row>
    <row r="7" spans="1:26" hidden="1" x14ac:dyDescent="0.3">
      <c r="B7" s="6">
        <v>3410</v>
      </c>
      <c r="C7" s="7" t="s">
        <v>6</v>
      </c>
      <c r="D7" s="188"/>
      <c r="E7" s="81"/>
      <c r="F7" s="82"/>
      <c r="G7" s="83"/>
      <c r="H7" s="188"/>
      <c r="I7" s="93"/>
      <c r="J7" s="82"/>
      <c r="K7" s="83"/>
      <c r="L7" s="188"/>
      <c r="M7" s="81"/>
      <c r="N7" s="82"/>
      <c r="O7" s="83"/>
      <c r="P7" s="80"/>
      <c r="Q7" s="81"/>
      <c r="R7" s="82"/>
      <c r="S7" s="83"/>
      <c r="T7" s="80"/>
      <c r="U7" s="81"/>
      <c r="V7" s="82"/>
      <c r="W7" s="83"/>
      <c r="X7" s="277">
        <f t="shared" si="0"/>
        <v>0</v>
      </c>
      <c r="Y7" s="278">
        <f t="shared" si="1"/>
        <v>0</v>
      </c>
      <c r="Z7" s="256">
        <v>3410</v>
      </c>
    </row>
    <row r="8" spans="1:26" hidden="1" x14ac:dyDescent="0.3">
      <c r="B8" s="6">
        <v>3900</v>
      </c>
      <c r="C8" s="7" t="s">
        <v>7</v>
      </c>
      <c r="D8" s="188"/>
      <c r="E8" s="81"/>
      <c r="F8" s="82"/>
      <c r="G8" s="83"/>
      <c r="H8" s="188"/>
      <c r="I8" s="93"/>
      <c r="J8" s="82"/>
      <c r="K8" s="83"/>
      <c r="L8" s="188"/>
      <c r="M8" s="81"/>
      <c r="N8" s="82"/>
      <c r="O8" s="83"/>
      <c r="P8" s="80"/>
      <c r="Q8" s="81"/>
      <c r="R8" s="82"/>
      <c r="S8" s="83"/>
      <c r="T8" s="80"/>
      <c r="U8" s="81"/>
      <c r="V8" s="82"/>
      <c r="W8" s="83"/>
      <c r="X8" s="277">
        <f t="shared" si="0"/>
        <v>0</v>
      </c>
      <c r="Y8" s="278">
        <f t="shared" si="1"/>
        <v>0</v>
      </c>
      <c r="Z8" s="256">
        <v>3900</v>
      </c>
    </row>
    <row r="9" spans="1:26" hidden="1" x14ac:dyDescent="0.3">
      <c r="B9" s="6">
        <v>3910</v>
      </c>
      <c r="C9" s="7" t="s">
        <v>8</v>
      </c>
      <c r="D9" s="188"/>
      <c r="E9" s="81"/>
      <c r="F9" s="82"/>
      <c r="G9" s="83"/>
      <c r="H9" s="188"/>
      <c r="I9" s="93"/>
      <c r="J9" s="82"/>
      <c r="K9" s="83"/>
      <c r="L9" s="188"/>
      <c r="M9" s="81"/>
      <c r="N9" s="82"/>
      <c r="O9" s="83"/>
      <c r="P9" s="80"/>
      <c r="Q9" s="81"/>
      <c r="R9" s="82"/>
      <c r="S9" s="83"/>
      <c r="T9" s="80"/>
      <c r="U9" s="81"/>
      <c r="V9" s="82"/>
      <c r="W9" s="83"/>
      <c r="X9" s="277">
        <f t="shared" si="0"/>
        <v>0</v>
      </c>
      <c r="Y9" s="278">
        <f t="shared" si="1"/>
        <v>0</v>
      </c>
      <c r="Z9" s="256">
        <v>3910</v>
      </c>
    </row>
    <row r="10" spans="1:26" ht="15" hidden="1" thickBot="1" x14ac:dyDescent="0.35">
      <c r="B10" s="8">
        <v>3950</v>
      </c>
      <c r="C10" s="9" t="s">
        <v>9</v>
      </c>
      <c r="D10" s="188"/>
      <c r="E10" s="81"/>
      <c r="F10" s="86"/>
      <c r="G10" s="83"/>
      <c r="H10" s="188"/>
      <c r="I10" s="93"/>
      <c r="J10" s="86"/>
      <c r="K10" s="83"/>
      <c r="L10" s="188"/>
      <c r="M10" s="81"/>
      <c r="N10" s="86"/>
      <c r="O10" s="83"/>
      <c r="P10" s="84"/>
      <c r="Q10" s="85"/>
      <c r="R10" s="86"/>
      <c r="S10" s="83"/>
      <c r="T10" s="84"/>
      <c r="U10" s="85"/>
      <c r="V10" s="86"/>
      <c r="W10" s="83"/>
      <c r="X10" s="277">
        <f t="shared" si="0"/>
        <v>0</v>
      </c>
      <c r="Y10" s="278">
        <f t="shared" si="1"/>
        <v>0</v>
      </c>
      <c r="Z10" s="258">
        <v>3950</v>
      </c>
    </row>
    <row r="11" spans="1:26" ht="15" thickBot="1" x14ac:dyDescent="0.35">
      <c r="B11" s="195">
        <v>3950</v>
      </c>
      <c r="C11" s="206" t="s">
        <v>9</v>
      </c>
      <c r="D11" s="189"/>
      <c r="E11" s="85"/>
      <c r="F11" s="86"/>
      <c r="G11" s="83"/>
      <c r="H11" s="189">
        <v>1500</v>
      </c>
      <c r="I11" s="141"/>
      <c r="J11" s="86"/>
      <c r="K11" s="83"/>
      <c r="L11" s="189">
        <v>25000</v>
      </c>
      <c r="M11" s="85"/>
      <c r="N11" s="86"/>
      <c r="O11" s="83"/>
      <c r="P11" s="84"/>
      <c r="Q11" s="85"/>
      <c r="R11" s="86"/>
      <c r="S11" s="83"/>
      <c r="T11" s="84"/>
      <c r="U11" s="85"/>
      <c r="V11" s="86"/>
      <c r="W11" s="83"/>
      <c r="X11" s="280">
        <f t="shared" si="0"/>
        <v>0</v>
      </c>
      <c r="Y11" s="281">
        <f t="shared" si="1"/>
        <v>26500</v>
      </c>
      <c r="Z11" s="42">
        <v>3950</v>
      </c>
    </row>
    <row r="12" spans="1:26" ht="15" thickBot="1" x14ac:dyDescent="0.35">
      <c r="B12" s="24"/>
      <c r="C12" s="25" t="s">
        <v>73</v>
      </c>
      <c r="D12" s="207">
        <f>SUM(D4:D10)</f>
        <v>0</v>
      </c>
      <c r="E12" s="207"/>
      <c r="F12" s="96">
        <f t="shared" ref="F12" si="2">SUM(F4:F10)</f>
        <v>0</v>
      </c>
      <c r="G12" s="83"/>
      <c r="H12" s="207">
        <f>SUM(H11)</f>
        <v>1500</v>
      </c>
      <c r="I12" s="208"/>
      <c r="J12" s="207"/>
      <c r="K12" s="83"/>
      <c r="L12" s="207">
        <f>SUM(L4:L11)</f>
        <v>25000</v>
      </c>
      <c r="M12" s="207"/>
      <c r="N12" s="207"/>
      <c r="O12" s="83"/>
      <c r="P12" s="87">
        <f>SUM(P4:P10)</f>
        <v>0</v>
      </c>
      <c r="Q12" s="88"/>
      <c r="R12" s="89"/>
      <c r="S12" s="83"/>
      <c r="T12" s="87">
        <f>SUM(T4:T10)</f>
        <v>0</v>
      </c>
      <c r="U12" s="88"/>
      <c r="V12" s="89"/>
      <c r="W12" s="83"/>
      <c r="X12" s="282">
        <f t="shared" si="0"/>
        <v>0</v>
      </c>
      <c r="Y12" s="283">
        <f t="shared" si="1"/>
        <v>26500</v>
      </c>
      <c r="Z12" s="257"/>
    </row>
    <row r="13" spans="1:26" ht="15" thickBot="1" x14ac:dyDescent="0.35">
      <c r="A13" s="21" t="s">
        <v>46</v>
      </c>
      <c r="B13" s="20">
        <v>5000</v>
      </c>
      <c r="C13" s="23" t="s">
        <v>10</v>
      </c>
      <c r="D13" s="90"/>
      <c r="E13" s="81"/>
      <c r="F13" s="82"/>
      <c r="G13" s="83"/>
      <c r="H13" s="90"/>
      <c r="I13" s="93"/>
      <c r="J13" s="82"/>
      <c r="K13" s="83"/>
      <c r="L13" s="90"/>
      <c r="M13" s="81"/>
      <c r="N13" s="82"/>
      <c r="O13" s="83"/>
      <c r="P13" s="90"/>
      <c r="Q13" s="81"/>
      <c r="R13" s="82"/>
      <c r="S13" s="83"/>
      <c r="T13" s="90"/>
      <c r="U13" s="81"/>
      <c r="V13" s="82"/>
      <c r="W13" s="83"/>
      <c r="X13" s="275">
        <f t="shared" si="0"/>
        <v>0</v>
      </c>
      <c r="Y13" s="276">
        <f t="shared" si="1"/>
        <v>0</v>
      </c>
      <c r="Z13" s="50">
        <v>5000</v>
      </c>
    </row>
    <row r="14" spans="1:26" hidden="1" x14ac:dyDescent="0.3">
      <c r="B14" s="6">
        <v>5001</v>
      </c>
      <c r="C14" s="11" t="s">
        <v>11</v>
      </c>
      <c r="D14" s="90"/>
      <c r="E14" s="81"/>
      <c r="F14" s="82"/>
      <c r="G14" s="83"/>
      <c r="H14" s="90"/>
      <c r="I14" s="93"/>
      <c r="J14" s="82"/>
      <c r="K14" s="83"/>
      <c r="L14" s="90"/>
      <c r="M14" s="81"/>
      <c r="N14" s="82"/>
      <c r="O14" s="83"/>
      <c r="P14" s="90"/>
      <c r="Q14" s="81"/>
      <c r="R14" s="82"/>
      <c r="S14" s="83"/>
      <c r="T14" s="90"/>
      <c r="U14" s="81"/>
      <c r="V14" s="82"/>
      <c r="W14" s="83"/>
      <c r="X14" s="277">
        <f t="shared" si="0"/>
        <v>0</v>
      </c>
      <c r="Y14" s="278">
        <f t="shared" si="1"/>
        <v>0</v>
      </c>
      <c r="Z14" s="256">
        <v>5001</v>
      </c>
    </row>
    <row r="15" spans="1:26" hidden="1" x14ac:dyDescent="0.3">
      <c r="B15" s="6">
        <v>5004</v>
      </c>
      <c r="C15" s="11" t="s">
        <v>12</v>
      </c>
      <c r="D15" s="90"/>
      <c r="E15" s="81"/>
      <c r="F15" s="82"/>
      <c r="G15" s="83"/>
      <c r="H15" s="90"/>
      <c r="I15" s="93"/>
      <c r="J15" s="82"/>
      <c r="K15" s="83"/>
      <c r="L15" s="90"/>
      <c r="M15" s="81"/>
      <c r="N15" s="82"/>
      <c r="O15" s="83"/>
      <c r="P15" s="90"/>
      <c r="Q15" s="81"/>
      <c r="R15" s="82"/>
      <c r="S15" s="83"/>
      <c r="T15" s="90"/>
      <c r="U15" s="81"/>
      <c r="V15" s="82"/>
      <c r="W15" s="83"/>
      <c r="X15" s="277">
        <f t="shared" si="0"/>
        <v>0</v>
      </c>
      <c r="Y15" s="278">
        <f t="shared" si="1"/>
        <v>0</v>
      </c>
      <c r="Z15" s="256">
        <v>5004</v>
      </c>
    </row>
    <row r="16" spans="1:26" hidden="1" x14ac:dyDescent="0.3">
      <c r="A16" s="10"/>
      <c r="B16" s="6">
        <v>5180</v>
      </c>
      <c r="C16" s="11" t="s">
        <v>13</v>
      </c>
      <c r="D16" s="91">
        <f>SUM(D13*0.12)</f>
        <v>0</v>
      </c>
      <c r="E16" s="81"/>
      <c r="F16" s="82"/>
      <c r="G16" s="83"/>
      <c r="H16" s="91">
        <f>SUM(H13*0.12)</f>
        <v>0</v>
      </c>
      <c r="I16" s="93"/>
      <c r="J16" s="82"/>
      <c r="K16" s="83"/>
      <c r="L16" s="91">
        <f>SUM(L13*0.12)</f>
        <v>0</v>
      </c>
      <c r="M16" s="81"/>
      <c r="N16" s="82"/>
      <c r="O16" s="83"/>
      <c r="P16" s="91">
        <f>SUM(P13*0.12)</f>
        <v>0</v>
      </c>
      <c r="Q16" s="81"/>
      <c r="R16" s="82"/>
      <c r="S16" s="83"/>
      <c r="T16" s="91">
        <f>SUM(T13*0.12)</f>
        <v>0</v>
      </c>
      <c r="U16" s="81"/>
      <c r="V16" s="82"/>
      <c r="W16" s="83"/>
      <c r="X16" s="277">
        <f t="shared" si="0"/>
        <v>0</v>
      </c>
      <c r="Y16" s="278">
        <f t="shared" si="1"/>
        <v>0</v>
      </c>
      <c r="Z16" s="256">
        <v>5180</v>
      </c>
    </row>
    <row r="17" spans="1:26" hidden="1" x14ac:dyDescent="0.3">
      <c r="A17" s="10"/>
      <c r="B17" s="6">
        <v>5182</v>
      </c>
      <c r="C17" s="11" t="s">
        <v>14</v>
      </c>
      <c r="D17" s="91">
        <f>SUM(D16*0.141)</f>
        <v>0</v>
      </c>
      <c r="E17" s="81"/>
      <c r="F17" s="82"/>
      <c r="G17" s="83"/>
      <c r="H17" s="91">
        <f>SUM(H16*0.141)</f>
        <v>0</v>
      </c>
      <c r="I17" s="93"/>
      <c r="J17" s="82"/>
      <c r="K17" s="83"/>
      <c r="L17" s="91">
        <f>SUM(L16*0.141)</f>
        <v>0</v>
      </c>
      <c r="M17" s="81"/>
      <c r="N17" s="82"/>
      <c r="O17" s="83"/>
      <c r="P17" s="91">
        <f>SUM(P16*0.141)</f>
        <v>0</v>
      </c>
      <c r="Q17" s="81"/>
      <c r="R17" s="82"/>
      <c r="S17" s="83"/>
      <c r="T17" s="91">
        <f>SUM(T16*0.141)</f>
        <v>0</v>
      </c>
      <c r="U17" s="81"/>
      <c r="V17" s="82"/>
      <c r="W17" s="83"/>
      <c r="X17" s="277">
        <f t="shared" si="0"/>
        <v>0</v>
      </c>
      <c r="Y17" s="278">
        <f t="shared" si="1"/>
        <v>0</v>
      </c>
      <c r="Z17" s="256">
        <v>5182</v>
      </c>
    </row>
    <row r="18" spans="1:26" hidden="1" x14ac:dyDescent="0.3">
      <c r="A18" s="10"/>
      <c r="B18" s="6">
        <v>5211</v>
      </c>
      <c r="C18" s="11" t="s">
        <v>15</v>
      </c>
      <c r="D18" s="80"/>
      <c r="E18" s="81"/>
      <c r="F18" s="82"/>
      <c r="G18" s="83"/>
      <c r="H18" s="80"/>
      <c r="I18" s="93"/>
      <c r="J18" s="82"/>
      <c r="K18" s="83"/>
      <c r="L18" s="80"/>
      <c r="M18" s="81"/>
      <c r="N18" s="82"/>
      <c r="O18" s="83"/>
      <c r="P18" s="80"/>
      <c r="Q18" s="81"/>
      <c r="R18" s="82"/>
      <c r="S18" s="83"/>
      <c r="T18" s="80"/>
      <c r="U18" s="81"/>
      <c r="V18" s="82"/>
      <c r="W18" s="83"/>
      <c r="X18" s="277">
        <f t="shared" si="0"/>
        <v>0</v>
      </c>
      <c r="Y18" s="278">
        <f t="shared" si="1"/>
        <v>0</v>
      </c>
      <c r="Z18" s="256">
        <v>5211</v>
      </c>
    </row>
    <row r="19" spans="1:26" hidden="1" x14ac:dyDescent="0.3">
      <c r="A19" s="10"/>
      <c r="B19" s="6">
        <v>5230</v>
      </c>
      <c r="C19" s="11" t="s">
        <v>16</v>
      </c>
      <c r="D19" s="80"/>
      <c r="E19" s="81"/>
      <c r="F19" s="82"/>
      <c r="G19" s="83"/>
      <c r="H19" s="80"/>
      <c r="I19" s="93"/>
      <c r="J19" s="82"/>
      <c r="K19" s="83"/>
      <c r="L19" s="80"/>
      <c r="M19" s="81"/>
      <c r="N19" s="82"/>
      <c r="O19" s="83"/>
      <c r="P19" s="80"/>
      <c r="Q19" s="81"/>
      <c r="R19" s="82"/>
      <c r="S19" s="83"/>
      <c r="T19" s="80"/>
      <c r="U19" s="81"/>
      <c r="V19" s="82"/>
      <c r="W19" s="83"/>
      <c r="X19" s="277">
        <f t="shared" si="0"/>
        <v>0</v>
      </c>
      <c r="Y19" s="278">
        <f t="shared" si="1"/>
        <v>0</v>
      </c>
      <c r="Z19" s="256">
        <v>5230</v>
      </c>
    </row>
    <row r="20" spans="1:26" hidden="1" x14ac:dyDescent="0.3">
      <c r="A20" s="10"/>
      <c r="B20" s="6">
        <v>5400</v>
      </c>
      <c r="C20" s="11" t="s">
        <v>48</v>
      </c>
      <c r="D20" s="91">
        <f>SUM((D13+D14+D15+D18+D19)*0.141)</f>
        <v>0</v>
      </c>
      <c r="E20" s="81"/>
      <c r="F20" s="82"/>
      <c r="G20" s="83"/>
      <c r="H20" s="91">
        <f>SUM((H13+H14+H15+H18+H19)*0.141)</f>
        <v>0</v>
      </c>
      <c r="I20" s="93"/>
      <c r="J20" s="82"/>
      <c r="K20" s="83"/>
      <c r="L20" s="91">
        <f>SUM((L13+L14+L15+L18+L19)*0.141)</f>
        <v>0</v>
      </c>
      <c r="M20" s="81"/>
      <c r="N20" s="82"/>
      <c r="O20" s="83"/>
      <c r="P20" s="91">
        <f>SUM((P13+P14+P15+P18+P19)*0.141)</f>
        <v>0</v>
      </c>
      <c r="Q20" s="81"/>
      <c r="R20" s="82"/>
      <c r="S20" s="83"/>
      <c r="T20" s="91">
        <f>SUM((T13+T14+T15+T18+T19)*0.141)</f>
        <v>0</v>
      </c>
      <c r="U20" s="81"/>
      <c r="V20" s="82"/>
      <c r="W20" s="83"/>
      <c r="X20" s="277">
        <f t="shared" si="0"/>
        <v>0</v>
      </c>
      <c r="Y20" s="278">
        <f t="shared" si="1"/>
        <v>0</v>
      </c>
      <c r="Z20" s="256">
        <v>5400</v>
      </c>
    </row>
    <row r="21" spans="1:26" hidden="1" x14ac:dyDescent="0.3">
      <c r="B21" s="6">
        <v>5990</v>
      </c>
      <c r="C21" s="11" t="s">
        <v>17</v>
      </c>
      <c r="D21" s="80"/>
      <c r="E21" s="81"/>
      <c r="F21" s="82"/>
      <c r="G21" s="83"/>
      <c r="H21" s="80"/>
      <c r="I21" s="93"/>
      <c r="J21" s="82"/>
      <c r="K21" s="83"/>
      <c r="L21" s="80"/>
      <c r="M21" s="81"/>
      <c r="N21" s="82"/>
      <c r="O21" s="83"/>
      <c r="P21" s="80"/>
      <c r="Q21" s="81"/>
      <c r="R21" s="82"/>
      <c r="S21" s="83"/>
      <c r="T21" s="80"/>
      <c r="U21" s="81"/>
      <c r="V21" s="82"/>
      <c r="W21" s="83"/>
      <c r="X21" s="277">
        <f t="shared" si="0"/>
        <v>0</v>
      </c>
      <c r="Y21" s="278">
        <f t="shared" si="1"/>
        <v>0</v>
      </c>
      <c r="Z21" s="256">
        <v>5990</v>
      </c>
    </row>
    <row r="22" spans="1:26" hidden="1" x14ac:dyDescent="0.3">
      <c r="B22" s="6">
        <v>6110</v>
      </c>
      <c r="C22" s="11" t="s">
        <v>50</v>
      </c>
      <c r="D22" s="80"/>
      <c r="E22" s="81"/>
      <c r="F22" s="82"/>
      <c r="G22" s="83"/>
      <c r="H22" s="80"/>
      <c r="I22" s="93"/>
      <c r="J22" s="82"/>
      <c r="K22" s="83"/>
      <c r="L22" s="80"/>
      <c r="M22" s="81"/>
      <c r="N22" s="82"/>
      <c r="O22" s="83"/>
      <c r="P22" s="80"/>
      <c r="Q22" s="81"/>
      <c r="R22" s="82"/>
      <c r="S22" s="83"/>
      <c r="T22" s="80"/>
      <c r="U22" s="81"/>
      <c r="V22" s="82"/>
      <c r="W22" s="83"/>
      <c r="X22" s="277">
        <f t="shared" si="0"/>
        <v>0</v>
      </c>
      <c r="Y22" s="278">
        <f t="shared" si="1"/>
        <v>0</v>
      </c>
      <c r="Z22" s="256">
        <v>6110</v>
      </c>
    </row>
    <row r="23" spans="1:26" hidden="1" x14ac:dyDescent="0.3">
      <c r="B23" s="6">
        <v>6300</v>
      </c>
      <c r="C23" s="11" t="s">
        <v>18</v>
      </c>
      <c r="D23" s="80"/>
      <c r="E23" s="81"/>
      <c r="F23" s="82"/>
      <c r="G23" s="83"/>
      <c r="H23" s="80"/>
      <c r="I23" s="93"/>
      <c r="J23" s="82"/>
      <c r="K23" s="83"/>
      <c r="L23" s="80"/>
      <c r="M23" s="81"/>
      <c r="N23" s="82"/>
      <c r="O23" s="83"/>
      <c r="P23" s="80"/>
      <c r="Q23" s="81"/>
      <c r="R23" s="82"/>
      <c r="S23" s="83"/>
      <c r="T23" s="80"/>
      <c r="U23" s="81"/>
      <c r="V23" s="82"/>
      <c r="W23" s="83"/>
      <c r="X23" s="277">
        <f t="shared" si="0"/>
        <v>0</v>
      </c>
      <c r="Y23" s="278">
        <f t="shared" si="1"/>
        <v>0</v>
      </c>
      <c r="Z23" s="256">
        <v>6300</v>
      </c>
    </row>
    <row r="24" spans="1:26" x14ac:dyDescent="0.3">
      <c r="B24" s="6">
        <v>6440</v>
      </c>
      <c r="C24" s="11" t="s">
        <v>19</v>
      </c>
      <c r="D24" s="80"/>
      <c r="E24" s="81"/>
      <c r="F24" s="82"/>
      <c r="G24" s="83"/>
      <c r="H24" s="80">
        <v>1500</v>
      </c>
      <c r="I24" s="93" t="s">
        <v>143</v>
      </c>
      <c r="J24" s="82"/>
      <c r="K24" s="83"/>
      <c r="L24" s="80"/>
      <c r="M24" s="81"/>
      <c r="N24" s="82"/>
      <c r="O24" s="83"/>
      <c r="P24" s="80"/>
      <c r="Q24" s="81"/>
      <c r="R24" s="82"/>
      <c r="S24" s="83"/>
      <c r="T24" s="80"/>
      <c r="U24" s="81"/>
      <c r="V24" s="82"/>
      <c r="W24" s="83"/>
      <c r="X24" s="277">
        <f t="shared" si="0"/>
        <v>0</v>
      </c>
      <c r="Y24" s="278">
        <f t="shared" si="1"/>
        <v>1500</v>
      </c>
      <c r="Z24" s="256">
        <v>6440</v>
      </c>
    </row>
    <row r="25" spans="1:26" hidden="1" x14ac:dyDescent="0.3">
      <c r="B25" s="6">
        <v>6550</v>
      </c>
      <c r="C25" s="11" t="s">
        <v>20</v>
      </c>
      <c r="D25" s="80"/>
      <c r="E25" s="81"/>
      <c r="F25" s="82"/>
      <c r="G25" s="83"/>
      <c r="H25" s="80"/>
      <c r="I25" s="93"/>
      <c r="J25" s="82"/>
      <c r="K25" s="83"/>
      <c r="L25" s="80"/>
      <c r="M25" s="81"/>
      <c r="N25" s="82"/>
      <c r="O25" s="83"/>
      <c r="P25" s="80"/>
      <c r="Q25" s="81"/>
      <c r="R25" s="82"/>
      <c r="S25" s="83"/>
      <c r="T25" s="80"/>
      <c r="U25" s="81"/>
      <c r="V25" s="82"/>
      <c r="W25" s="83"/>
      <c r="X25" s="277">
        <f t="shared" si="0"/>
        <v>0</v>
      </c>
      <c r="Y25" s="278">
        <f t="shared" si="1"/>
        <v>0</v>
      </c>
      <c r="Z25" s="256">
        <v>6550</v>
      </c>
    </row>
    <row r="26" spans="1:26" hidden="1" x14ac:dyDescent="0.3">
      <c r="B26" s="6">
        <v>6560</v>
      </c>
      <c r="C26" s="11" t="s">
        <v>21</v>
      </c>
      <c r="D26" s="80"/>
      <c r="E26" s="81"/>
      <c r="F26" s="82"/>
      <c r="G26" s="83"/>
      <c r="H26" s="80"/>
      <c r="I26" s="93"/>
      <c r="J26" s="82"/>
      <c r="K26" s="83"/>
      <c r="L26" s="80"/>
      <c r="M26" s="81"/>
      <c r="N26" s="82"/>
      <c r="O26" s="83"/>
      <c r="P26" s="80"/>
      <c r="Q26" s="81"/>
      <c r="R26" s="82"/>
      <c r="S26" s="83"/>
      <c r="T26" s="80"/>
      <c r="U26" s="81"/>
      <c r="V26" s="82"/>
      <c r="W26" s="83"/>
      <c r="X26" s="277">
        <f t="shared" si="0"/>
        <v>0</v>
      </c>
      <c r="Y26" s="278">
        <f t="shared" si="1"/>
        <v>0</v>
      </c>
      <c r="Z26" s="256">
        <v>6560</v>
      </c>
    </row>
    <row r="27" spans="1:26" hidden="1" x14ac:dyDescent="0.3">
      <c r="B27" s="6">
        <v>6580</v>
      </c>
      <c r="C27" s="11" t="s">
        <v>2</v>
      </c>
      <c r="D27" s="80"/>
      <c r="E27" s="81"/>
      <c r="F27" s="82"/>
      <c r="G27" s="83"/>
      <c r="H27" s="80"/>
      <c r="I27" s="93"/>
      <c r="J27" s="82"/>
      <c r="K27" s="83"/>
      <c r="L27" s="80"/>
      <c r="M27" s="81"/>
      <c r="N27" s="82"/>
      <c r="O27" s="83"/>
      <c r="P27" s="80"/>
      <c r="Q27" s="81"/>
      <c r="R27" s="82"/>
      <c r="S27" s="83"/>
      <c r="T27" s="80"/>
      <c r="U27" s="81"/>
      <c r="V27" s="82"/>
      <c r="W27" s="83"/>
      <c r="X27" s="277">
        <f t="shared" si="0"/>
        <v>0</v>
      </c>
      <c r="Y27" s="278">
        <f t="shared" si="1"/>
        <v>0</v>
      </c>
      <c r="Z27" s="256">
        <v>6580</v>
      </c>
    </row>
    <row r="28" spans="1:26" hidden="1" x14ac:dyDescent="0.3">
      <c r="B28" s="6">
        <v>6800</v>
      </c>
      <c r="C28" s="11" t="s">
        <v>22</v>
      </c>
      <c r="D28" s="80"/>
      <c r="E28" s="81"/>
      <c r="F28" s="82"/>
      <c r="G28" s="83"/>
      <c r="H28" s="80"/>
      <c r="I28" s="93"/>
      <c r="J28" s="82"/>
      <c r="K28" s="83"/>
      <c r="L28" s="80"/>
      <c r="M28" s="81"/>
      <c r="N28" s="82"/>
      <c r="O28" s="83"/>
      <c r="P28" s="80"/>
      <c r="Q28" s="81"/>
      <c r="R28" s="82"/>
      <c r="S28" s="83"/>
      <c r="T28" s="80"/>
      <c r="U28" s="81"/>
      <c r="V28" s="82"/>
      <c r="W28" s="83"/>
      <c r="X28" s="277">
        <f t="shared" si="0"/>
        <v>0</v>
      </c>
      <c r="Y28" s="278">
        <f t="shared" si="1"/>
        <v>0</v>
      </c>
      <c r="Z28" s="256">
        <v>6800</v>
      </c>
    </row>
    <row r="29" spans="1:26" hidden="1" x14ac:dyDescent="0.3">
      <c r="B29" s="6">
        <v>6820</v>
      </c>
      <c r="C29" s="11" t="s">
        <v>23</v>
      </c>
      <c r="D29" s="80"/>
      <c r="E29" s="81"/>
      <c r="F29" s="82"/>
      <c r="G29" s="83"/>
      <c r="H29" s="80">
        <v>0</v>
      </c>
      <c r="I29" s="93"/>
      <c r="J29" s="82"/>
      <c r="K29" s="83"/>
      <c r="L29" s="80"/>
      <c r="M29" s="81"/>
      <c r="N29" s="82"/>
      <c r="O29" s="83"/>
      <c r="P29" s="80"/>
      <c r="Q29" s="81"/>
      <c r="R29" s="82"/>
      <c r="S29" s="83"/>
      <c r="T29" s="80"/>
      <c r="U29" s="81"/>
      <c r="V29" s="82"/>
      <c r="W29" s="83"/>
      <c r="X29" s="277">
        <f t="shared" si="0"/>
        <v>0</v>
      </c>
      <c r="Y29" s="278">
        <f t="shared" si="1"/>
        <v>0</v>
      </c>
      <c r="Z29" s="256">
        <v>6820</v>
      </c>
    </row>
    <row r="30" spans="1:26" hidden="1" x14ac:dyDescent="0.3">
      <c r="B30" s="6">
        <v>6840</v>
      </c>
      <c r="C30" s="11" t="s">
        <v>24</v>
      </c>
      <c r="D30" s="80"/>
      <c r="E30" s="81"/>
      <c r="F30" s="82"/>
      <c r="G30" s="83"/>
      <c r="H30" s="80"/>
      <c r="I30" s="93"/>
      <c r="J30" s="82"/>
      <c r="K30" s="83"/>
      <c r="L30" s="80"/>
      <c r="M30" s="81"/>
      <c r="N30" s="82"/>
      <c r="O30" s="83"/>
      <c r="P30" s="80"/>
      <c r="Q30" s="81"/>
      <c r="R30" s="82"/>
      <c r="S30" s="83"/>
      <c r="T30" s="80"/>
      <c r="U30" s="81"/>
      <c r="V30" s="82"/>
      <c r="W30" s="83"/>
      <c r="X30" s="277">
        <f t="shared" si="0"/>
        <v>0</v>
      </c>
      <c r="Y30" s="278">
        <f t="shared" si="1"/>
        <v>0</v>
      </c>
      <c r="Z30" s="256">
        <v>6840</v>
      </c>
    </row>
    <row r="31" spans="1:26" hidden="1" x14ac:dyDescent="0.3">
      <c r="B31" s="6">
        <v>6860</v>
      </c>
      <c r="C31" s="11" t="s">
        <v>25</v>
      </c>
      <c r="D31" s="80"/>
      <c r="E31" s="81"/>
      <c r="F31" s="82"/>
      <c r="G31" s="83"/>
      <c r="H31" s="80"/>
      <c r="I31" s="93"/>
      <c r="J31" s="82"/>
      <c r="K31" s="83"/>
      <c r="L31" s="80"/>
      <c r="M31" s="81"/>
      <c r="N31" s="82"/>
      <c r="O31" s="83"/>
      <c r="P31" s="80"/>
      <c r="Q31" s="81"/>
      <c r="R31" s="82"/>
      <c r="S31" s="83"/>
      <c r="T31" s="80"/>
      <c r="U31" s="81"/>
      <c r="V31" s="82"/>
      <c r="W31" s="83"/>
      <c r="X31" s="277">
        <f t="shared" si="0"/>
        <v>0</v>
      </c>
      <c r="Y31" s="278">
        <f t="shared" si="1"/>
        <v>0</v>
      </c>
      <c r="Z31" s="256">
        <v>6860</v>
      </c>
    </row>
    <row r="32" spans="1:26" x14ac:dyDescent="0.3">
      <c r="B32" s="6">
        <v>6580</v>
      </c>
      <c r="C32" s="186" t="s">
        <v>2</v>
      </c>
      <c r="D32" s="80"/>
      <c r="E32" s="81"/>
      <c r="F32" s="82"/>
      <c r="G32" s="83"/>
      <c r="H32" s="80"/>
      <c r="I32" s="93"/>
      <c r="J32" s="82"/>
      <c r="K32" s="83"/>
      <c r="L32" s="80"/>
      <c r="M32" s="81"/>
      <c r="N32" s="82"/>
      <c r="O32" s="83"/>
      <c r="P32" s="80"/>
      <c r="Q32" s="81"/>
      <c r="R32" s="82"/>
      <c r="S32" s="83"/>
      <c r="T32" s="80"/>
      <c r="U32" s="81"/>
      <c r="V32" s="82"/>
      <c r="W32" s="83"/>
      <c r="X32" s="279">
        <f t="shared" si="0"/>
        <v>0</v>
      </c>
      <c r="Y32" s="278">
        <f t="shared" si="1"/>
        <v>0</v>
      </c>
      <c r="Z32" s="256">
        <v>6580</v>
      </c>
    </row>
    <row r="33" spans="2:27" x14ac:dyDescent="0.3">
      <c r="B33" s="6">
        <v>6820</v>
      </c>
      <c r="C33" s="186" t="s">
        <v>23</v>
      </c>
      <c r="D33" s="80"/>
      <c r="E33" s="81"/>
      <c r="F33" s="82"/>
      <c r="G33" s="83"/>
      <c r="H33" s="80"/>
      <c r="I33" s="93"/>
      <c r="J33" s="82"/>
      <c r="K33" s="83"/>
      <c r="L33" s="80"/>
      <c r="M33" s="81"/>
      <c r="N33" s="82"/>
      <c r="O33" s="83"/>
      <c r="P33" s="80"/>
      <c r="Q33" s="81"/>
      <c r="R33" s="82"/>
      <c r="S33" s="83"/>
      <c r="T33" s="80"/>
      <c r="U33" s="81"/>
      <c r="V33" s="82"/>
      <c r="W33" s="83"/>
      <c r="X33" s="279">
        <f t="shared" si="0"/>
        <v>0</v>
      </c>
      <c r="Y33" s="278">
        <f t="shared" si="1"/>
        <v>0</v>
      </c>
      <c r="Z33" s="256">
        <v>6820</v>
      </c>
    </row>
    <row r="34" spans="2:27" ht="43.8" thickBot="1" x14ac:dyDescent="0.35">
      <c r="B34" s="6">
        <v>6910</v>
      </c>
      <c r="C34" s="11" t="s">
        <v>26</v>
      </c>
      <c r="D34" s="80">
        <v>5000</v>
      </c>
      <c r="E34" s="81" t="s">
        <v>165</v>
      </c>
      <c r="F34" s="82"/>
      <c r="G34" s="83"/>
      <c r="H34" s="80">
        <v>3000</v>
      </c>
      <c r="I34" s="93" t="s">
        <v>163</v>
      </c>
      <c r="J34" s="82"/>
      <c r="K34" s="83"/>
      <c r="L34" s="80"/>
      <c r="M34" s="81"/>
      <c r="N34" s="82"/>
      <c r="O34" s="83"/>
      <c r="P34" s="80"/>
      <c r="Q34" s="81"/>
      <c r="R34" s="82"/>
      <c r="S34" s="83"/>
      <c r="T34" s="80"/>
      <c r="U34" s="81"/>
      <c r="V34" s="82"/>
      <c r="W34" s="83"/>
      <c r="X34" s="277">
        <f t="shared" si="0"/>
        <v>0</v>
      </c>
      <c r="Y34" s="278">
        <f t="shared" si="1"/>
        <v>8000</v>
      </c>
      <c r="Z34" s="256">
        <v>6910</v>
      </c>
    </row>
    <row r="35" spans="2:27" ht="15" hidden="1" thickBot="1" x14ac:dyDescent="0.35">
      <c r="B35" s="6">
        <v>6940</v>
      </c>
      <c r="C35" s="11" t="s">
        <v>49</v>
      </c>
      <c r="D35" s="80"/>
      <c r="E35" s="81"/>
      <c r="F35" s="82"/>
      <c r="G35" s="83"/>
      <c r="H35" s="80"/>
      <c r="I35" s="93"/>
      <c r="J35" s="82"/>
      <c r="K35" s="83"/>
      <c r="L35" s="80"/>
      <c r="M35" s="81"/>
      <c r="N35" s="82"/>
      <c r="O35" s="83"/>
      <c r="P35" s="80"/>
      <c r="Q35" s="81"/>
      <c r="R35" s="82"/>
      <c r="S35" s="83"/>
      <c r="T35" s="80"/>
      <c r="U35" s="81"/>
      <c r="V35" s="82"/>
      <c r="W35" s="83"/>
      <c r="X35" s="277">
        <f t="shared" si="0"/>
        <v>0</v>
      </c>
      <c r="Y35" s="278">
        <f t="shared" si="1"/>
        <v>0</v>
      </c>
      <c r="Z35" s="256">
        <v>6940</v>
      </c>
    </row>
    <row r="36" spans="2:27" x14ac:dyDescent="0.3">
      <c r="B36" s="6">
        <v>7000</v>
      </c>
      <c r="C36" s="11" t="s">
        <v>27</v>
      </c>
      <c r="D36" s="80"/>
      <c r="E36" s="81"/>
      <c r="F36" s="82"/>
      <c r="G36" s="83"/>
      <c r="H36" s="80">
        <v>1500</v>
      </c>
      <c r="I36" s="93" t="s">
        <v>143</v>
      </c>
      <c r="J36" s="82"/>
      <c r="K36" s="83"/>
      <c r="L36" s="80"/>
      <c r="M36" s="81"/>
      <c r="N36" s="82"/>
      <c r="O36" s="83"/>
      <c r="P36" s="80"/>
      <c r="Q36" s="81"/>
      <c r="R36" s="82"/>
      <c r="S36" s="83"/>
      <c r="T36" s="80"/>
      <c r="U36" s="81"/>
      <c r="V36" s="82"/>
      <c r="W36" s="83"/>
      <c r="X36" s="277">
        <f t="shared" si="0"/>
        <v>0</v>
      </c>
      <c r="Y36" s="278">
        <f t="shared" si="1"/>
        <v>1500</v>
      </c>
      <c r="Z36" s="272">
        <v>7000</v>
      </c>
      <c r="AA36" s="225" t="s">
        <v>310</v>
      </c>
    </row>
    <row r="37" spans="2:27" hidden="1" x14ac:dyDescent="0.3">
      <c r="B37" s="6">
        <v>7100</v>
      </c>
      <c r="C37" s="11" t="s">
        <v>28</v>
      </c>
      <c r="D37" s="80"/>
      <c r="E37" s="81"/>
      <c r="F37" s="82"/>
      <c r="G37" s="83"/>
      <c r="H37" s="80"/>
      <c r="I37" s="93"/>
      <c r="J37" s="82"/>
      <c r="K37" s="83"/>
      <c r="L37" s="80"/>
      <c r="M37" s="81"/>
      <c r="N37" s="82"/>
      <c r="O37" s="83"/>
      <c r="P37" s="80"/>
      <c r="Q37" s="81"/>
      <c r="R37" s="82"/>
      <c r="S37" s="83"/>
      <c r="T37" s="80"/>
      <c r="U37" s="81"/>
      <c r="V37" s="82"/>
      <c r="W37" s="83"/>
      <c r="X37" s="277">
        <f t="shared" si="0"/>
        <v>0</v>
      </c>
      <c r="Y37" s="278">
        <f t="shared" si="1"/>
        <v>0</v>
      </c>
      <c r="Z37" s="272">
        <v>7100</v>
      </c>
      <c r="AA37" s="97"/>
    </row>
    <row r="38" spans="2:27" hidden="1" x14ac:dyDescent="0.3">
      <c r="B38" s="6">
        <v>7101</v>
      </c>
      <c r="C38" s="11" t="s">
        <v>29</v>
      </c>
      <c r="D38" s="80"/>
      <c r="E38" s="81"/>
      <c r="F38" s="82"/>
      <c r="G38" s="83"/>
      <c r="H38" s="80"/>
      <c r="I38" s="93"/>
      <c r="J38" s="82"/>
      <c r="K38" s="83"/>
      <c r="L38" s="80"/>
      <c r="M38" s="81"/>
      <c r="N38" s="82"/>
      <c r="O38" s="83"/>
      <c r="P38" s="80"/>
      <c r="Q38" s="81"/>
      <c r="R38" s="82"/>
      <c r="S38" s="83"/>
      <c r="T38" s="80"/>
      <c r="U38" s="81"/>
      <c r="V38" s="82"/>
      <c r="W38" s="83"/>
      <c r="X38" s="277">
        <f t="shared" si="0"/>
        <v>0</v>
      </c>
      <c r="Y38" s="278">
        <f t="shared" si="1"/>
        <v>0</v>
      </c>
      <c r="Z38" s="272">
        <v>7101</v>
      </c>
      <c r="AA38" s="97"/>
    </row>
    <row r="39" spans="2:27" hidden="1" x14ac:dyDescent="0.3">
      <c r="B39" s="6">
        <v>7110</v>
      </c>
      <c r="C39" s="11" t="s">
        <v>30</v>
      </c>
      <c r="D39" s="80"/>
      <c r="E39" s="81"/>
      <c r="F39" s="82"/>
      <c r="G39" s="83"/>
      <c r="H39" s="80"/>
      <c r="I39" s="93"/>
      <c r="J39" s="82"/>
      <c r="K39" s="83"/>
      <c r="L39" s="80"/>
      <c r="M39" s="81"/>
      <c r="N39" s="82"/>
      <c r="O39" s="83"/>
      <c r="P39" s="80"/>
      <c r="Q39" s="81"/>
      <c r="R39" s="82"/>
      <c r="S39" s="83"/>
      <c r="T39" s="80"/>
      <c r="U39" s="81"/>
      <c r="V39" s="82"/>
      <c r="W39" s="83"/>
      <c r="X39" s="277">
        <f t="shared" si="0"/>
        <v>0</v>
      </c>
      <c r="Y39" s="278">
        <f t="shared" si="1"/>
        <v>0</v>
      </c>
      <c r="Z39" s="272">
        <v>7110</v>
      </c>
      <c r="AA39" s="97"/>
    </row>
    <row r="40" spans="2:27" hidden="1" x14ac:dyDescent="0.3">
      <c r="B40" s="6">
        <v>7141</v>
      </c>
      <c r="C40" s="11" t="s">
        <v>31</v>
      </c>
      <c r="D40" s="80"/>
      <c r="E40" s="81"/>
      <c r="F40" s="82"/>
      <c r="G40" s="83"/>
      <c r="H40" s="80"/>
      <c r="I40" s="93"/>
      <c r="J40" s="82"/>
      <c r="K40" s="83"/>
      <c r="L40" s="80"/>
      <c r="M40" s="81"/>
      <c r="N40" s="82"/>
      <c r="O40" s="83"/>
      <c r="P40" s="80"/>
      <c r="Q40" s="81"/>
      <c r="R40" s="82"/>
      <c r="S40" s="83"/>
      <c r="T40" s="80"/>
      <c r="U40" s="81"/>
      <c r="V40" s="82"/>
      <c r="W40" s="83"/>
      <c r="X40" s="277">
        <f t="shared" si="0"/>
        <v>0</v>
      </c>
      <c r="Y40" s="278">
        <f t="shared" si="1"/>
        <v>0</v>
      </c>
      <c r="Z40" s="272">
        <v>7141</v>
      </c>
      <c r="AA40" s="97"/>
    </row>
    <row r="41" spans="2:27" hidden="1" x14ac:dyDescent="0.3">
      <c r="B41" s="6">
        <v>7145</v>
      </c>
      <c r="C41" s="11" t="s">
        <v>32</v>
      </c>
      <c r="D41" s="80"/>
      <c r="E41" s="81"/>
      <c r="F41" s="82"/>
      <c r="G41" s="83"/>
      <c r="H41" s="80"/>
      <c r="I41" s="93"/>
      <c r="J41" s="82"/>
      <c r="K41" s="83"/>
      <c r="L41" s="80"/>
      <c r="M41" s="81"/>
      <c r="N41" s="82"/>
      <c r="O41" s="83"/>
      <c r="P41" s="80"/>
      <c r="Q41" s="81"/>
      <c r="R41" s="82"/>
      <c r="S41" s="83"/>
      <c r="T41" s="80"/>
      <c r="U41" s="81"/>
      <c r="V41" s="82"/>
      <c r="W41" s="83"/>
      <c r="X41" s="277">
        <f t="shared" si="0"/>
        <v>0</v>
      </c>
      <c r="Y41" s="278">
        <f t="shared" si="1"/>
        <v>0</v>
      </c>
      <c r="Z41" s="272">
        <v>7145</v>
      </c>
      <c r="AA41" s="97"/>
    </row>
    <row r="42" spans="2:27" hidden="1" x14ac:dyDescent="0.3">
      <c r="B42" s="6">
        <v>7162</v>
      </c>
      <c r="C42" s="11" t="s">
        <v>33</v>
      </c>
      <c r="D42" s="80"/>
      <c r="E42" s="81"/>
      <c r="F42" s="82"/>
      <c r="G42" s="83"/>
      <c r="H42" s="80"/>
      <c r="I42" s="93"/>
      <c r="J42" s="82"/>
      <c r="K42" s="83"/>
      <c r="L42" s="80"/>
      <c r="M42" s="81"/>
      <c r="N42" s="82"/>
      <c r="O42" s="83"/>
      <c r="P42" s="80"/>
      <c r="Q42" s="81"/>
      <c r="R42" s="82"/>
      <c r="S42" s="83"/>
      <c r="T42" s="80"/>
      <c r="U42" s="81"/>
      <c r="V42" s="82"/>
      <c r="W42" s="83"/>
      <c r="X42" s="277">
        <f t="shared" si="0"/>
        <v>0</v>
      </c>
      <c r="Y42" s="278">
        <f t="shared" si="1"/>
        <v>0</v>
      </c>
      <c r="Z42" s="272">
        <v>7162</v>
      </c>
      <c r="AA42" s="97"/>
    </row>
    <row r="43" spans="2:27" hidden="1" x14ac:dyDescent="0.3">
      <c r="B43" s="6">
        <v>7320</v>
      </c>
      <c r="C43" s="11" t="s">
        <v>34</v>
      </c>
      <c r="D43" s="80">
        <v>0</v>
      </c>
      <c r="E43" s="81" t="s">
        <v>142</v>
      </c>
      <c r="F43" s="82"/>
      <c r="G43" s="83"/>
      <c r="H43" s="80"/>
      <c r="I43" s="93"/>
      <c r="J43" s="82"/>
      <c r="K43" s="83"/>
      <c r="L43" s="80"/>
      <c r="M43" s="81"/>
      <c r="N43" s="82"/>
      <c r="O43" s="83"/>
      <c r="P43" s="80"/>
      <c r="Q43" s="81"/>
      <c r="R43" s="82"/>
      <c r="S43" s="83"/>
      <c r="T43" s="80"/>
      <c r="U43" s="81"/>
      <c r="V43" s="82"/>
      <c r="W43" s="83"/>
      <c r="X43" s="277">
        <f t="shared" si="0"/>
        <v>0</v>
      </c>
      <c r="Y43" s="278">
        <f t="shared" si="1"/>
        <v>0</v>
      </c>
      <c r="Z43" s="272">
        <v>7320</v>
      </c>
      <c r="AA43" s="97"/>
    </row>
    <row r="44" spans="2:27" hidden="1" x14ac:dyDescent="0.3">
      <c r="B44" s="6">
        <v>7350</v>
      </c>
      <c r="C44" s="11" t="s">
        <v>35</v>
      </c>
      <c r="D44" s="80"/>
      <c r="E44" s="81"/>
      <c r="F44" s="82"/>
      <c r="G44" s="83"/>
      <c r="H44" s="80"/>
      <c r="I44" s="93"/>
      <c r="J44" s="82"/>
      <c r="K44" s="83"/>
      <c r="L44" s="80"/>
      <c r="M44" s="81"/>
      <c r="N44" s="82"/>
      <c r="O44" s="83"/>
      <c r="P44" s="80"/>
      <c r="Q44" s="81"/>
      <c r="R44" s="82"/>
      <c r="S44" s="83"/>
      <c r="T44" s="80"/>
      <c r="U44" s="81"/>
      <c r="V44" s="82"/>
      <c r="W44" s="83"/>
      <c r="X44" s="277">
        <f t="shared" si="0"/>
        <v>0</v>
      </c>
      <c r="Y44" s="278">
        <f t="shared" si="1"/>
        <v>0</v>
      </c>
      <c r="Z44" s="272">
        <v>7350</v>
      </c>
      <c r="AA44" s="97"/>
    </row>
    <row r="45" spans="2:27" hidden="1" x14ac:dyDescent="0.3">
      <c r="B45" s="6">
        <v>7400</v>
      </c>
      <c r="C45" s="11" t="s">
        <v>36</v>
      </c>
      <c r="D45" s="80"/>
      <c r="E45" s="81"/>
      <c r="F45" s="82"/>
      <c r="G45" s="83"/>
      <c r="H45" s="80"/>
      <c r="I45" s="93"/>
      <c r="J45" s="82"/>
      <c r="K45" s="83"/>
      <c r="L45" s="80"/>
      <c r="M45" s="81"/>
      <c r="N45" s="82"/>
      <c r="O45" s="83"/>
      <c r="P45" s="80"/>
      <c r="Q45" s="81"/>
      <c r="R45" s="82"/>
      <c r="S45" s="83"/>
      <c r="T45" s="80"/>
      <c r="U45" s="81"/>
      <c r="V45" s="82"/>
      <c r="W45" s="83"/>
      <c r="X45" s="277">
        <f t="shared" si="0"/>
        <v>0</v>
      </c>
      <c r="Y45" s="278">
        <f t="shared" si="1"/>
        <v>0</v>
      </c>
      <c r="Z45" s="272">
        <v>7400</v>
      </c>
      <c r="AA45" s="97"/>
    </row>
    <row r="46" spans="2:27" hidden="1" x14ac:dyDescent="0.3">
      <c r="B46" s="6">
        <v>7411</v>
      </c>
      <c r="C46" s="11" t="s">
        <v>37</v>
      </c>
      <c r="D46" s="80"/>
      <c r="E46" s="81"/>
      <c r="F46" s="82"/>
      <c r="G46" s="83"/>
      <c r="H46" s="80"/>
      <c r="I46" s="93"/>
      <c r="J46" s="82"/>
      <c r="K46" s="83"/>
      <c r="L46" s="80"/>
      <c r="M46" s="81"/>
      <c r="N46" s="82"/>
      <c r="O46" s="83"/>
      <c r="P46" s="80"/>
      <c r="Q46" s="81"/>
      <c r="R46" s="82"/>
      <c r="S46" s="83"/>
      <c r="T46" s="80"/>
      <c r="U46" s="81"/>
      <c r="V46" s="82"/>
      <c r="W46" s="83"/>
      <c r="X46" s="277">
        <f t="shared" si="0"/>
        <v>0</v>
      </c>
      <c r="Y46" s="278">
        <f t="shared" si="1"/>
        <v>0</v>
      </c>
      <c r="Z46" s="272">
        <v>7411</v>
      </c>
      <c r="AA46" s="97"/>
    </row>
    <row r="47" spans="2:27" hidden="1" x14ac:dyDescent="0.3">
      <c r="B47" s="6">
        <v>7420</v>
      </c>
      <c r="C47" s="11" t="s">
        <v>38</v>
      </c>
      <c r="D47" s="80"/>
      <c r="E47" s="81"/>
      <c r="F47" s="82"/>
      <c r="G47" s="83"/>
      <c r="H47" s="80"/>
      <c r="I47" s="93"/>
      <c r="J47" s="82"/>
      <c r="K47" s="83"/>
      <c r="L47" s="80"/>
      <c r="M47" s="81"/>
      <c r="N47" s="82"/>
      <c r="O47" s="83"/>
      <c r="P47" s="80"/>
      <c r="Q47" s="81"/>
      <c r="R47" s="82"/>
      <c r="S47" s="83"/>
      <c r="T47" s="80"/>
      <c r="U47" s="81"/>
      <c r="V47" s="82"/>
      <c r="W47" s="83"/>
      <c r="X47" s="277">
        <f t="shared" si="0"/>
        <v>0</v>
      </c>
      <c r="Y47" s="278">
        <f t="shared" si="1"/>
        <v>0</v>
      </c>
      <c r="Z47" s="272">
        <v>7420</v>
      </c>
      <c r="AA47" s="97"/>
    </row>
    <row r="48" spans="2:27" hidden="1" x14ac:dyDescent="0.3">
      <c r="B48" s="6">
        <v>7425</v>
      </c>
      <c r="C48" s="11" t="s">
        <v>39</v>
      </c>
      <c r="D48" s="80"/>
      <c r="E48" s="81"/>
      <c r="F48" s="82"/>
      <c r="G48" s="83"/>
      <c r="H48" s="80"/>
      <c r="I48" s="93"/>
      <c r="J48" s="82"/>
      <c r="K48" s="83"/>
      <c r="L48" s="80"/>
      <c r="M48" s="81"/>
      <c r="N48" s="82"/>
      <c r="O48" s="83"/>
      <c r="P48" s="80"/>
      <c r="Q48" s="81"/>
      <c r="R48" s="82"/>
      <c r="S48" s="83"/>
      <c r="T48" s="80"/>
      <c r="U48" s="81"/>
      <c r="V48" s="82"/>
      <c r="W48" s="83"/>
      <c r="X48" s="277">
        <f t="shared" si="0"/>
        <v>0</v>
      </c>
      <c r="Y48" s="278">
        <f t="shared" si="1"/>
        <v>0</v>
      </c>
      <c r="Z48" s="272">
        <v>7425</v>
      </c>
      <c r="AA48" s="97"/>
    </row>
    <row r="49" spans="2:27" hidden="1" x14ac:dyDescent="0.3">
      <c r="B49" s="6">
        <v>7430</v>
      </c>
      <c r="C49" s="11" t="s">
        <v>40</v>
      </c>
      <c r="D49" s="80"/>
      <c r="E49" s="81"/>
      <c r="F49" s="82"/>
      <c r="G49" s="83"/>
      <c r="H49" s="80"/>
      <c r="I49" s="93"/>
      <c r="J49" s="82"/>
      <c r="K49" s="83"/>
      <c r="L49" s="80"/>
      <c r="M49" s="81"/>
      <c r="N49" s="82"/>
      <c r="O49" s="83"/>
      <c r="P49" s="80"/>
      <c r="Q49" s="81"/>
      <c r="R49" s="82"/>
      <c r="S49" s="83"/>
      <c r="T49" s="80"/>
      <c r="U49" s="81"/>
      <c r="V49" s="82"/>
      <c r="W49" s="83"/>
      <c r="X49" s="277">
        <f t="shared" si="0"/>
        <v>0</v>
      </c>
      <c r="Y49" s="278">
        <f t="shared" si="1"/>
        <v>0</v>
      </c>
      <c r="Z49" s="272">
        <v>7430</v>
      </c>
      <c r="AA49" s="97"/>
    </row>
    <row r="50" spans="2:27" hidden="1" x14ac:dyDescent="0.3">
      <c r="B50" s="6">
        <v>7500</v>
      </c>
      <c r="C50" s="11" t="s">
        <v>41</v>
      </c>
      <c r="D50" s="80"/>
      <c r="E50" s="81"/>
      <c r="F50" s="82"/>
      <c r="G50" s="83"/>
      <c r="H50" s="80"/>
      <c r="I50" s="93"/>
      <c r="J50" s="82"/>
      <c r="K50" s="83"/>
      <c r="L50" s="80"/>
      <c r="M50" s="81"/>
      <c r="N50" s="82"/>
      <c r="O50" s="83"/>
      <c r="P50" s="80"/>
      <c r="Q50" s="81"/>
      <c r="R50" s="82"/>
      <c r="S50" s="83"/>
      <c r="T50" s="80"/>
      <c r="U50" s="81"/>
      <c r="V50" s="82"/>
      <c r="W50" s="83"/>
      <c r="X50" s="277">
        <f t="shared" si="0"/>
        <v>0</v>
      </c>
      <c r="Y50" s="278">
        <f t="shared" si="1"/>
        <v>0</v>
      </c>
      <c r="Z50" s="272">
        <v>7500</v>
      </c>
      <c r="AA50" s="97"/>
    </row>
    <row r="51" spans="2:27" hidden="1" x14ac:dyDescent="0.3">
      <c r="B51" s="6">
        <v>7746</v>
      </c>
      <c r="C51" s="11" t="s">
        <v>42</v>
      </c>
      <c r="D51" s="80"/>
      <c r="E51" s="81"/>
      <c r="F51" s="82"/>
      <c r="G51" s="83"/>
      <c r="H51" s="80"/>
      <c r="I51" s="93"/>
      <c r="J51" s="82"/>
      <c r="K51" s="83"/>
      <c r="L51" s="80"/>
      <c r="M51" s="81"/>
      <c r="N51" s="82"/>
      <c r="O51" s="83"/>
      <c r="P51" s="80"/>
      <c r="Q51" s="81"/>
      <c r="R51" s="82"/>
      <c r="S51" s="83"/>
      <c r="T51" s="80"/>
      <c r="U51" s="81"/>
      <c r="V51" s="82"/>
      <c r="W51" s="83"/>
      <c r="X51" s="277">
        <f t="shared" si="0"/>
        <v>0</v>
      </c>
      <c r="Y51" s="278">
        <f t="shared" si="1"/>
        <v>0</v>
      </c>
      <c r="Z51" s="272">
        <v>7746</v>
      </c>
      <c r="AA51" s="97"/>
    </row>
    <row r="52" spans="2:27" hidden="1" x14ac:dyDescent="0.3">
      <c r="B52" s="6">
        <v>7770</v>
      </c>
      <c r="C52" s="11" t="s">
        <v>43</v>
      </c>
      <c r="D52" s="80"/>
      <c r="E52" s="81"/>
      <c r="F52" s="82"/>
      <c r="G52" s="83"/>
      <c r="H52" s="80"/>
      <c r="I52" s="93"/>
      <c r="J52" s="82"/>
      <c r="K52" s="83"/>
      <c r="L52" s="80"/>
      <c r="M52" s="81"/>
      <c r="N52" s="82"/>
      <c r="O52" s="83"/>
      <c r="P52" s="80"/>
      <c r="Q52" s="81"/>
      <c r="R52" s="82"/>
      <c r="S52" s="83"/>
      <c r="T52" s="80"/>
      <c r="U52" s="81"/>
      <c r="V52" s="82"/>
      <c r="W52" s="83"/>
      <c r="X52" s="277">
        <f t="shared" si="0"/>
        <v>0</v>
      </c>
      <c r="Y52" s="278">
        <f t="shared" si="1"/>
        <v>0</v>
      </c>
      <c r="Z52" s="272">
        <v>7770</v>
      </c>
      <c r="AA52" s="97"/>
    </row>
    <row r="53" spans="2:27" ht="15" hidden="1" thickBot="1" x14ac:dyDescent="0.35">
      <c r="B53" s="8">
        <v>7775</v>
      </c>
      <c r="C53" s="12" t="s">
        <v>44</v>
      </c>
      <c r="D53" s="84"/>
      <c r="E53" s="81"/>
      <c r="F53" s="86"/>
      <c r="G53" s="83"/>
      <c r="H53" s="84"/>
      <c r="I53" s="141"/>
      <c r="J53" s="86"/>
      <c r="K53" s="83"/>
      <c r="L53" s="84"/>
      <c r="M53" s="85"/>
      <c r="N53" s="86"/>
      <c r="O53" s="83"/>
      <c r="P53" s="84"/>
      <c r="Q53" s="85"/>
      <c r="R53" s="86"/>
      <c r="S53" s="83"/>
      <c r="T53" s="84"/>
      <c r="U53" s="85"/>
      <c r="V53" s="86"/>
      <c r="W53" s="83"/>
      <c r="X53" s="277">
        <f t="shared" si="0"/>
        <v>0</v>
      </c>
      <c r="Y53" s="278">
        <f t="shared" si="1"/>
        <v>0</v>
      </c>
      <c r="Z53" s="199">
        <v>7775</v>
      </c>
      <c r="AA53" s="97"/>
    </row>
    <row r="54" spans="2:27" ht="15" thickBot="1" x14ac:dyDescent="0.35">
      <c r="B54" s="13">
        <v>7320</v>
      </c>
      <c r="C54" s="41" t="s">
        <v>34</v>
      </c>
      <c r="D54" s="84"/>
      <c r="E54" s="232"/>
      <c r="F54" s="86"/>
      <c r="G54" s="83"/>
      <c r="H54" s="84">
        <v>50000</v>
      </c>
      <c r="I54" s="233"/>
      <c r="J54" s="86"/>
      <c r="K54" s="83"/>
      <c r="L54" s="84"/>
      <c r="M54" s="177"/>
      <c r="N54" s="86"/>
      <c r="O54" s="83"/>
      <c r="P54" s="84"/>
      <c r="Q54" s="177"/>
      <c r="R54" s="86"/>
      <c r="S54" s="83"/>
      <c r="T54" s="84"/>
      <c r="U54" s="177"/>
      <c r="V54" s="86"/>
      <c r="W54" s="83"/>
      <c r="X54" s="280">
        <f t="shared" si="0"/>
        <v>0</v>
      </c>
      <c r="Y54" s="281">
        <f t="shared" si="1"/>
        <v>50000</v>
      </c>
      <c r="Z54" s="41">
        <v>7320</v>
      </c>
      <c r="AA54" s="213"/>
    </row>
    <row r="55" spans="2:27" ht="15" thickBot="1" x14ac:dyDescent="0.35">
      <c r="B55" s="26"/>
      <c r="C55" s="27" t="s">
        <v>74</v>
      </c>
      <c r="D55" s="92">
        <f>SUM(D13:D53)</f>
        <v>5000</v>
      </c>
      <c r="E55" s="92"/>
      <c r="F55" s="92">
        <f>SUM(F13:F36)</f>
        <v>0</v>
      </c>
      <c r="G55" s="83"/>
      <c r="H55" s="92">
        <f>SUM(H13:H54)</f>
        <v>56000</v>
      </c>
      <c r="I55" s="142"/>
      <c r="J55" s="92">
        <f>SUM(J13:J36)</f>
        <v>0</v>
      </c>
      <c r="K55" s="83"/>
      <c r="L55" s="92">
        <f t="shared" ref="L55" si="3">SUM(L13:L53)</f>
        <v>0</v>
      </c>
      <c r="M55" s="92"/>
      <c r="N55" s="92"/>
      <c r="O55" s="83"/>
      <c r="P55" s="92">
        <f t="shared" ref="P55" si="4">SUM(P13:P53)</f>
        <v>0</v>
      </c>
      <c r="Q55" s="92"/>
      <c r="R55" s="92"/>
      <c r="S55" s="83"/>
      <c r="T55" s="92">
        <f>SUM(T13:T54)</f>
        <v>0</v>
      </c>
      <c r="U55" s="92"/>
      <c r="V55" s="92"/>
      <c r="W55" s="83"/>
      <c r="X55" s="282">
        <f t="shared" si="0"/>
        <v>0</v>
      </c>
      <c r="Y55" s="283">
        <f t="shared" si="1"/>
        <v>61000</v>
      </c>
      <c r="Z55" s="27"/>
      <c r="AA55" s="224">
        <f>SUM(D55+H55+L55+P55+T55)</f>
        <v>61000</v>
      </c>
    </row>
    <row r="56" spans="2:27" ht="15" thickBot="1" x14ac:dyDescent="0.35">
      <c r="C56" s="13" t="s">
        <v>373</v>
      </c>
      <c r="D56" s="310">
        <f>D12-D55</f>
        <v>-5000</v>
      </c>
      <c r="E56" s="310"/>
      <c r="F56" s="310">
        <f t="shared" ref="F56" si="5">F12-F55</f>
        <v>0</v>
      </c>
      <c r="G56" s="313"/>
      <c r="H56" s="310">
        <f>H12-H55</f>
        <v>-54500</v>
      </c>
      <c r="I56" s="312">
        <f t="shared" ref="I56:J56" si="6">I12-I55</f>
        <v>0</v>
      </c>
      <c r="J56" s="310">
        <f t="shared" si="6"/>
        <v>0</v>
      </c>
      <c r="K56" s="313"/>
      <c r="L56" s="310">
        <f t="shared" ref="L56:V56" si="7">L12-L55</f>
        <v>25000</v>
      </c>
      <c r="M56" s="310">
        <f t="shared" si="7"/>
        <v>0</v>
      </c>
      <c r="N56" s="310">
        <f t="shared" si="7"/>
        <v>0</v>
      </c>
      <c r="O56" s="313"/>
      <c r="P56" s="310">
        <f t="shared" ref="P56" si="8">P12-P55</f>
        <v>0</v>
      </c>
      <c r="Q56" s="310">
        <f t="shared" si="7"/>
        <v>0</v>
      </c>
      <c r="R56" s="310">
        <f t="shared" si="7"/>
        <v>0</v>
      </c>
      <c r="S56" s="313"/>
      <c r="T56" s="310">
        <f t="shared" ref="T56" si="9">T12-T55</f>
        <v>0</v>
      </c>
      <c r="U56" s="310">
        <f t="shared" si="7"/>
        <v>0</v>
      </c>
      <c r="V56" s="310">
        <f t="shared" si="7"/>
        <v>0</v>
      </c>
      <c r="W56" s="313"/>
      <c r="X56" s="317">
        <f t="shared" si="0"/>
        <v>0</v>
      </c>
      <c r="Y56" s="318">
        <f t="shared" si="1"/>
        <v>-34500</v>
      </c>
      <c r="Z56" s="42"/>
    </row>
    <row r="58" spans="2:27" x14ac:dyDescent="0.3">
      <c r="D58" s="346" t="s">
        <v>347</v>
      </c>
      <c r="E58" s="346"/>
      <c r="F58" s="346"/>
      <c r="H58" s="346" t="s">
        <v>166</v>
      </c>
      <c r="I58" s="346"/>
      <c r="J58" s="346"/>
      <c r="L58" s="346"/>
      <c r="M58" s="346"/>
      <c r="N58" s="346"/>
    </row>
    <row r="59" spans="2:27" x14ac:dyDescent="0.3">
      <c r="D59" s="346"/>
      <c r="E59" s="346"/>
      <c r="F59" s="346"/>
      <c r="H59" s="346"/>
      <c r="I59" s="346"/>
      <c r="J59" s="346"/>
      <c r="L59" s="346"/>
      <c r="M59" s="346"/>
      <c r="N59" s="346"/>
    </row>
    <row r="60" spans="2:27" x14ac:dyDescent="0.3">
      <c r="D60" s="346"/>
      <c r="E60" s="346"/>
      <c r="F60" s="346"/>
      <c r="H60" s="346"/>
      <c r="I60" s="346"/>
      <c r="J60" s="346"/>
      <c r="L60" s="346"/>
      <c r="M60" s="346"/>
      <c r="N60" s="346"/>
    </row>
    <row r="61" spans="2:27" x14ac:dyDescent="0.3">
      <c r="D61" s="346"/>
      <c r="E61" s="346"/>
      <c r="F61" s="346"/>
      <c r="H61" s="346"/>
      <c r="I61" s="346"/>
      <c r="J61" s="346"/>
      <c r="L61" s="346"/>
      <c r="M61" s="346"/>
      <c r="N61" s="346"/>
    </row>
    <row r="62" spans="2:27" x14ac:dyDescent="0.3">
      <c r="D62" s="346"/>
      <c r="E62" s="346"/>
      <c r="F62" s="346"/>
      <c r="H62" s="346"/>
      <c r="I62" s="346"/>
      <c r="J62" s="346"/>
      <c r="L62" s="346"/>
      <c r="M62" s="346"/>
      <c r="N62" s="346"/>
    </row>
    <row r="63" spans="2:27" x14ac:dyDescent="0.3">
      <c r="D63" s="346"/>
      <c r="E63" s="346"/>
      <c r="F63" s="346"/>
      <c r="H63" s="346"/>
      <c r="I63" s="346"/>
      <c r="J63" s="346"/>
      <c r="L63" s="346"/>
      <c r="M63" s="346"/>
      <c r="N63" s="346"/>
    </row>
    <row r="64" spans="2:27" x14ac:dyDescent="0.3">
      <c r="D64" s="346"/>
      <c r="E64" s="346"/>
      <c r="F64" s="346"/>
      <c r="H64" s="346"/>
      <c r="I64" s="346"/>
      <c r="J64" s="346"/>
      <c r="L64" s="346"/>
      <c r="M64" s="346"/>
      <c r="N64" s="346"/>
    </row>
    <row r="65" spans="4:14" x14ac:dyDescent="0.3">
      <c r="D65" s="346"/>
      <c r="E65" s="346"/>
      <c r="F65" s="346"/>
      <c r="H65" s="346"/>
      <c r="I65" s="346"/>
      <c r="J65" s="346"/>
      <c r="L65" s="346"/>
      <c r="M65" s="346"/>
      <c r="N65" s="346"/>
    </row>
    <row r="66" spans="4:14" x14ac:dyDescent="0.3">
      <c r="D66" s="346"/>
      <c r="E66" s="346"/>
      <c r="F66" s="346"/>
      <c r="H66" s="346"/>
      <c r="I66" s="346"/>
      <c r="J66" s="346"/>
      <c r="L66" s="346"/>
      <c r="M66" s="346"/>
      <c r="N66" s="346"/>
    </row>
    <row r="67" spans="4:14" x14ac:dyDescent="0.3">
      <c r="D67" s="346"/>
      <c r="E67" s="346"/>
      <c r="F67" s="346"/>
      <c r="H67" s="346"/>
      <c r="I67" s="346"/>
      <c r="J67" s="346"/>
      <c r="L67" s="346"/>
      <c r="M67" s="346"/>
      <c r="N67" s="346"/>
    </row>
    <row r="68" spans="4:14" x14ac:dyDescent="0.3">
      <c r="D68" s="346"/>
      <c r="E68" s="346"/>
      <c r="F68" s="346"/>
      <c r="H68" s="346"/>
      <c r="I68" s="346"/>
      <c r="J68" s="346"/>
      <c r="L68" s="346"/>
      <c r="M68" s="346"/>
      <c r="N68" s="346"/>
    </row>
  </sheetData>
  <sheetProtection algorithmName="SHA-512" hashValue="u2h73lDAw3b2QZNFa0utbM3UXU76h9QtTQYWMryjsg1ZHZ+M4TRFRilII2ENP7dmH0vwXbXeZfWsEKcr2lZLRg==" saltValue="3dHhJuAWrqmTO26ekNvfeA==" spinCount="100000" sheet="1" selectLockedCells="1"/>
  <protectedRanges>
    <protectedRange sqref="D18 H18:I18 L18:M18 P18:Q18 T18:U18" name="Område2_2_1"/>
    <protectedRange password="8B3B" sqref="D20 H20:I20 L20:M20 P20:Q20 T20:U20" name="Område1_2_1"/>
  </protectedRanges>
  <mergeCells count="10">
    <mergeCell ref="U1:V1"/>
    <mergeCell ref="B1:C1"/>
    <mergeCell ref="M1:N1"/>
    <mergeCell ref="H58:J68"/>
    <mergeCell ref="B2:C2"/>
    <mergeCell ref="E1:F1"/>
    <mergeCell ref="I1:J1"/>
    <mergeCell ref="Q1:R1"/>
    <mergeCell ref="D58:F68"/>
    <mergeCell ref="L58:N68"/>
  </mergeCells>
  <pageMargins left="0.7" right="0.7" top="0.75" bottom="0.75" header="0.3" footer="0.3"/>
  <pageSetup paperSize="9" orientation="portrait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67"/>
  <sheetViews>
    <sheetView zoomScale="70" zoomScaleNormal="70" zoomScalePageLayoutView="90" workbookViewId="0">
      <pane xSplit="3" topLeftCell="D1" activePane="topRight" state="frozen"/>
      <selection pane="topRight" activeCell="AB2" sqref="AB2"/>
    </sheetView>
  </sheetViews>
  <sheetFormatPr baseColWidth="10" defaultColWidth="11.44140625" defaultRowHeight="14.4" x14ac:dyDescent="0.3"/>
  <cols>
    <col min="1" max="1" width="9.44140625" bestFit="1" customWidth="1"/>
    <col min="2" max="2" width="6.44140625" bestFit="1" customWidth="1"/>
    <col min="3" max="3" width="37.5546875" bestFit="1" customWidth="1"/>
    <col min="4" max="4" width="17.109375" bestFit="1" customWidth="1"/>
    <col min="5" max="5" width="19.44140625" style="104" customWidth="1"/>
    <col min="6" max="6" width="19.109375" bestFit="1" customWidth="1"/>
    <col min="7" max="7" width="3.5546875" customWidth="1"/>
    <col min="8" max="8" width="17.109375" bestFit="1" customWidth="1"/>
    <col min="9" max="9" width="12" bestFit="1" customWidth="1"/>
    <col min="10" max="10" width="19.109375" bestFit="1" customWidth="1"/>
    <col min="11" max="11" width="3.5546875" customWidth="1"/>
    <col min="12" max="12" width="17.109375" customWidth="1"/>
    <col min="13" max="13" width="22.44140625" style="104" customWidth="1"/>
    <col min="14" max="14" width="19.109375" bestFit="1" customWidth="1"/>
    <col min="15" max="15" width="4.5546875" customWidth="1"/>
    <col min="16" max="16" width="17.6640625" bestFit="1" customWidth="1"/>
    <col min="17" max="17" width="31.5546875" style="104" customWidth="1"/>
    <col min="18" max="18" width="19.109375" bestFit="1" customWidth="1"/>
    <col min="19" max="19" width="4.5546875" customWidth="1"/>
    <col min="20" max="20" width="17.109375" bestFit="1" customWidth="1"/>
    <col min="21" max="21" width="12" bestFit="1" customWidth="1"/>
    <col min="22" max="22" width="19.109375" bestFit="1" customWidth="1"/>
    <col min="23" max="23" width="4.5546875" customWidth="1"/>
    <col min="24" max="24" width="12.44140625" bestFit="1" customWidth="1"/>
    <col min="25" max="25" width="12" bestFit="1" customWidth="1"/>
    <col min="26" max="26" width="19.109375" bestFit="1" customWidth="1"/>
    <col min="27" max="27" width="5.44140625" customWidth="1"/>
    <col min="28" max="28" width="11.21875" bestFit="1" customWidth="1"/>
    <col min="29" max="29" width="14.6640625" customWidth="1"/>
    <col min="30" max="30" width="8.5546875" bestFit="1" customWidth="1"/>
    <col min="31" max="31" width="14.44140625" bestFit="1" customWidth="1"/>
    <col min="32" max="32" width="4.5546875" customWidth="1"/>
    <col min="33" max="33" width="13.44140625" bestFit="1" customWidth="1"/>
    <col min="34" max="34" width="25.5546875" customWidth="1"/>
    <col min="35" max="35" width="4.5546875" customWidth="1"/>
    <col min="36" max="36" width="13.44140625" bestFit="1" customWidth="1"/>
    <col min="37" max="37" width="25.5546875" customWidth="1"/>
    <col min="38" max="38" width="4.5546875" customWidth="1"/>
    <col min="39" max="39" width="13.44140625" bestFit="1" customWidth="1"/>
    <col min="40" max="40" width="25.5546875" customWidth="1"/>
    <col min="41" max="58" width="4.5546875" customWidth="1"/>
  </cols>
  <sheetData>
    <row r="1" spans="1:58" ht="15" thickBot="1" x14ac:dyDescent="0.35">
      <c r="A1" s="33"/>
      <c r="B1" s="341" t="s">
        <v>76</v>
      </c>
      <c r="C1" s="341"/>
      <c r="D1" s="19">
        <v>30000</v>
      </c>
      <c r="E1" s="344" t="s">
        <v>53</v>
      </c>
      <c r="F1" s="345"/>
      <c r="G1" s="1"/>
      <c r="H1" s="19">
        <v>31000</v>
      </c>
      <c r="I1" s="344" t="s">
        <v>272</v>
      </c>
      <c r="J1" s="345" t="s">
        <v>54</v>
      </c>
      <c r="K1" s="1"/>
      <c r="L1" s="19">
        <v>31000</v>
      </c>
      <c r="M1" s="344" t="s">
        <v>270</v>
      </c>
      <c r="N1" s="345" t="s">
        <v>54</v>
      </c>
      <c r="O1" s="1"/>
      <c r="P1" s="19">
        <v>32000</v>
      </c>
      <c r="Q1" s="344" t="s">
        <v>57</v>
      </c>
      <c r="R1" s="345"/>
      <c r="S1" s="1"/>
      <c r="T1" s="19">
        <v>32001</v>
      </c>
      <c r="U1" s="344" t="s">
        <v>293</v>
      </c>
      <c r="V1" s="345"/>
      <c r="W1" s="1"/>
      <c r="X1" s="19"/>
      <c r="Y1" s="344"/>
      <c r="Z1" s="345"/>
      <c r="AD1" s="37"/>
      <c r="AE1" s="36"/>
      <c r="AF1" s="34"/>
      <c r="AG1" s="36"/>
      <c r="AH1" s="36"/>
      <c r="AI1" s="34"/>
      <c r="AJ1" s="36"/>
      <c r="AK1" s="36"/>
      <c r="AL1" s="34"/>
      <c r="AM1" s="36"/>
      <c r="AN1" s="36"/>
      <c r="AO1" s="34"/>
      <c r="AP1" s="34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thickBot="1" x14ac:dyDescent="0.35">
      <c r="A2" s="32"/>
      <c r="B2" s="341" t="s">
        <v>75</v>
      </c>
      <c r="C2" s="341"/>
      <c r="D2" s="14"/>
      <c r="E2" s="138"/>
      <c r="F2" s="16"/>
      <c r="G2" s="2"/>
      <c r="H2" s="14"/>
      <c r="I2" s="15"/>
      <c r="J2" s="16"/>
      <c r="K2" s="2"/>
      <c r="L2" s="14"/>
      <c r="M2" s="138"/>
      <c r="N2" s="16"/>
      <c r="O2" s="2"/>
      <c r="P2" s="14"/>
      <c r="Q2" s="138"/>
      <c r="R2" s="16"/>
      <c r="S2" s="2"/>
      <c r="T2" s="14"/>
      <c r="U2" s="15"/>
      <c r="V2" s="16"/>
      <c r="W2" s="2"/>
      <c r="X2" s="14"/>
      <c r="Y2" s="15"/>
      <c r="Z2" s="16"/>
      <c r="AB2" s="291" t="s">
        <v>52</v>
      </c>
      <c r="AC2" s="292" t="s">
        <v>52</v>
      </c>
      <c r="AD2" s="37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" thickBot="1" x14ac:dyDescent="0.35">
      <c r="B3" s="3" t="s">
        <v>0</v>
      </c>
      <c r="C3" s="18" t="s">
        <v>47</v>
      </c>
      <c r="D3" s="29" t="s">
        <v>344</v>
      </c>
      <c r="E3" s="139" t="s">
        <v>70</v>
      </c>
      <c r="F3" s="31" t="s">
        <v>343</v>
      </c>
      <c r="G3" s="4"/>
      <c r="H3" s="29" t="s">
        <v>344</v>
      </c>
      <c r="I3" s="30" t="s">
        <v>70</v>
      </c>
      <c r="J3" s="31" t="s">
        <v>343</v>
      </c>
      <c r="K3" s="4"/>
      <c r="L3" s="29" t="s">
        <v>344</v>
      </c>
      <c r="M3" s="139" t="s">
        <v>70</v>
      </c>
      <c r="N3" s="31" t="s">
        <v>343</v>
      </c>
      <c r="O3" s="4"/>
      <c r="P3" s="29" t="s">
        <v>342</v>
      </c>
      <c r="Q3" s="139" t="s">
        <v>70</v>
      </c>
      <c r="R3" s="31" t="s">
        <v>343</v>
      </c>
      <c r="S3" s="4"/>
      <c r="T3" s="29" t="s">
        <v>342</v>
      </c>
      <c r="U3" s="30" t="s">
        <v>70</v>
      </c>
      <c r="V3" s="31" t="s">
        <v>343</v>
      </c>
      <c r="W3" s="4"/>
      <c r="X3" s="29" t="s">
        <v>304</v>
      </c>
      <c r="Y3" s="30" t="s">
        <v>70</v>
      </c>
      <c r="Z3" s="31" t="s">
        <v>283</v>
      </c>
      <c r="AB3" s="293" t="s">
        <v>367</v>
      </c>
      <c r="AC3" s="294" t="s">
        <v>368</v>
      </c>
      <c r="AD3" s="263" t="s">
        <v>0</v>
      </c>
      <c r="AE3" s="38"/>
      <c r="AF3" s="36"/>
      <c r="AG3" s="36"/>
      <c r="AH3" s="38"/>
      <c r="AI3" s="36"/>
      <c r="AJ3" s="36"/>
      <c r="AK3" s="38"/>
      <c r="AL3" s="36"/>
      <c r="AM3" s="36"/>
      <c r="AN3" s="38"/>
      <c r="AO3" s="36"/>
      <c r="AP3" s="36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5" thickBot="1" x14ac:dyDescent="0.35">
      <c r="A4" s="5" t="s">
        <v>45</v>
      </c>
      <c r="B4" s="6">
        <v>3100</v>
      </c>
      <c r="C4" s="17" t="s">
        <v>3</v>
      </c>
      <c r="D4" s="80"/>
      <c r="E4" s="93"/>
      <c r="F4" s="82"/>
      <c r="G4" s="83"/>
      <c r="H4" s="80"/>
      <c r="I4" s="81"/>
      <c r="J4" s="82"/>
      <c r="K4" s="83"/>
      <c r="L4" s="80"/>
      <c r="M4" s="93"/>
      <c r="N4" s="82"/>
      <c r="O4" s="83"/>
      <c r="P4" s="80"/>
      <c r="Q4" s="93"/>
      <c r="R4" s="82"/>
      <c r="S4" s="83"/>
      <c r="T4" s="80"/>
      <c r="U4" s="81"/>
      <c r="V4" s="82"/>
      <c r="W4" s="83"/>
      <c r="X4" s="80"/>
      <c r="Y4" s="81"/>
      <c r="Z4" s="82"/>
      <c r="AB4" s="99">
        <f t="shared" ref="AB4:AB35" si="0">SUM(F4+J4+N4+R4+V4+Z4)</f>
        <v>0</v>
      </c>
      <c r="AC4" s="185">
        <f>SUM(D4+H4+L4+P4+T4+X4)</f>
        <v>0</v>
      </c>
      <c r="AD4" s="256">
        <v>3100</v>
      </c>
      <c r="AE4" s="37"/>
      <c r="AF4" s="37"/>
      <c r="AG4" s="39"/>
      <c r="AH4" s="37"/>
      <c r="AI4" s="37"/>
      <c r="AJ4" s="39"/>
      <c r="AK4" s="37"/>
      <c r="AL4" s="37"/>
      <c r="AM4" s="39"/>
      <c r="AN4" s="37"/>
      <c r="AO4" s="37"/>
      <c r="AP4" s="37"/>
    </row>
    <row r="5" spans="1:58" hidden="1" x14ac:dyDescent="0.3">
      <c r="B5" s="6">
        <v>3120</v>
      </c>
      <c r="C5" s="7" t="s">
        <v>4</v>
      </c>
      <c r="D5" s="80"/>
      <c r="E5" s="93"/>
      <c r="F5" s="82"/>
      <c r="G5" s="83"/>
      <c r="H5" s="80"/>
      <c r="I5" s="81"/>
      <c r="J5" s="82"/>
      <c r="K5" s="83"/>
      <c r="L5" s="80"/>
      <c r="M5" s="93"/>
      <c r="N5" s="82"/>
      <c r="O5" s="83"/>
      <c r="P5" s="80"/>
      <c r="Q5" s="93"/>
      <c r="R5" s="82"/>
      <c r="S5" s="83"/>
      <c r="T5" s="80"/>
      <c r="U5" s="81"/>
      <c r="V5" s="82"/>
      <c r="W5" s="83"/>
      <c r="X5" s="80"/>
      <c r="Y5" s="81"/>
      <c r="Z5" s="82"/>
      <c r="AB5" s="288">
        <f t="shared" si="0"/>
        <v>0</v>
      </c>
      <c r="AC5" s="82">
        <f t="shared" ref="AC5:AC53" si="1">SUM(D5+H5+L5+P5+T5+X5)</f>
        <v>0</v>
      </c>
      <c r="AD5" s="256">
        <v>3120</v>
      </c>
      <c r="AE5" s="37"/>
      <c r="AF5" s="37"/>
      <c r="AG5" s="39"/>
      <c r="AH5" s="37"/>
      <c r="AI5" s="37"/>
      <c r="AJ5" s="39"/>
      <c r="AK5" s="37"/>
      <c r="AL5" s="37"/>
      <c r="AM5" s="39"/>
      <c r="AN5" s="37"/>
      <c r="AO5" s="37"/>
      <c r="AP5" s="37"/>
    </row>
    <row r="6" spans="1:58" hidden="1" x14ac:dyDescent="0.3">
      <c r="B6" s="6">
        <v>3400</v>
      </c>
      <c r="C6" s="7" t="s">
        <v>5</v>
      </c>
      <c r="D6" s="80"/>
      <c r="E6" s="93"/>
      <c r="F6" s="82"/>
      <c r="G6" s="83"/>
      <c r="H6" s="80"/>
      <c r="I6" s="81"/>
      <c r="J6" s="82"/>
      <c r="K6" s="83"/>
      <c r="L6" s="80"/>
      <c r="M6" s="93"/>
      <c r="N6" s="82"/>
      <c r="O6" s="83"/>
      <c r="P6" s="80"/>
      <c r="Q6" s="93"/>
      <c r="R6" s="82"/>
      <c r="S6" s="83"/>
      <c r="T6" s="80"/>
      <c r="U6" s="81"/>
      <c r="V6" s="82"/>
      <c r="W6" s="83"/>
      <c r="X6" s="80"/>
      <c r="Y6" s="81"/>
      <c r="Z6" s="82"/>
      <c r="AB6" s="288">
        <f t="shared" si="0"/>
        <v>0</v>
      </c>
      <c r="AC6" s="82">
        <f t="shared" si="1"/>
        <v>0</v>
      </c>
      <c r="AD6" s="256">
        <v>3400</v>
      </c>
      <c r="AE6" s="37"/>
      <c r="AF6" s="37"/>
      <c r="AG6" s="39"/>
      <c r="AH6" s="37"/>
      <c r="AI6" s="37"/>
      <c r="AJ6" s="39"/>
      <c r="AK6" s="37"/>
      <c r="AL6" s="37"/>
      <c r="AM6" s="39"/>
      <c r="AN6" s="37"/>
      <c r="AO6" s="37"/>
      <c r="AP6" s="37"/>
    </row>
    <row r="7" spans="1:58" hidden="1" x14ac:dyDescent="0.3">
      <c r="B7" s="6">
        <v>3410</v>
      </c>
      <c r="C7" s="7" t="s">
        <v>6</v>
      </c>
      <c r="D7" s="80"/>
      <c r="E7" s="93"/>
      <c r="F7" s="82"/>
      <c r="G7" s="83"/>
      <c r="H7" s="80"/>
      <c r="I7" s="81"/>
      <c r="J7" s="82"/>
      <c r="K7" s="83"/>
      <c r="L7" s="80"/>
      <c r="M7" s="93"/>
      <c r="N7" s="82"/>
      <c r="O7" s="83"/>
      <c r="P7" s="80"/>
      <c r="Q7" s="93"/>
      <c r="R7" s="82"/>
      <c r="S7" s="83"/>
      <c r="T7" s="80"/>
      <c r="U7" s="81"/>
      <c r="V7" s="82"/>
      <c r="W7" s="83"/>
      <c r="X7" s="80"/>
      <c r="Y7" s="81"/>
      <c r="Z7" s="82"/>
      <c r="AB7" s="288">
        <f t="shared" si="0"/>
        <v>0</v>
      </c>
      <c r="AC7" s="82">
        <f t="shared" si="1"/>
        <v>0</v>
      </c>
      <c r="AD7" s="256">
        <v>3410</v>
      </c>
      <c r="AE7" s="37"/>
      <c r="AF7" s="37"/>
      <c r="AG7" s="39"/>
      <c r="AH7" s="37"/>
      <c r="AI7" s="37"/>
      <c r="AJ7" s="39"/>
      <c r="AK7" s="37"/>
      <c r="AL7" s="37"/>
      <c r="AM7" s="39"/>
      <c r="AN7" s="37"/>
      <c r="AO7" s="37"/>
      <c r="AP7" s="37"/>
    </row>
    <row r="8" spans="1:58" hidden="1" x14ac:dyDescent="0.3">
      <c r="B8" s="6">
        <v>3900</v>
      </c>
      <c r="C8" s="7" t="s">
        <v>7</v>
      </c>
      <c r="D8" s="80"/>
      <c r="E8" s="93"/>
      <c r="F8" s="82"/>
      <c r="G8" s="83"/>
      <c r="H8" s="80"/>
      <c r="I8" s="81"/>
      <c r="J8" s="82"/>
      <c r="K8" s="83"/>
      <c r="L8" s="80"/>
      <c r="M8" s="93"/>
      <c r="N8" s="82"/>
      <c r="O8" s="83"/>
      <c r="P8" s="80"/>
      <c r="Q8" s="93"/>
      <c r="R8" s="82"/>
      <c r="S8" s="83"/>
      <c r="T8" s="80"/>
      <c r="U8" s="81"/>
      <c r="V8" s="82"/>
      <c r="W8" s="83"/>
      <c r="X8" s="80"/>
      <c r="Y8" s="81"/>
      <c r="Z8" s="82"/>
      <c r="AB8" s="288">
        <f t="shared" si="0"/>
        <v>0</v>
      </c>
      <c r="AC8" s="82">
        <f t="shared" si="1"/>
        <v>0</v>
      </c>
      <c r="AD8" s="256">
        <v>3900</v>
      </c>
      <c r="AE8" s="37"/>
      <c r="AF8" s="37"/>
      <c r="AG8" s="39"/>
      <c r="AH8" s="37"/>
      <c r="AI8" s="37"/>
      <c r="AJ8" s="39"/>
      <c r="AK8" s="37"/>
      <c r="AL8" s="37"/>
      <c r="AM8" s="39"/>
      <c r="AN8" s="37"/>
      <c r="AO8" s="37"/>
      <c r="AP8" s="37"/>
    </row>
    <row r="9" spans="1:58" ht="15" thickBot="1" x14ac:dyDescent="0.35">
      <c r="B9" s="6">
        <v>3910</v>
      </c>
      <c r="C9" s="7" t="s">
        <v>8</v>
      </c>
      <c r="D9" s="80"/>
      <c r="E9" s="93"/>
      <c r="F9" s="82"/>
      <c r="G9" s="83"/>
      <c r="H9" s="80"/>
      <c r="I9" s="81"/>
      <c r="J9" s="82"/>
      <c r="K9" s="83"/>
      <c r="L9" s="80">
        <v>3000</v>
      </c>
      <c r="M9" s="93"/>
      <c r="N9" s="82"/>
      <c r="O9" s="83"/>
      <c r="P9" s="80"/>
      <c r="Q9" s="93"/>
      <c r="R9" s="82"/>
      <c r="S9" s="83"/>
      <c r="T9" s="80"/>
      <c r="U9" s="81"/>
      <c r="V9" s="82"/>
      <c r="W9" s="83"/>
      <c r="X9" s="80"/>
      <c r="Y9" s="81"/>
      <c r="Z9" s="82"/>
      <c r="AB9" s="288">
        <f t="shared" si="0"/>
        <v>0</v>
      </c>
      <c r="AC9" s="82">
        <f t="shared" si="1"/>
        <v>3000</v>
      </c>
      <c r="AD9" s="256">
        <v>3910</v>
      </c>
      <c r="AE9" s="37"/>
      <c r="AF9" s="37"/>
      <c r="AG9" s="39"/>
      <c r="AH9" s="37"/>
      <c r="AI9" s="37"/>
      <c r="AJ9" s="39"/>
      <c r="AK9" s="37"/>
      <c r="AL9" s="37"/>
      <c r="AM9" s="39"/>
      <c r="AN9" s="37"/>
      <c r="AO9" s="37"/>
      <c r="AP9" s="37"/>
    </row>
    <row r="10" spans="1:58" ht="15" hidden="1" thickBot="1" x14ac:dyDescent="0.35">
      <c r="B10" s="8">
        <v>3950</v>
      </c>
      <c r="C10" s="9" t="s">
        <v>9</v>
      </c>
      <c r="D10" s="84"/>
      <c r="E10" s="141"/>
      <c r="F10" s="86"/>
      <c r="G10" s="83"/>
      <c r="H10" s="84"/>
      <c r="I10" s="85"/>
      <c r="J10" s="86"/>
      <c r="K10" s="83"/>
      <c r="L10" s="84"/>
      <c r="M10" s="141"/>
      <c r="N10" s="86"/>
      <c r="O10" s="83"/>
      <c r="P10" s="84"/>
      <c r="Q10" s="141"/>
      <c r="R10" s="86"/>
      <c r="S10" s="83"/>
      <c r="T10" s="84"/>
      <c r="U10" s="85"/>
      <c r="V10" s="86"/>
      <c r="W10" s="83"/>
      <c r="X10" s="84"/>
      <c r="Y10" s="85"/>
      <c r="Z10" s="86"/>
      <c r="AB10" s="288">
        <f t="shared" si="0"/>
        <v>0</v>
      </c>
      <c r="AC10" s="82">
        <f t="shared" si="1"/>
        <v>0</v>
      </c>
      <c r="AD10" s="258">
        <v>3950</v>
      </c>
      <c r="AE10" s="37"/>
      <c r="AF10" s="37"/>
      <c r="AG10" s="39"/>
      <c r="AH10" s="37"/>
      <c r="AI10" s="37"/>
      <c r="AJ10" s="39"/>
      <c r="AK10" s="37"/>
      <c r="AL10" s="37"/>
      <c r="AM10" s="39"/>
      <c r="AN10" s="37"/>
      <c r="AO10" s="37"/>
      <c r="AP10" s="37"/>
    </row>
    <row r="11" spans="1:58" ht="15" thickBot="1" x14ac:dyDescent="0.35">
      <c r="B11" s="24"/>
      <c r="C11" s="25" t="s">
        <v>73</v>
      </c>
      <c r="D11" s="87">
        <f>SUM(D4:D10)</f>
        <v>0</v>
      </c>
      <c r="E11" s="140"/>
      <c r="F11" s="87">
        <f t="shared" ref="F11" si="2">SUM(F4:F10)</f>
        <v>0</v>
      </c>
      <c r="G11" s="83"/>
      <c r="H11" s="87">
        <f>SUM(H4:H10)</f>
        <v>0</v>
      </c>
      <c r="I11" s="87"/>
      <c r="J11" s="87">
        <f t="shared" ref="J11" si="3">SUM(J4:J10)</f>
        <v>0</v>
      </c>
      <c r="K11" s="83"/>
      <c r="L11" s="87">
        <f>SUM(L4:L10)</f>
        <v>3000</v>
      </c>
      <c r="M11" s="140"/>
      <c r="N11" s="87">
        <f t="shared" ref="N11" si="4">SUM(N4:N10)</f>
        <v>0</v>
      </c>
      <c r="O11" s="83"/>
      <c r="P11" s="87">
        <f>SUM(P4:P10)</f>
        <v>0</v>
      </c>
      <c r="Q11" s="140"/>
      <c r="R11" s="87">
        <f t="shared" ref="R11" si="5">SUM(R4:R10)</f>
        <v>0</v>
      </c>
      <c r="S11" s="83"/>
      <c r="T11" s="87">
        <f>SUM(T4:T10)</f>
        <v>0</v>
      </c>
      <c r="U11" s="88"/>
      <c r="V11" s="89"/>
      <c r="W11" s="83"/>
      <c r="X11" s="87">
        <f>SUM(X4:X10)</f>
        <v>0</v>
      </c>
      <c r="Y11" s="88"/>
      <c r="Z11" s="89"/>
      <c r="AB11" s="95">
        <f t="shared" si="0"/>
        <v>0</v>
      </c>
      <c r="AC11" s="89">
        <f t="shared" si="1"/>
        <v>3000</v>
      </c>
      <c r="AD11" s="257"/>
      <c r="AE11" s="37"/>
      <c r="AF11" s="37"/>
      <c r="AG11" s="39"/>
      <c r="AH11" s="37"/>
      <c r="AI11" s="37"/>
      <c r="AJ11" s="39"/>
      <c r="AK11" s="37"/>
      <c r="AL11" s="37"/>
      <c r="AM11" s="39"/>
      <c r="AN11" s="37"/>
      <c r="AO11" s="37"/>
      <c r="AP11" s="37"/>
    </row>
    <row r="12" spans="1:58" ht="15" thickBot="1" x14ac:dyDescent="0.35">
      <c r="A12" s="21" t="s">
        <v>46</v>
      </c>
      <c r="B12" s="20">
        <v>5000</v>
      </c>
      <c r="C12" s="23" t="s">
        <v>10</v>
      </c>
      <c r="D12" s="90"/>
      <c r="E12" s="93"/>
      <c r="F12" s="82"/>
      <c r="G12" s="83"/>
      <c r="H12" s="90"/>
      <c r="I12" s="81"/>
      <c r="J12" s="82"/>
      <c r="K12" s="83"/>
      <c r="L12" s="90"/>
      <c r="M12" s="93"/>
      <c r="N12" s="82"/>
      <c r="O12" s="83"/>
      <c r="P12" s="90"/>
      <c r="Q12" s="93"/>
      <c r="R12" s="82"/>
      <c r="S12" s="83"/>
      <c r="T12" s="90"/>
      <c r="U12" s="81"/>
      <c r="V12" s="82"/>
      <c r="W12" s="83"/>
      <c r="X12" s="90"/>
      <c r="Y12" s="81"/>
      <c r="Z12" s="82"/>
      <c r="AB12" s="288">
        <f t="shared" si="0"/>
        <v>0</v>
      </c>
      <c r="AC12" s="82">
        <f t="shared" si="1"/>
        <v>0</v>
      </c>
      <c r="AD12" s="50">
        <v>5000</v>
      </c>
      <c r="AE12" s="37"/>
      <c r="AF12" s="37"/>
      <c r="AG12" s="39"/>
      <c r="AH12" s="37"/>
      <c r="AI12" s="37"/>
      <c r="AJ12" s="39"/>
      <c r="AK12" s="37"/>
      <c r="AL12" s="37"/>
      <c r="AM12" s="39"/>
      <c r="AN12" s="37"/>
      <c r="AO12" s="37"/>
      <c r="AP12" s="37"/>
    </row>
    <row r="13" spans="1:58" hidden="1" x14ac:dyDescent="0.3">
      <c r="B13" s="6">
        <v>5001</v>
      </c>
      <c r="C13" s="11" t="s">
        <v>11</v>
      </c>
      <c r="D13" s="90"/>
      <c r="E13" s="93"/>
      <c r="F13" s="82"/>
      <c r="G13" s="83"/>
      <c r="H13" s="90"/>
      <c r="I13" s="81"/>
      <c r="J13" s="82"/>
      <c r="K13" s="83"/>
      <c r="L13" s="90"/>
      <c r="M13" s="93"/>
      <c r="N13" s="82"/>
      <c r="O13" s="83"/>
      <c r="P13" s="90"/>
      <c r="Q13" s="93"/>
      <c r="R13" s="82"/>
      <c r="S13" s="83"/>
      <c r="T13" s="90"/>
      <c r="U13" s="81"/>
      <c r="V13" s="82"/>
      <c r="W13" s="83"/>
      <c r="X13" s="90"/>
      <c r="Y13" s="81"/>
      <c r="Z13" s="82"/>
      <c r="AB13" s="288">
        <f t="shared" si="0"/>
        <v>0</v>
      </c>
      <c r="AC13" s="82">
        <f t="shared" si="1"/>
        <v>0</v>
      </c>
      <c r="AD13" s="256">
        <v>5001</v>
      </c>
      <c r="AE13" s="37"/>
      <c r="AF13" s="37"/>
      <c r="AG13" s="39"/>
      <c r="AH13" s="37"/>
      <c r="AI13" s="37"/>
      <c r="AJ13" s="39"/>
      <c r="AK13" s="37"/>
      <c r="AL13" s="37"/>
      <c r="AM13" s="39"/>
      <c r="AN13" s="37"/>
      <c r="AO13" s="37"/>
      <c r="AP13" s="37"/>
    </row>
    <row r="14" spans="1:58" hidden="1" x14ac:dyDescent="0.3">
      <c r="B14" s="6">
        <v>5004</v>
      </c>
      <c r="C14" s="11" t="s">
        <v>12</v>
      </c>
      <c r="D14" s="90"/>
      <c r="E14" s="93"/>
      <c r="F14" s="82"/>
      <c r="G14" s="83"/>
      <c r="H14" s="90"/>
      <c r="I14" s="81"/>
      <c r="J14" s="82"/>
      <c r="K14" s="83"/>
      <c r="L14" s="90"/>
      <c r="M14" s="93"/>
      <c r="N14" s="82"/>
      <c r="O14" s="83"/>
      <c r="P14" s="90"/>
      <c r="Q14" s="93"/>
      <c r="R14" s="82"/>
      <c r="S14" s="83"/>
      <c r="T14" s="90"/>
      <c r="U14" s="81"/>
      <c r="V14" s="82"/>
      <c r="W14" s="83"/>
      <c r="X14" s="90"/>
      <c r="Y14" s="81"/>
      <c r="Z14" s="82"/>
      <c r="AB14" s="288">
        <f t="shared" si="0"/>
        <v>0</v>
      </c>
      <c r="AC14" s="82">
        <f t="shared" si="1"/>
        <v>0</v>
      </c>
      <c r="AD14" s="256">
        <v>5004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</row>
    <row r="15" spans="1:58" hidden="1" x14ac:dyDescent="0.3">
      <c r="A15" s="10"/>
      <c r="B15" s="6">
        <v>5180</v>
      </c>
      <c r="C15" s="11" t="s">
        <v>13</v>
      </c>
      <c r="D15" s="91">
        <f>SUM(D12*0.12)</f>
        <v>0</v>
      </c>
      <c r="E15" s="93"/>
      <c r="F15" s="82"/>
      <c r="G15" s="83"/>
      <c r="H15" s="91">
        <f>SUM(H12*0.12)</f>
        <v>0</v>
      </c>
      <c r="I15" s="81"/>
      <c r="J15" s="82"/>
      <c r="K15" s="83"/>
      <c r="L15" s="91">
        <f>SUM(L12*0.12)</f>
        <v>0</v>
      </c>
      <c r="M15" s="93"/>
      <c r="N15" s="82"/>
      <c r="O15" s="83"/>
      <c r="P15" s="91">
        <f>SUM(P12*0.12)</f>
        <v>0</v>
      </c>
      <c r="Q15" s="93"/>
      <c r="R15" s="82"/>
      <c r="S15" s="83"/>
      <c r="T15" s="91"/>
      <c r="U15" s="81"/>
      <c r="V15" s="82"/>
      <c r="W15" s="83"/>
      <c r="X15" s="91">
        <f>SUM(X12*0.12)</f>
        <v>0</v>
      </c>
      <c r="Y15" s="81"/>
      <c r="Z15" s="82"/>
      <c r="AB15" s="288">
        <f t="shared" si="0"/>
        <v>0</v>
      </c>
      <c r="AC15" s="82">
        <f t="shared" si="1"/>
        <v>0</v>
      </c>
      <c r="AD15" s="256">
        <v>5180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58" hidden="1" x14ac:dyDescent="0.3">
      <c r="A16" s="10"/>
      <c r="B16" s="6">
        <v>5182</v>
      </c>
      <c r="C16" s="11" t="s">
        <v>14</v>
      </c>
      <c r="D16" s="91">
        <f>SUM(D15*0.141)</f>
        <v>0</v>
      </c>
      <c r="E16" s="93"/>
      <c r="F16" s="82"/>
      <c r="G16" s="83"/>
      <c r="H16" s="91">
        <f>SUM(H15*0.141)</f>
        <v>0</v>
      </c>
      <c r="I16" s="81"/>
      <c r="J16" s="82"/>
      <c r="K16" s="83"/>
      <c r="L16" s="91">
        <f>SUM(L15*0.141)</f>
        <v>0</v>
      </c>
      <c r="M16" s="93"/>
      <c r="N16" s="82"/>
      <c r="O16" s="83"/>
      <c r="P16" s="91">
        <f>SUM(P15*0.141)</f>
        <v>0</v>
      </c>
      <c r="Q16" s="93"/>
      <c r="R16" s="82"/>
      <c r="S16" s="83"/>
      <c r="T16" s="91"/>
      <c r="U16" s="81"/>
      <c r="V16" s="82"/>
      <c r="W16" s="83"/>
      <c r="X16" s="91">
        <f>SUM(X15*0.141)</f>
        <v>0</v>
      </c>
      <c r="Y16" s="81"/>
      <c r="Z16" s="82"/>
      <c r="AB16" s="288">
        <f t="shared" si="0"/>
        <v>0</v>
      </c>
      <c r="AC16" s="82">
        <f t="shared" si="1"/>
        <v>0</v>
      </c>
      <c r="AD16" s="256">
        <v>5182</v>
      </c>
      <c r="AE16" s="37"/>
      <c r="AF16" s="37"/>
      <c r="AG16" s="39"/>
      <c r="AH16" s="37"/>
      <c r="AI16" s="37"/>
      <c r="AJ16" s="39"/>
      <c r="AK16" s="37"/>
      <c r="AL16" s="37"/>
      <c r="AM16" s="39"/>
      <c r="AN16" s="37"/>
      <c r="AO16" s="37"/>
      <c r="AP16" s="37"/>
    </row>
    <row r="17" spans="1:42" hidden="1" x14ac:dyDescent="0.3">
      <c r="A17" s="10"/>
      <c r="B17" s="6">
        <v>5211</v>
      </c>
      <c r="C17" s="11" t="s">
        <v>15</v>
      </c>
      <c r="D17" s="80"/>
      <c r="E17" s="93"/>
      <c r="F17" s="82"/>
      <c r="G17" s="83"/>
      <c r="H17" s="80"/>
      <c r="I17" s="81"/>
      <c r="J17" s="82"/>
      <c r="K17" s="83"/>
      <c r="L17" s="80"/>
      <c r="M17" s="93"/>
      <c r="N17" s="82"/>
      <c r="O17" s="83"/>
      <c r="P17" s="80"/>
      <c r="Q17" s="93"/>
      <c r="R17" s="82"/>
      <c r="S17" s="83"/>
      <c r="T17" s="80"/>
      <c r="U17" s="81"/>
      <c r="V17" s="82"/>
      <c r="W17" s="83"/>
      <c r="X17" s="80"/>
      <c r="Y17" s="81"/>
      <c r="Z17" s="82"/>
      <c r="AB17" s="288">
        <f t="shared" si="0"/>
        <v>0</v>
      </c>
      <c r="AC17" s="82">
        <f t="shared" si="1"/>
        <v>0</v>
      </c>
      <c r="AD17" s="256">
        <v>5211</v>
      </c>
      <c r="AE17" s="37"/>
      <c r="AF17" s="37"/>
      <c r="AG17" s="39"/>
      <c r="AH17" s="37"/>
      <c r="AI17" s="37"/>
      <c r="AJ17" s="39"/>
      <c r="AK17" s="37"/>
      <c r="AL17" s="37"/>
      <c r="AM17" s="39"/>
      <c r="AN17" s="37"/>
      <c r="AO17" s="37"/>
      <c r="AP17" s="37"/>
    </row>
    <row r="18" spans="1:42" hidden="1" x14ac:dyDescent="0.3">
      <c r="A18" s="10"/>
      <c r="B18" s="6">
        <v>5230</v>
      </c>
      <c r="C18" s="11" t="s">
        <v>16</v>
      </c>
      <c r="D18" s="80"/>
      <c r="E18" s="93"/>
      <c r="F18" s="82"/>
      <c r="G18" s="83"/>
      <c r="H18" s="80"/>
      <c r="I18" s="81"/>
      <c r="J18" s="82"/>
      <c r="K18" s="83"/>
      <c r="L18" s="80"/>
      <c r="M18" s="93"/>
      <c r="N18" s="82"/>
      <c r="O18" s="83"/>
      <c r="P18" s="80"/>
      <c r="Q18" s="93"/>
      <c r="R18" s="82"/>
      <c r="S18" s="83"/>
      <c r="T18" s="80"/>
      <c r="U18" s="81"/>
      <c r="V18" s="82"/>
      <c r="W18" s="83"/>
      <c r="X18" s="80"/>
      <c r="Y18" s="81"/>
      <c r="Z18" s="82"/>
      <c r="AB18" s="288">
        <f t="shared" si="0"/>
        <v>0</v>
      </c>
      <c r="AC18" s="82">
        <f t="shared" si="1"/>
        <v>0</v>
      </c>
      <c r="AD18" s="256">
        <v>5230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hidden="1" x14ac:dyDescent="0.3">
      <c r="A19" s="10"/>
      <c r="B19" s="6">
        <v>5400</v>
      </c>
      <c r="C19" s="11" t="s">
        <v>48</v>
      </c>
      <c r="D19" s="91">
        <f>SUM((D12+D13+D14+D17+D18)*0.141)</f>
        <v>0</v>
      </c>
      <c r="E19" s="93"/>
      <c r="F19" s="82"/>
      <c r="G19" s="83"/>
      <c r="H19" s="91">
        <f>SUM((H12+H13+H14+H17+H18)*0.141)</f>
        <v>0</v>
      </c>
      <c r="I19" s="81"/>
      <c r="J19" s="82"/>
      <c r="K19" s="83"/>
      <c r="L19" s="91">
        <f>SUM((L12+L13+L14+L17+L18)*0.141)</f>
        <v>0</v>
      </c>
      <c r="M19" s="93"/>
      <c r="N19" s="82"/>
      <c r="O19" s="83"/>
      <c r="P19" s="91">
        <f>SUM((P12+P13+P14+P17+P18)*0.141)</f>
        <v>0</v>
      </c>
      <c r="Q19" s="93"/>
      <c r="R19" s="82"/>
      <c r="S19" s="83"/>
      <c r="T19" s="91"/>
      <c r="U19" s="81"/>
      <c r="V19" s="82"/>
      <c r="W19" s="83"/>
      <c r="X19" s="91">
        <f>SUM((X12+X13+X14+X17+X18)*0.141)</f>
        <v>0</v>
      </c>
      <c r="Y19" s="81"/>
      <c r="Z19" s="82"/>
      <c r="AB19" s="288">
        <f t="shared" si="0"/>
        <v>0</v>
      </c>
      <c r="AC19" s="82">
        <f t="shared" si="1"/>
        <v>0</v>
      </c>
      <c r="AD19" s="256">
        <v>5400</v>
      </c>
      <c r="AE19" s="37"/>
      <c r="AF19" s="37"/>
      <c r="AG19" s="39"/>
      <c r="AH19" s="37"/>
      <c r="AI19" s="37"/>
      <c r="AJ19" s="39"/>
      <c r="AK19" s="37"/>
      <c r="AL19" s="37"/>
      <c r="AM19" s="39"/>
      <c r="AN19" s="37"/>
      <c r="AO19" s="37"/>
      <c r="AP19" s="37"/>
    </row>
    <row r="20" spans="1:42" hidden="1" x14ac:dyDescent="0.3">
      <c r="B20" s="6">
        <v>5990</v>
      </c>
      <c r="C20" s="11" t="s">
        <v>17</v>
      </c>
      <c r="D20" s="80"/>
      <c r="E20" s="93"/>
      <c r="F20" s="82"/>
      <c r="G20" s="83"/>
      <c r="H20" s="80"/>
      <c r="I20" s="81"/>
      <c r="J20" s="82"/>
      <c r="K20" s="83"/>
      <c r="L20" s="80"/>
      <c r="M20" s="93"/>
      <c r="N20" s="82"/>
      <c r="O20" s="83"/>
      <c r="P20" s="80"/>
      <c r="Q20" s="93"/>
      <c r="R20" s="82"/>
      <c r="S20" s="83"/>
      <c r="T20" s="80"/>
      <c r="U20" s="81"/>
      <c r="V20" s="82"/>
      <c r="W20" s="83"/>
      <c r="X20" s="80"/>
      <c r="Y20" s="81"/>
      <c r="Z20" s="82"/>
      <c r="AB20" s="288">
        <f t="shared" si="0"/>
        <v>0</v>
      </c>
      <c r="AC20" s="82">
        <f t="shared" si="1"/>
        <v>0</v>
      </c>
      <c r="AD20" s="256">
        <v>5990</v>
      </c>
      <c r="AE20" s="37"/>
      <c r="AF20" s="37"/>
      <c r="AG20" s="39"/>
      <c r="AH20" s="37"/>
      <c r="AI20" s="37"/>
      <c r="AJ20" s="39"/>
      <c r="AK20" s="37"/>
      <c r="AL20" s="37"/>
      <c r="AM20" s="39"/>
      <c r="AN20" s="37"/>
      <c r="AO20" s="37"/>
      <c r="AP20" s="37"/>
    </row>
    <row r="21" spans="1:42" hidden="1" x14ac:dyDescent="0.3">
      <c r="B21" s="6">
        <v>6110</v>
      </c>
      <c r="C21" s="11" t="s">
        <v>50</v>
      </c>
      <c r="D21" s="80"/>
      <c r="E21" s="93"/>
      <c r="F21" s="82"/>
      <c r="G21" s="83"/>
      <c r="H21" s="80"/>
      <c r="I21" s="81"/>
      <c r="J21" s="82"/>
      <c r="K21" s="83"/>
      <c r="L21" s="80"/>
      <c r="M21" s="93"/>
      <c r="N21" s="82"/>
      <c r="O21" s="83"/>
      <c r="P21" s="80"/>
      <c r="Q21" s="93"/>
      <c r="R21" s="82"/>
      <c r="S21" s="83"/>
      <c r="T21" s="80"/>
      <c r="U21" s="81"/>
      <c r="V21" s="82"/>
      <c r="W21" s="83"/>
      <c r="X21" s="80"/>
      <c r="Y21" s="81"/>
      <c r="Z21" s="82"/>
      <c r="AB21" s="288">
        <f t="shared" si="0"/>
        <v>0</v>
      </c>
      <c r="AC21" s="82">
        <f t="shared" si="1"/>
        <v>0</v>
      </c>
      <c r="AD21" s="256">
        <v>6110</v>
      </c>
      <c r="AE21" s="37"/>
      <c r="AF21" s="37"/>
      <c r="AG21" s="39"/>
      <c r="AH21" s="37"/>
      <c r="AI21" s="37"/>
      <c r="AJ21" s="39"/>
      <c r="AK21" s="37"/>
      <c r="AL21" s="37"/>
      <c r="AM21" s="39"/>
      <c r="AN21" s="37"/>
      <c r="AO21" s="37"/>
      <c r="AP21" s="37"/>
    </row>
    <row r="22" spans="1:42" x14ac:dyDescent="0.3">
      <c r="B22" s="6">
        <v>6300</v>
      </c>
      <c r="C22" s="11" t="s">
        <v>18</v>
      </c>
      <c r="D22" s="80"/>
      <c r="E22" s="93"/>
      <c r="F22" s="82"/>
      <c r="G22" s="83"/>
      <c r="H22" s="80"/>
      <c r="I22" s="81"/>
      <c r="J22" s="82"/>
      <c r="K22" s="83"/>
      <c r="L22" s="80"/>
      <c r="M22" s="93"/>
      <c r="N22" s="82"/>
      <c r="O22" s="83"/>
      <c r="P22" s="80"/>
      <c r="Q22" s="93"/>
      <c r="R22" s="82"/>
      <c r="S22" s="83"/>
      <c r="T22" s="80"/>
      <c r="U22" s="81"/>
      <c r="V22" s="82"/>
      <c r="W22" s="83"/>
      <c r="X22" s="80"/>
      <c r="Y22" s="81"/>
      <c r="Z22" s="82"/>
      <c r="AB22" s="288">
        <f t="shared" si="0"/>
        <v>0</v>
      </c>
      <c r="AC22" s="82">
        <f t="shared" si="1"/>
        <v>0</v>
      </c>
      <c r="AD22" s="256">
        <v>6300</v>
      </c>
      <c r="AE22" s="37"/>
      <c r="AF22" s="37"/>
      <c r="AG22" s="39"/>
      <c r="AH22" s="37"/>
      <c r="AI22" s="37"/>
      <c r="AJ22" s="39"/>
      <c r="AK22" s="37"/>
      <c r="AL22" s="37"/>
      <c r="AM22" s="39"/>
      <c r="AN22" s="37"/>
      <c r="AO22" s="37"/>
      <c r="AP22" s="37"/>
    </row>
    <row r="23" spans="1:42" hidden="1" x14ac:dyDescent="0.3">
      <c r="B23" s="6">
        <v>6440</v>
      </c>
      <c r="C23" s="11" t="s">
        <v>19</v>
      </c>
      <c r="D23" s="80"/>
      <c r="E23" s="93"/>
      <c r="F23" s="82"/>
      <c r="G23" s="83"/>
      <c r="H23" s="80"/>
      <c r="I23" s="81"/>
      <c r="J23" s="82"/>
      <c r="K23" s="83"/>
      <c r="L23" s="80"/>
      <c r="M23" s="93"/>
      <c r="N23" s="82"/>
      <c r="O23" s="83"/>
      <c r="P23" s="80"/>
      <c r="Q23" s="93"/>
      <c r="R23" s="82"/>
      <c r="S23" s="83"/>
      <c r="T23" s="80"/>
      <c r="U23" s="81"/>
      <c r="V23" s="82"/>
      <c r="W23" s="83"/>
      <c r="X23" s="80"/>
      <c r="Y23" s="81"/>
      <c r="Z23" s="82"/>
      <c r="AB23" s="288">
        <f t="shared" si="0"/>
        <v>0</v>
      </c>
      <c r="AC23" s="82">
        <f t="shared" si="1"/>
        <v>0</v>
      </c>
      <c r="AD23" s="256">
        <v>6440</v>
      </c>
      <c r="AE23" s="37"/>
      <c r="AF23" s="37"/>
      <c r="AG23" s="39"/>
      <c r="AH23" s="37"/>
      <c r="AI23" s="37"/>
      <c r="AJ23" s="39"/>
      <c r="AK23" s="37"/>
      <c r="AL23" s="37"/>
      <c r="AM23" s="39"/>
      <c r="AN23" s="37"/>
      <c r="AO23" s="37"/>
      <c r="AP23" s="37"/>
    </row>
    <row r="24" spans="1:42" hidden="1" x14ac:dyDescent="0.3">
      <c r="B24" s="6">
        <v>6550</v>
      </c>
      <c r="C24" s="11" t="s">
        <v>20</v>
      </c>
      <c r="D24" s="80"/>
      <c r="E24" s="93"/>
      <c r="F24" s="82"/>
      <c r="G24" s="83"/>
      <c r="H24" s="80"/>
      <c r="I24" s="81"/>
      <c r="J24" s="82"/>
      <c r="K24" s="83"/>
      <c r="L24" s="80"/>
      <c r="M24" s="93"/>
      <c r="N24" s="82"/>
      <c r="O24" s="83"/>
      <c r="P24" s="80"/>
      <c r="Q24" s="93"/>
      <c r="R24" s="82"/>
      <c r="S24" s="83"/>
      <c r="T24" s="80"/>
      <c r="U24" s="81"/>
      <c r="V24" s="82"/>
      <c r="W24" s="83"/>
      <c r="X24" s="80"/>
      <c r="Y24" s="81"/>
      <c r="Z24" s="82"/>
      <c r="AB24" s="288">
        <f t="shared" si="0"/>
        <v>0</v>
      </c>
      <c r="AC24" s="82">
        <f t="shared" si="1"/>
        <v>0</v>
      </c>
      <c r="AD24" s="256">
        <v>6550</v>
      </c>
      <c r="AE24" s="37"/>
      <c r="AF24" s="37"/>
      <c r="AG24" s="39"/>
      <c r="AH24" s="37"/>
      <c r="AI24" s="37"/>
      <c r="AJ24" s="39"/>
      <c r="AK24" s="37"/>
      <c r="AL24" s="37"/>
      <c r="AM24" s="39"/>
      <c r="AN24" s="37"/>
      <c r="AO24" s="37"/>
      <c r="AP24" s="37"/>
    </row>
    <row r="25" spans="1:42" hidden="1" x14ac:dyDescent="0.3">
      <c r="B25" s="6">
        <v>6560</v>
      </c>
      <c r="C25" s="11" t="s">
        <v>21</v>
      </c>
      <c r="D25" s="80"/>
      <c r="E25" s="93"/>
      <c r="F25" s="82"/>
      <c r="G25" s="83"/>
      <c r="H25" s="80"/>
      <c r="I25" s="81"/>
      <c r="J25" s="82"/>
      <c r="K25" s="83"/>
      <c r="L25" s="80"/>
      <c r="M25" s="93"/>
      <c r="N25" s="82"/>
      <c r="O25" s="83"/>
      <c r="P25" s="80"/>
      <c r="Q25" s="93"/>
      <c r="R25" s="82"/>
      <c r="S25" s="83"/>
      <c r="T25" s="80"/>
      <c r="U25" s="81"/>
      <c r="V25" s="82"/>
      <c r="W25" s="83"/>
      <c r="X25" s="80"/>
      <c r="Y25" s="81"/>
      <c r="Z25" s="82"/>
      <c r="AB25" s="288">
        <f t="shared" si="0"/>
        <v>0</v>
      </c>
      <c r="AC25" s="82">
        <f t="shared" si="1"/>
        <v>0</v>
      </c>
      <c r="AD25" s="256">
        <v>6560</v>
      </c>
      <c r="AE25" s="37"/>
      <c r="AF25" s="37"/>
      <c r="AG25" s="39"/>
      <c r="AH25" s="37"/>
      <c r="AI25" s="37"/>
      <c r="AJ25" s="39"/>
      <c r="AK25" s="37"/>
      <c r="AL25" s="37"/>
      <c r="AM25" s="39"/>
      <c r="AN25" s="37"/>
      <c r="AO25" s="37"/>
      <c r="AP25" s="37"/>
    </row>
    <row r="26" spans="1:42" hidden="1" x14ac:dyDescent="0.3">
      <c r="B26" s="6">
        <v>6580</v>
      </c>
      <c r="C26" s="11" t="s">
        <v>2</v>
      </c>
      <c r="D26" s="80"/>
      <c r="E26" s="93"/>
      <c r="F26" s="82"/>
      <c r="G26" s="83"/>
      <c r="H26" s="80"/>
      <c r="I26" s="81"/>
      <c r="J26" s="82"/>
      <c r="K26" s="83"/>
      <c r="L26" s="80"/>
      <c r="M26" s="93"/>
      <c r="N26" s="82"/>
      <c r="O26" s="83"/>
      <c r="P26" s="80"/>
      <c r="Q26" s="93"/>
      <c r="R26" s="82"/>
      <c r="S26" s="83"/>
      <c r="T26" s="80"/>
      <c r="U26" s="81"/>
      <c r="V26" s="82"/>
      <c r="W26" s="83"/>
      <c r="X26" s="80"/>
      <c r="Y26" s="81"/>
      <c r="Z26" s="82"/>
      <c r="AB26" s="288">
        <f t="shared" si="0"/>
        <v>0</v>
      </c>
      <c r="AC26" s="82">
        <f t="shared" si="1"/>
        <v>0</v>
      </c>
      <c r="AD26" s="256">
        <v>6580</v>
      </c>
      <c r="AE26" s="37"/>
      <c r="AF26" s="37"/>
      <c r="AG26" s="39"/>
      <c r="AH26" s="37"/>
      <c r="AI26" s="37"/>
      <c r="AJ26" s="39"/>
      <c r="AK26" s="37"/>
      <c r="AL26" s="37"/>
      <c r="AM26" s="39"/>
      <c r="AN26" s="37"/>
      <c r="AO26" s="37"/>
      <c r="AP26" s="37"/>
    </row>
    <row r="27" spans="1:42" hidden="1" x14ac:dyDescent="0.3">
      <c r="B27" s="6">
        <v>6800</v>
      </c>
      <c r="C27" s="11" t="s">
        <v>22</v>
      </c>
      <c r="D27" s="80"/>
      <c r="E27" s="93"/>
      <c r="F27" s="82"/>
      <c r="G27" s="83"/>
      <c r="H27" s="80"/>
      <c r="I27" s="81"/>
      <c r="J27" s="82"/>
      <c r="K27" s="83"/>
      <c r="L27" s="80"/>
      <c r="M27" s="93"/>
      <c r="N27" s="82"/>
      <c r="O27" s="83"/>
      <c r="P27" s="80"/>
      <c r="Q27" s="93"/>
      <c r="R27" s="82"/>
      <c r="S27" s="83"/>
      <c r="T27" s="80"/>
      <c r="U27" s="81"/>
      <c r="V27" s="82"/>
      <c r="W27" s="83"/>
      <c r="X27" s="80"/>
      <c r="Y27" s="81"/>
      <c r="Z27" s="82"/>
      <c r="AB27" s="288">
        <f t="shared" si="0"/>
        <v>0</v>
      </c>
      <c r="AC27" s="82">
        <f t="shared" si="1"/>
        <v>0</v>
      </c>
      <c r="AD27" s="256">
        <v>6800</v>
      </c>
      <c r="AE27" s="37"/>
      <c r="AF27" s="37"/>
      <c r="AG27" s="39"/>
      <c r="AH27" s="37"/>
      <c r="AI27" s="37"/>
      <c r="AJ27" s="39"/>
      <c r="AK27" s="37"/>
      <c r="AL27" s="37"/>
      <c r="AM27" s="39"/>
      <c r="AN27" s="37"/>
      <c r="AO27" s="37"/>
      <c r="AP27" s="37"/>
    </row>
    <row r="28" spans="1:42" hidden="1" x14ac:dyDescent="0.3">
      <c r="B28" s="6">
        <v>6820</v>
      </c>
      <c r="C28" s="11" t="s">
        <v>23</v>
      </c>
      <c r="D28" s="80"/>
      <c r="E28" s="93"/>
      <c r="F28" s="82"/>
      <c r="G28" s="83"/>
      <c r="H28" s="80"/>
      <c r="I28" s="81"/>
      <c r="J28" s="82"/>
      <c r="K28" s="83"/>
      <c r="L28" s="80"/>
      <c r="M28" s="93"/>
      <c r="N28" s="82"/>
      <c r="O28" s="83"/>
      <c r="P28" s="80"/>
      <c r="Q28" s="93"/>
      <c r="R28" s="82"/>
      <c r="S28" s="83"/>
      <c r="T28" s="80"/>
      <c r="U28" s="81"/>
      <c r="V28" s="82"/>
      <c r="W28" s="83"/>
      <c r="X28" s="80"/>
      <c r="Y28" s="81"/>
      <c r="Z28" s="82"/>
      <c r="AB28" s="288">
        <f t="shared" si="0"/>
        <v>0</v>
      </c>
      <c r="AC28" s="82">
        <f t="shared" si="1"/>
        <v>0</v>
      </c>
      <c r="AD28" s="256">
        <v>6820</v>
      </c>
      <c r="AE28" s="37"/>
      <c r="AF28" s="37"/>
      <c r="AG28" s="39"/>
      <c r="AH28" s="37"/>
      <c r="AI28" s="37"/>
      <c r="AJ28" s="39"/>
      <c r="AK28" s="37"/>
      <c r="AL28" s="37"/>
      <c r="AM28" s="39"/>
      <c r="AN28" s="37"/>
      <c r="AO28" s="37"/>
      <c r="AP28" s="37"/>
    </row>
    <row r="29" spans="1:42" hidden="1" x14ac:dyDescent="0.3">
      <c r="B29" s="6">
        <v>6840</v>
      </c>
      <c r="C29" s="11" t="s">
        <v>24</v>
      </c>
      <c r="D29" s="80"/>
      <c r="E29" s="93"/>
      <c r="F29" s="82"/>
      <c r="G29" s="83"/>
      <c r="H29" s="80"/>
      <c r="I29" s="81"/>
      <c r="J29" s="82"/>
      <c r="K29" s="83"/>
      <c r="L29" s="80"/>
      <c r="M29" s="93"/>
      <c r="N29" s="82"/>
      <c r="O29" s="83"/>
      <c r="P29" s="80"/>
      <c r="Q29" s="93"/>
      <c r="R29" s="82"/>
      <c r="S29" s="83"/>
      <c r="T29" s="80"/>
      <c r="U29" s="81"/>
      <c r="V29" s="82"/>
      <c r="W29" s="83"/>
      <c r="X29" s="80"/>
      <c r="Y29" s="81"/>
      <c r="Z29" s="82"/>
      <c r="AB29" s="288">
        <f t="shared" si="0"/>
        <v>0</v>
      </c>
      <c r="AC29" s="82">
        <f t="shared" si="1"/>
        <v>0</v>
      </c>
      <c r="AD29" s="256">
        <v>6840</v>
      </c>
      <c r="AE29" s="37"/>
      <c r="AF29" s="37"/>
      <c r="AG29" s="39"/>
      <c r="AH29" s="37"/>
      <c r="AI29" s="37"/>
      <c r="AJ29" s="39"/>
      <c r="AK29" s="37"/>
      <c r="AL29" s="37"/>
      <c r="AM29" s="39"/>
      <c r="AN29" s="37"/>
      <c r="AO29" s="37"/>
      <c r="AP29" s="37"/>
    </row>
    <row r="30" spans="1:42" hidden="1" x14ac:dyDescent="0.3">
      <c r="B30" s="6">
        <v>6860</v>
      </c>
      <c r="C30" s="11" t="s">
        <v>25</v>
      </c>
      <c r="D30" s="80"/>
      <c r="E30" s="93"/>
      <c r="F30" s="82"/>
      <c r="G30" s="83"/>
      <c r="H30" s="80"/>
      <c r="I30" s="81"/>
      <c r="J30" s="82"/>
      <c r="K30" s="83"/>
      <c r="L30" s="80"/>
      <c r="M30" s="93"/>
      <c r="N30" s="82"/>
      <c r="O30" s="83"/>
      <c r="P30" s="80"/>
      <c r="Q30" s="93"/>
      <c r="R30" s="82"/>
      <c r="S30" s="83"/>
      <c r="T30" s="80"/>
      <c r="U30" s="81"/>
      <c r="V30" s="82"/>
      <c r="W30" s="83"/>
      <c r="X30" s="80"/>
      <c r="Y30" s="81"/>
      <c r="Z30" s="82"/>
      <c r="AB30" s="288">
        <f t="shared" si="0"/>
        <v>0</v>
      </c>
      <c r="AC30" s="82">
        <f t="shared" si="1"/>
        <v>0</v>
      </c>
      <c r="AD30" s="256">
        <v>6860</v>
      </c>
      <c r="AE30" s="37"/>
      <c r="AF30" s="37"/>
      <c r="AG30" s="39"/>
      <c r="AH30" s="37"/>
      <c r="AI30" s="37"/>
      <c r="AJ30" s="39"/>
      <c r="AK30" s="37"/>
      <c r="AL30" s="37"/>
      <c r="AM30" s="39"/>
      <c r="AN30" s="37"/>
      <c r="AO30" s="37"/>
      <c r="AP30" s="37"/>
    </row>
    <row r="31" spans="1:42" ht="28.8" x14ac:dyDescent="0.3">
      <c r="B31" s="6">
        <v>6910</v>
      </c>
      <c r="C31" s="11" t="s">
        <v>26</v>
      </c>
      <c r="D31" s="80">
        <f>(640*12+300*12)</f>
        <v>11280</v>
      </c>
      <c r="E31" s="93" t="s">
        <v>268</v>
      </c>
      <c r="F31" s="82"/>
      <c r="G31" s="83"/>
      <c r="H31" s="80"/>
      <c r="I31" s="81"/>
      <c r="J31" s="82"/>
      <c r="K31" s="83"/>
      <c r="L31" s="80"/>
      <c r="M31" s="93"/>
      <c r="N31" s="82"/>
      <c r="O31" s="83"/>
      <c r="P31" s="80"/>
      <c r="Q31" s="93"/>
      <c r="R31" s="82"/>
      <c r="S31" s="83"/>
      <c r="T31" s="80"/>
      <c r="U31" s="81"/>
      <c r="V31" s="82"/>
      <c r="W31" s="83"/>
      <c r="X31" s="80"/>
      <c r="Y31" s="81"/>
      <c r="Z31" s="82"/>
      <c r="AB31" s="288">
        <f t="shared" si="0"/>
        <v>0</v>
      </c>
      <c r="AC31" s="82">
        <f t="shared" si="1"/>
        <v>11280</v>
      </c>
      <c r="AD31" s="256">
        <v>6910</v>
      </c>
      <c r="AE31" s="37"/>
      <c r="AF31" s="37"/>
      <c r="AG31" s="39"/>
      <c r="AH31" s="37"/>
      <c r="AI31" s="37"/>
      <c r="AJ31" s="39"/>
      <c r="AK31" s="37"/>
      <c r="AL31" s="37"/>
      <c r="AM31" s="39"/>
      <c r="AN31" s="37"/>
      <c r="AO31" s="37"/>
      <c r="AP31" s="37"/>
    </row>
    <row r="32" spans="1:42" hidden="1" x14ac:dyDescent="0.3">
      <c r="B32" s="6">
        <v>6940</v>
      </c>
      <c r="C32" s="11" t="s">
        <v>49</v>
      </c>
      <c r="D32" s="80"/>
      <c r="E32" s="93"/>
      <c r="F32" s="82"/>
      <c r="G32" s="83"/>
      <c r="H32" s="80"/>
      <c r="I32" s="81"/>
      <c r="J32" s="82"/>
      <c r="K32" s="83"/>
      <c r="L32" s="80"/>
      <c r="M32" s="93"/>
      <c r="N32" s="82"/>
      <c r="O32" s="83"/>
      <c r="P32" s="80"/>
      <c r="Q32" s="93"/>
      <c r="R32" s="82"/>
      <c r="S32" s="83"/>
      <c r="T32" s="80"/>
      <c r="U32" s="81"/>
      <c r="V32" s="82"/>
      <c r="W32" s="83"/>
      <c r="X32" s="80"/>
      <c r="Y32" s="81"/>
      <c r="Z32" s="82"/>
      <c r="AB32" s="288">
        <f t="shared" si="0"/>
        <v>0</v>
      </c>
      <c r="AC32" s="82">
        <f t="shared" si="1"/>
        <v>0</v>
      </c>
      <c r="AD32" s="256">
        <v>6940</v>
      </c>
      <c r="AE32" s="37"/>
      <c r="AF32" s="37"/>
      <c r="AG32" s="39"/>
      <c r="AH32" s="37"/>
      <c r="AI32" s="37"/>
      <c r="AJ32" s="39"/>
      <c r="AK32" s="37"/>
      <c r="AL32" s="37"/>
      <c r="AM32" s="39"/>
      <c r="AN32" s="37"/>
      <c r="AO32" s="37"/>
      <c r="AP32" s="37"/>
    </row>
    <row r="33" spans="2:42" hidden="1" x14ac:dyDescent="0.3">
      <c r="B33" s="6">
        <v>7000</v>
      </c>
      <c r="C33" s="11" t="s">
        <v>27</v>
      </c>
      <c r="D33" s="80"/>
      <c r="E33" s="93"/>
      <c r="F33" s="82"/>
      <c r="G33" s="83"/>
      <c r="H33" s="80"/>
      <c r="I33" s="81"/>
      <c r="J33" s="82"/>
      <c r="K33" s="83"/>
      <c r="L33" s="80"/>
      <c r="M33" s="93"/>
      <c r="N33" s="82"/>
      <c r="O33" s="83"/>
      <c r="P33" s="80"/>
      <c r="Q33" s="93"/>
      <c r="R33" s="82"/>
      <c r="S33" s="83"/>
      <c r="T33" s="80"/>
      <c r="U33" s="81"/>
      <c r="V33" s="82"/>
      <c r="W33" s="83"/>
      <c r="X33" s="80"/>
      <c r="Y33" s="81"/>
      <c r="Z33" s="82"/>
      <c r="AB33" s="288">
        <f t="shared" si="0"/>
        <v>0</v>
      </c>
      <c r="AC33" s="82">
        <f t="shared" si="1"/>
        <v>0</v>
      </c>
      <c r="AD33" s="256">
        <v>7000</v>
      </c>
      <c r="AE33" s="37"/>
      <c r="AF33" s="37"/>
      <c r="AG33" s="39"/>
      <c r="AH33" s="37"/>
      <c r="AI33" s="37"/>
      <c r="AJ33" s="39"/>
      <c r="AK33" s="37"/>
      <c r="AL33" s="37"/>
      <c r="AM33" s="39"/>
      <c r="AN33" s="37"/>
      <c r="AO33" s="37"/>
      <c r="AP33" s="37"/>
    </row>
    <row r="34" spans="2:42" x14ac:dyDescent="0.3">
      <c r="B34" s="6">
        <v>7100</v>
      </c>
      <c r="C34" s="11" t="s">
        <v>28</v>
      </c>
      <c r="D34" s="80"/>
      <c r="E34" s="93"/>
      <c r="F34" s="82"/>
      <c r="G34" s="83"/>
      <c r="H34" s="80"/>
      <c r="I34" s="81"/>
      <c r="J34" s="82"/>
      <c r="K34" s="83"/>
      <c r="L34" s="80">
        <v>6000</v>
      </c>
      <c r="M34" s="81" t="s">
        <v>241</v>
      </c>
      <c r="N34" s="82"/>
      <c r="O34" s="83"/>
      <c r="P34" s="80"/>
      <c r="Q34" s="93"/>
      <c r="R34" s="82"/>
      <c r="S34" s="83"/>
      <c r="T34" s="80"/>
      <c r="U34" s="81"/>
      <c r="V34" s="82"/>
      <c r="W34" s="83"/>
      <c r="X34" s="80"/>
      <c r="Y34" s="81"/>
      <c r="Z34" s="82"/>
      <c r="AB34" s="288">
        <f t="shared" si="0"/>
        <v>0</v>
      </c>
      <c r="AC34" s="82">
        <f t="shared" si="1"/>
        <v>6000</v>
      </c>
      <c r="AD34" s="256">
        <v>7100</v>
      </c>
      <c r="AE34" s="37"/>
      <c r="AF34" s="37"/>
      <c r="AG34" s="39"/>
      <c r="AH34" s="37"/>
      <c r="AI34" s="37"/>
      <c r="AJ34" s="39"/>
      <c r="AK34" s="37"/>
      <c r="AL34" s="37"/>
      <c r="AM34" s="39"/>
      <c r="AN34" s="37"/>
      <c r="AO34" s="37"/>
      <c r="AP34" s="37"/>
    </row>
    <row r="35" spans="2:42" hidden="1" x14ac:dyDescent="0.3">
      <c r="B35" s="6">
        <v>7101</v>
      </c>
      <c r="C35" s="11" t="s">
        <v>29</v>
      </c>
      <c r="D35" s="80"/>
      <c r="E35" s="93"/>
      <c r="F35" s="82"/>
      <c r="G35" s="83"/>
      <c r="H35" s="80"/>
      <c r="I35" s="81"/>
      <c r="J35" s="82"/>
      <c r="K35" s="83"/>
      <c r="L35" s="80"/>
      <c r="M35" s="81"/>
      <c r="N35" s="82"/>
      <c r="O35" s="83"/>
      <c r="P35" s="80"/>
      <c r="Q35" s="93"/>
      <c r="R35" s="82"/>
      <c r="S35" s="83"/>
      <c r="T35" s="80"/>
      <c r="U35" s="81"/>
      <c r="V35" s="82"/>
      <c r="W35" s="83"/>
      <c r="X35" s="80"/>
      <c r="Y35" s="81"/>
      <c r="Z35" s="82"/>
      <c r="AB35" s="288">
        <f t="shared" si="0"/>
        <v>0</v>
      </c>
      <c r="AC35" s="82">
        <f t="shared" si="1"/>
        <v>0</v>
      </c>
      <c r="AD35" s="256">
        <v>7101</v>
      </c>
      <c r="AE35" s="37"/>
      <c r="AF35" s="37"/>
      <c r="AG35" s="39"/>
      <c r="AH35" s="37"/>
      <c r="AI35" s="37"/>
      <c r="AJ35" s="39"/>
      <c r="AK35" s="37"/>
      <c r="AL35" s="37"/>
      <c r="AM35" s="39"/>
      <c r="AN35" s="37"/>
      <c r="AO35" s="37"/>
      <c r="AP35" s="37"/>
    </row>
    <row r="36" spans="2:42" x14ac:dyDescent="0.3">
      <c r="B36" s="6">
        <v>7102</v>
      </c>
      <c r="C36" s="186" t="s">
        <v>29</v>
      </c>
      <c r="D36" s="80"/>
      <c r="E36" s="93"/>
      <c r="F36" s="82"/>
      <c r="G36" s="83"/>
      <c r="H36" s="80"/>
      <c r="I36" s="81"/>
      <c r="J36" s="82"/>
      <c r="K36" s="83"/>
      <c r="L36" s="80"/>
      <c r="M36" s="81"/>
      <c r="N36" s="82"/>
      <c r="O36" s="83"/>
      <c r="P36" s="80"/>
      <c r="Q36" s="93"/>
      <c r="R36" s="82"/>
      <c r="S36" s="83"/>
      <c r="T36" s="80"/>
      <c r="U36" s="81"/>
      <c r="V36" s="82"/>
      <c r="W36" s="83"/>
      <c r="X36" s="80"/>
      <c r="Y36" s="81"/>
      <c r="Z36" s="82"/>
      <c r="AB36" s="289">
        <f t="shared" ref="AB36:AB53" si="6">SUM(F36+J36+N36+R36+V36+Z36)</f>
        <v>0</v>
      </c>
      <c r="AC36" s="82">
        <f t="shared" si="1"/>
        <v>0</v>
      </c>
      <c r="AD36" s="256">
        <v>7102</v>
      </c>
      <c r="AE36" s="37"/>
      <c r="AF36" s="37"/>
      <c r="AG36" s="39"/>
      <c r="AH36" s="37"/>
      <c r="AI36" s="37"/>
      <c r="AJ36" s="39"/>
      <c r="AK36" s="37"/>
      <c r="AL36" s="37"/>
      <c r="AM36" s="39"/>
      <c r="AN36" s="37"/>
      <c r="AO36" s="37"/>
      <c r="AP36" s="37"/>
    </row>
    <row r="37" spans="2:42" x14ac:dyDescent="0.3">
      <c r="B37" s="6">
        <v>7110</v>
      </c>
      <c r="C37" s="11" t="s">
        <v>30</v>
      </c>
      <c r="D37" s="80"/>
      <c r="E37" s="93"/>
      <c r="F37" s="82"/>
      <c r="G37" s="83"/>
      <c r="H37" s="80"/>
      <c r="I37" s="81"/>
      <c r="J37" s="82"/>
      <c r="K37" s="83"/>
      <c r="L37" s="80">
        <f>2000*8</f>
        <v>16000</v>
      </c>
      <c r="M37" s="81" t="s">
        <v>239</v>
      </c>
      <c r="N37" s="82"/>
      <c r="O37" s="83"/>
      <c r="P37" s="80">
        <v>5000</v>
      </c>
      <c r="Q37" s="93" t="s">
        <v>306</v>
      </c>
      <c r="R37" s="82"/>
      <c r="S37" s="83"/>
      <c r="T37" s="80">
        <v>15000</v>
      </c>
      <c r="U37" s="81"/>
      <c r="V37" s="82"/>
      <c r="W37" s="83"/>
      <c r="X37" s="80"/>
      <c r="Y37" s="81"/>
      <c r="Z37" s="82"/>
      <c r="AB37" s="288">
        <f t="shared" si="6"/>
        <v>0</v>
      </c>
      <c r="AC37" s="82">
        <f t="shared" si="1"/>
        <v>36000</v>
      </c>
      <c r="AD37" s="256">
        <v>7110</v>
      </c>
      <c r="AE37" s="37"/>
      <c r="AF37" s="37"/>
      <c r="AG37" s="39"/>
      <c r="AH37" s="37"/>
      <c r="AI37" s="37"/>
      <c r="AJ37" s="39"/>
      <c r="AK37" s="37"/>
      <c r="AL37" s="37"/>
      <c r="AM37" s="39"/>
      <c r="AN37" s="37"/>
      <c r="AO37" s="37"/>
      <c r="AP37" s="37"/>
    </row>
    <row r="38" spans="2:42" x14ac:dyDescent="0.3">
      <c r="B38" s="6">
        <v>7141</v>
      </c>
      <c r="C38" s="11" t="s">
        <v>31</v>
      </c>
      <c r="D38" s="80"/>
      <c r="E38" s="93"/>
      <c r="F38" s="82"/>
      <c r="G38" s="83"/>
      <c r="H38" s="80"/>
      <c r="I38" s="81"/>
      <c r="J38" s="82"/>
      <c r="K38" s="83"/>
      <c r="L38" s="80">
        <f>750*10*2</f>
        <v>15000</v>
      </c>
      <c r="M38" s="81" t="s">
        <v>240</v>
      </c>
      <c r="N38" s="82"/>
      <c r="O38" s="83"/>
      <c r="P38" s="80">
        <v>2000</v>
      </c>
      <c r="Q38" s="93" t="s">
        <v>307</v>
      </c>
      <c r="R38" s="82"/>
      <c r="S38" s="83"/>
      <c r="T38" s="80">
        <v>7000</v>
      </c>
      <c r="U38" s="81"/>
      <c r="V38" s="82"/>
      <c r="W38" s="83"/>
      <c r="X38" s="80"/>
      <c r="Y38" s="81"/>
      <c r="Z38" s="82"/>
      <c r="AB38" s="288">
        <f t="shared" si="6"/>
        <v>0</v>
      </c>
      <c r="AC38" s="82">
        <f t="shared" si="1"/>
        <v>24000</v>
      </c>
      <c r="AD38" s="256">
        <v>7141</v>
      </c>
      <c r="AE38" s="37"/>
      <c r="AF38" s="37"/>
      <c r="AG38" s="39"/>
      <c r="AH38" s="37"/>
      <c r="AI38" s="37"/>
      <c r="AJ38" s="39"/>
      <c r="AK38" s="37"/>
      <c r="AL38" s="37"/>
      <c r="AM38" s="39"/>
      <c r="AN38" s="37"/>
      <c r="AO38" s="37"/>
      <c r="AP38" s="37"/>
    </row>
    <row r="39" spans="2:42" x14ac:dyDescent="0.3">
      <c r="B39" s="6">
        <v>7145</v>
      </c>
      <c r="C39" s="11" t="s">
        <v>32</v>
      </c>
      <c r="D39" s="80"/>
      <c r="E39" s="93"/>
      <c r="F39" s="82"/>
      <c r="G39" s="83"/>
      <c r="H39" s="80"/>
      <c r="I39" s="81"/>
      <c r="J39" s="82"/>
      <c r="K39" s="83"/>
      <c r="L39" s="80">
        <v>2000</v>
      </c>
      <c r="M39" s="81" t="s">
        <v>236</v>
      </c>
      <c r="N39" s="82"/>
      <c r="O39" s="83"/>
      <c r="P39" s="80">
        <v>1500</v>
      </c>
      <c r="Q39" s="93" t="s">
        <v>308</v>
      </c>
      <c r="R39" s="82"/>
      <c r="S39" s="83"/>
      <c r="T39" s="80">
        <v>2000</v>
      </c>
      <c r="U39" s="81"/>
      <c r="V39" s="82"/>
      <c r="W39" s="83"/>
      <c r="X39" s="80"/>
      <c r="Y39" s="81"/>
      <c r="Z39" s="82"/>
      <c r="AB39" s="288">
        <f t="shared" si="6"/>
        <v>0</v>
      </c>
      <c r="AC39" s="82">
        <f t="shared" si="1"/>
        <v>5500</v>
      </c>
      <c r="AD39" s="256">
        <v>7145</v>
      </c>
      <c r="AE39" s="37"/>
      <c r="AF39" s="37"/>
      <c r="AG39" s="39"/>
      <c r="AH39" s="37"/>
      <c r="AI39" s="37"/>
      <c r="AJ39" s="39"/>
      <c r="AK39" s="37"/>
      <c r="AL39" s="37"/>
      <c r="AM39" s="39"/>
      <c r="AN39" s="37"/>
      <c r="AO39" s="37"/>
      <c r="AP39" s="37"/>
    </row>
    <row r="40" spans="2:42" ht="28.8" x14ac:dyDescent="0.3">
      <c r="B40" s="6">
        <v>7162</v>
      </c>
      <c r="C40" s="11" t="s">
        <v>33</v>
      </c>
      <c r="D40" s="80"/>
      <c r="E40" s="93"/>
      <c r="F40" s="82"/>
      <c r="G40" s="83"/>
      <c r="H40" s="80"/>
      <c r="I40" s="81"/>
      <c r="J40" s="82"/>
      <c r="K40" s="83"/>
      <c r="L40" s="80">
        <v>10000</v>
      </c>
      <c r="M40" s="93" t="s">
        <v>271</v>
      </c>
      <c r="N40" s="82"/>
      <c r="O40" s="83"/>
      <c r="P40" s="80"/>
      <c r="Q40" s="93"/>
      <c r="R40" s="82"/>
      <c r="S40" s="83"/>
      <c r="T40" s="80">
        <v>1000</v>
      </c>
      <c r="U40" s="81"/>
      <c r="V40" s="82"/>
      <c r="W40" s="83"/>
      <c r="X40" s="80"/>
      <c r="Y40" s="81"/>
      <c r="Z40" s="82"/>
      <c r="AB40" s="288">
        <f t="shared" si="6"/>
        <v>0</v>
      </c>
      <c r="AC40" s="82">
        <f t="shared" si="1"/>
        <v>11000</v>
      </c>
      <c r="AD40" s="256">
        <v>7162</v>
      </c>
      <c r="AE40" s="37"/>
      <c r="AF40" s="37"/>
      <c r="AG40" s="39"/>
      <c r="AH40" s="37"/>
      <c r="AI40" s="37"/>
      <c r="AJ40" s="39"/>
      <c r="AK40" s="37"/>
      <c r="AL40" s="37"/>
      <c r="AM40" s="39"/>
      <c r="AN40" s="37"/>
      <c r="AO40" s="37"/>
      <c r="AP40" s="37"/>
    </row>
    <row r="41" spans="2:42" hidden="1" x14ac:dyDescent="0.3">
      <c r="B41" s="6">
        <v>7320</v>
      </c>
      <c r="C41" s="11" t="s">
        <v>34</v>
      </c>
      <c r="D41" s="80"/>
      <c r="E41" s="93"/>
      <c r="F41" s="82"/>
      <c r="G41" s="83"/>
      <c r="H41" s="80"/>
      <c r="I41" s="81"/>
      <c r="J41" s="82"/>
      <c r="K41" s="83"/>
      <c r="L41" s="80"/>
      <c r="M41" s="93"/>
      <c r="N41" s="82"/>
      <c r="O41" s="83"/>
      <c r="P41" s="80"/>
      <c r="Q41" s="93"/>
      <c r="R41" s="82"/>
      <c r="S41" s="83"/>
      <c r="T41" s="80"/>
      <c r="U41" s="81"/>
      <c r="V41" s="82"/>
      <c r="W41" s="83"/>
      <c r="X41" s="80"/>
      <c r="Y41" s="81"/>
      <c r="Z41" s="82"/>
      <c r="AB41" s="288">
        <f t="shared" si="6"/>
        <v>0</v>
      </c>
      <c r="AC41" s="82">
        <f t="shared" si="1"/>
        <v>0</v>
      </c>
      <c r="AD41" s="256">
        <v>7320</v>
      </c>
      <c r="AE41" s="37"/>
      <c r="AF41" s="37"/>
      <c r="AG41" s="39"/>
      <c r="AH41" s="37"/>
      <c r="AI41" s="37"/>
      <c r="AJ41" s="39"/>
      <c r="AK41" s="37"/>
      <c r="AL41" s="37"/>
      <c r="AM41" s="39"/>
      <c r="AN41" s="37"/>
      <c r="AO41" s="37"/>
      <c r="AP41" s="37"/>
    </row>
    <row r="42" spans="2:42" hidden="1" x14ac:dyDescent="0.3">
      <c r="B42" s="6">
        <v>7350</v>
      </c>
      <c r="C42" s="11" t="s">
        <v>35</v>
      </c>
      <c r="D42" s="80"/>
      <c r="E42" s="93"/>
      <c r="F42" s="82"/>
      <c r="G42" s="83"/>
      <c r="H42" s="80"/>
      <c r="I42" s="81"/>
      <c r="J42" s="82"/>
      <c r="K42" s="83"/>
      <c r="L42" s="80"/>
      <c r="M42" s="93"/>
      <c r="N42" s="82"/>
      <c r="O42" s="83"/>
      <c r="P42" s="80"/>
      <c r="Q42" s="93"/>
      <c r="R42" s="82"/>
      <c r="S42" s="83"/>
      <c r="T42" s="80"/>
      <c r="U42" s="81"/>
      <c r="V42" s="82"/>
      <c r="W42" s="83"/>
      <c r="X42" s="80"/>
      <c r="Y42" s="81"/>
      <c r="Z42" s="82"/>
      <c r="AB42" s="288">
        <f t="shared" si="6"/>
        <v>0</v>
      </c>
      <c r="AC42" s="82">
        <f t="shared" si="1"/>
        <v>0</v>
      </c>
      <c r="AD42" s="256">
        <v>7350</v>
      </c>
      <c r="AE42" s="37"/>
      <c r="AF42" s="37"/>
      <c r="AG42" s="39"/>
      <c r="AH42" s="37"/>
      <c r="AI42" s="37"/>
      <c r="AJ42" s="39"/>
      <c r="AK42" s="37"/>
      <c r="AL42" s="37"/>
      <c r="AM42" s="39"/>
      <c r="AN42" s="37"/>
      <c r="AO42" s="37"/>
      <c r="AP42" s="37"/>
    </row>
    <row r="43" spans="2:42" ht="29.4" thickBot="1" x14ac:dyDescent="0.35">
      <c r="B43" s="6">
        <v>7400</v>
      </c>
      <c r="C43" s="11" t="s">
        <v>36</v>
      </c>
      <c r="D43" s="80">
        <f>350*9.5+350*9.5+400*8.5</f>
        <v>10050</v>
      </c>
      <c r="E43" s="93" t="s">
        <v>269</v>
      </c>
      <c r="F43" s="82"/>
      <c r="G43" s="83"/>
      <c r="H43" s="80"/>
      <c r="I43" s="81"/>
      <c r="J43" s="82"/>
      <c r="K43" s="83"/>
      <c r="L43" s="80"/>
      <c r="M43" s="93"/>
      <c r="N43" s="82"/>
      <c r="O43" s="83"/>
      <c r="P43" s="80"/>
      <c r="Q43" s="93"/>
      <c r="R43" s="82"/>
      <c r="S43" s="83"/>
      <c r="T43" s="80"/>
      <c r="U43" s="81"/>
      <c r="V43" s="82"/>
      <c r="W43" s="83"/>
      <c r="X43" s="80"/>
      <c r="Y43" s="81"/>
      <c r="Z43" s="82"/>
      <c r="AB43" s="288">
        <f t="shared" si="6"/>
        <v>0</v>
      </c>
      <c r="AC43" s="82">
        <f t="shared" si="1"/>
        <v>10050</v>
      </c>
      <c r="AD43" s="256">
        <v>7400</v>
      </c>
      <c r="AE43" s="37"/>
      <c r="AF43" s="37"/>
      <c r="AG43" s="39"/>
      <c r="AH43" s="37"/>
      <c r="AI43" s="37"/>
      <c r="AJ43" s="39"/>
      <c r="AK43" s="37"/>
      <c r="AL43" s="37"/>
      <c r="AM43" s="39"/>
      <c r="AN43" s="37"/>
      <c r="AO43" s="37"/>
      <c r="AP43" s="37"/>
    </row>
    <row r="44" spans="2:42" ht="15" hidden="1" thickBot="1" x14ac:dyDescent="0.35">
      <c r="B44" s="6">
        <v>7411</v>
      </c>
      <c r="C44" s="11" t="s">
        <v>37</v>
      </c>
      <c r="D44" s="80"/>
      <c r="E44" s="93"/>
      <c r="F44" s="82"/>
      <c r="G44" s="83"/>
      <c r="H44" s="80"/>
      <c r="I44" s="81"/>
      <c r="J44" s="82"/>
      <c r="K44" s="83"/>
      <c r="L44" s="80"/>
      <c r="M44" s="93"/>
      <c r="N44" s="82"/>
      <c r="O44" s="83"/>
      <c r="P44" s="80"/>
      <c r="Q44" s="93"/>
      <c r="R44" s="82"/>
      <c r="S44" s="83"/>
      <c r="T44" s="80"/>
      <c r="U44" s="81"/>
      <c r="V44" s="82"/>
      <c r="W44" s="83"/>
      <c r="X44" s="80"/>
      <c r="Y44" s="81"/>
      <c r="Z44" s="82"/>
      <c r="AB44" s="288">
        <f t="shared" si="6"/>
        <v>0</v>
      </c>
      <c r="AC44" s="82">
        <f t="shared" si="1"/>
        <v>0</v>
      </c>
      <c r="AD44" s="256">
        <v>7411</v>
      </c>
      <c r="AE44" s="37"/>
      <c r="AF44" s="37"/>
      <c r="AG44" s="39"/>
      <c r="AH44" s="37"/>
      <c r="AI44" s="37"/>
      <c r="AJ44" s="39"/>
      <c r="AK44" s="37"/>
      <c r="AL44" s="37"/>
      <c r="AM44" s="39"/>
      <c r="AN44" s="37"/>
      <c r="AO44" s="37"/>
      <c r="AP44" s="37"/>
    </row>
    <row r="45" spans="2:42" ht="15" hidden="1" thickBot="1" x14ac:dyDescent="0.35">
      <c r="B45" s="6">
        <v>7420</v>
      </c>
      <c r="C45" s="11" t="s">
        <v>38</v>
      </c>
      <c r="D45" s="80"/>
      <c r="E45" s="93"/>
      <c r="F45" s="82"/>
      <c r="G45" s="83"/>
      <c r="H45" s="80"/>
      <c r="I45" s="81"/>
      <c r="J45" s="82"/>
      <c r="K45" s="83"/>
      <c r="L45" s="80"/>
      <c r="M45" s="93"/>
      <c r="N45" s="82"/>
      <c r="O45" s="83"/>
      <c r="P45" s="80"/>
      <c r="Q45" s="93"/>
      <c r="R45" s="82"/>
      <c r="S45" s="83"/>
      <c r="T45" s="80"/>
      <c r="U45" s="81"/>
      <c r="V45" s="82"/>
      <c r="W45" s="83"/>
      <c r="X45" s="80"/>
      <c r="Y45" s="81"/>
      <c r="Z45" s="82"/>
      <c r="AB45" s="288">
        <f t="shared" si="6"/>
        <v>0</v>
      </c>
      <c r="AC45" s="82">
        <f t="shared" si="1"/>
        <v>0</v>
      </c>
      <c r="AD45" s="256">
        <v>7420</v>
      </c>
      <c r="AE45" s="37"/>
      <c r="AF45" s="37"/>
      <c r="AG45" s="39"/>
      <c r="AH45" s="37"/>
      <c r="AI45" s="37"/>
      <c r="AJ45" s="39"/>
      <c r="AK45" s="37"/>
      <c r="AL45" s="37"/>
      <c r="AM45" s="39"/>
      <c r="AN45" s="37"/>
      <c r="AO45" s="37"/>
      <c r="AP45" s="37"/>
    </row>
    <row r="46" spans="2:42" ht="15" thickBot="1" x14ac:dyDescent="0.35">
      <c r="B46" s="6">
        <v>7425</v>
      </c>
      <c r="C46" s="11" t="s">
        <v>39</v>
      </c>
      <c r="D46" s="80"/>
      <c r="E46" s="93"/>
      <c r="F46" s="82"/>
      <c r="G46" s="83"/>
      <c r="H46" s="80"/>
      <c r="I46" s="81"/>
      <c r="J46" s="82"/>
      <c r="K46" s="83"/>
      <c r="L46" s="80">
        <v>3000</v>
      </c>
      <c r="M46" s="93"/>
      <c r="N46" s="82"/>
      <c r="O46" s="83"/>
      <c r="P46" s="80"/>
      <c r="Q46" s="93"/>
      <c r="R46" s="82"/>
      <c r="S46" s="83"/>
      <c r="T46" s="80"/>
      <c r="U46" s="81"/>
      <c r="V46" s="82"/>
      <c r="W46" s="83"/>
      <c r="X46" s="80"/>
      <c r="Y46" s="81"/>
      <c r="Z46" s="82"/>
      <c r="AB46" s="100">
        <f t="shared" si="6"/>
        <v>0</v>
      </c>
      <c r="AC46" s="86">
        <f t="shared" si="1"/>
        <v>3000</v>
      </c>
      <c r="AD46" s="272">
        <v>7425</v>
      </c>
      <c r="AE46" s="228" t="s">
        <v>310</v>
      </c>
      <c r="AF46" s="37"/>
      <c r="AG46" s="39"/>
      <c r="AH46" s="37"/>
      <c r="AI46" s="37"/>
      <c r="AJ46" s="39"/>
      <c r="AK46" s="37"/>
      <c r="AL46" s="37"/>
      <c r="AM46" s="39"/>
      <c r="AN46" s="37"/>
      <c r="AO46" s="37"/>
      <c r="AP46" s="37"/>
    </row>
    <row r="47" spans="2:42" ht="15" hidden="1" thickBot="1" x14ac:dyDescent="0.35">
      <c r="B47" s="6">
        <v>7430</v>
      </c>
      <c r="C47" s="11" t="s">
        <v>40</v>
      </c>
      <c r="D47" s="80"/>
      <c r="E47" s="93"/>
      <c r="F47" s="82"/>
      <c r="G47" s="83"/>
      <c r="H47" s="80"/>
      <c r="I47" s="81"/>
      <c r="J47" s="82"/>
      <c r="K47" s="83"/>
      <c r="L47" s="80"/>
      <c r="M47" s="93"/>
      <c r="N47" s="82"/>
      <c r="O47" s="83"/>
      <c r="P47" s="80"/>
      <c r="Q47" s="93"/>
      <c r="R47" s="82"/>
      <c r="S47" s="83"/>
      <c r="T47" s="80"/>
      <c r="U47" s="81"/>
      <c r="V47" s="82"/>
      <c r="W47" s="83"/>
      <c r="X47" s="80"/>
      <c r="Y47" s="81"/>
      <c r="Z47" s="82"/>
      <c r="AB47" s="100">
        <f t="shared" si="6"/>
        <v>0</v>
      </c>
      <c r="AC47" s="200">
        <f t="shared" si="1"/>
        <v>0</v>
      </c>
      <c r="AD47" s="178">
        <v>7430</v>
      </c>
      <c r="AE47" s="226"/>
      <c r="AF47" s="37"/>
      <c r="AG47" s="39"/>
      <c r="AH47" s="37"/>
      <c r="AI47" s="37"/>
      <c r="AJ47" s="39"/>
      <c r="AK47" s="37"/>
      <c r="AL47" s="37"/>
      <c r="AM47" s="39"/>
      <c r="AN47" s="37"/>
      <c r="AO47" s="37"/>
      <c r="AP47" s="37"/>
    </row>
    <row r="48" spans="2:42" ht="15" hidden="1" thickBot="1" x14ac:dyDescent="0.35">
      <c r="B48" s="6">
        <v>7500</v>
      </c>
      <c r="C48" s="11" t="s">
        <v>41</v>
      </c>
      <c r="D48" s="80"/>
      <c r="E48" s="93"/>
      <c r="F48" s="82"/>
      <c r="G48" s="83"/>
      <c r="H48" s="80"/>
      <c r="I48" s="81"/>
      <c r="J48" s="82"/>
      <c r="K48" s="83"/>
      <c r="L48" s="80"/>
      <c r="M48" s="93"/>
      <c r="N48" s="82"/>
      <c r="O48" s="83"/>
      <c r="P48" s="80"/>
      <c r="Q48" s="93"/>
      <c r="R48" s="82"/>
      <c r="S48" s="83"/>
      <c r="T48" s="80"/>
      <c r="U48" s="81"/>
      <c r="V48" s="82"/>
      <c r="W48" s="83"/>
      <c r="X48" s="80"/>
      <c r="Y48" s="81"/>
      <c r="Z48" s="82"/>
      <c r="AB48" s="95">
        <f t="shared" si="6"/>
        <v>0</v>
      </c>
      <c r="AC48" s="290">
        <f t="shared" si="1"/>
        <v>0</v>
      </c>
      <c r="AD48" s="178">
        <v>7500</v>
      </c>
      <c r="AE48" s="226"/>
      <c r="AF48" s="37"/>
      <c r="AG48" s="39"/>
      <c r="AH48" s="37"/>
      <c r="AI48" s="37"/>
      <c r="AJ48" s="39"/>
      <c r="AK48" s="37"/>
      <c r="AL48" s="37"/>
      <c r="AM48" s="39"/>
      <c r="AN48" s="37"/>
      <c r="AO48" s="37"/>
      <c r="AP48" s="37"/>
    </row>
    <row r="49" spans="2:42" ht="15" hidden="1" thickBot="1" x14ac:dyDescent="0.35">
      <c r="B49" s="6">
        <v>7746</v>
      </c>
      <c r="C49" s="11" t="s">
        <v>42</v>
      </c>
      <c r="D49" s="80"/>
      <c r="E49" s="93"/>
      <c r="F49" s="82"/>
      <c r="G49" s="83"/>
      <c r="H49" s="80"/>
      <c r="I49" s="81"/>
      <c r="J49" s="82"/>
      <c r="K49" s="83"/>
      <c r="L49" s="80"/>
      <c r="M49" s="93"/>
      <c r="N49" s="82"/>
      <c r="O49" s="83"/>
      <c r="P49" s="80"/>
      <c r="Q49" s="93"/>
      <c r="R49" s="82"/>
      <c r="S49" s="83"/>
      <c r="T49" s="80"/>
      <c r="U49" s="81"/>
      <c r="V49" s="82"/>
      <c r="W49" s="83"/>
      <c r="X49" s="80"/>
      <c r="Y49" s="81"/>
      <c r="Z49" s="82"/>
      <c r="AB49" s="95">
        <f t="shared" si="6"/>
        <v>0</v>
      </c>
      <c r="AC49" s="290">
        <f t="shared" si="1"/>
        <v>0</v>
      </c>
      <c r="AD49" s="178">
        <v>7746</v>
      </c>
      <c r="AE49" s="226"/>
      <c r="AF49" s="37"/>
      <c r="AG49" s="39"/>
      <c r="AH49" s="37"/>
      <c r="AI49" s="37"/>
      <c r="AJ49" s="39"/>
      <c r="AK49" s="37"/>
      <c r="AL49" s="37"/>
      <c r="AM49" s="39"/>
      <c r="AN49" s="37"/>
      <c r="AO49" s="37"/>
      <c r="AP49" s="37"/>
    </row>
    <row r="50" spans="2:42" ht="15" hidden="1" thickBot="1" x14ac:dyDescent="0.35">
      <c r="B50" s="6">
        <v>7770</v>
      </c>
      <c r="C50" s="11" t="s">
        <v>43</v>
      </c>
      <c r="D50" s="80"/>
      <c r="E50" s="93"/>
      <c r="F50" s="82"/>
      <c r="G50" s="83"/>
      <c r="H50" s="80"/>
      <c r="I50" s="81"/>
      <c r="J50" s="82"/>
      <c r="K50" s="83"/>
      <c r="L50" s="80"/>
      <c r="M50" s="93"/>
      <c r="N50" s="82"/>
      <c r="O50" s="83"/>
      <c r="P50" s="80"/>
      <c r="Q50" s="93"/>
      <c r="R50" s="82"/>
      <c r="S50" s="83"/>
      <c r="T50" s="80"/>
      <c r="U50" s="81"/>
      <c r="V50" s="82"/>
      <c r="W50" s="83"/>
      <c r="X50" s="80"/>
      <c r="Y50" s="81"/>
      <c r="Z50" s="82"/>
      <c r="AB50" s="95">
        <f t="shared" si="6"/>
        <v>0</v>
      </c>
      <c r="AC50" s="290">
        <f t="shared" si="1"/>
        <v>0</v>
      </c>
      <c r="AD50" s="178">
        <v>7770</v>
      </c>
      <c r="AE50" s="226"/>
      <c r="AF50" s="37"/>
      <c r="AG50" s="39"/>
      <c r="AH50" s="37"/>
      <c r="AI50" s="37"/>
      <c r="AJ50" s="39"/>
      <c r="AK50" s="37"/>
      <c r="AL50" s="37"/>
      <c r="AM50" s="39"/>
      <c r="AN50" s="37"/>
      <c r="AO50" s="37"/>
      <c r="AP50" s="37"/>
    </row>
    <row r="51" spans="2:42" ht="15" hidden="1" thickBot="1" x14ac:dyDescent="0.35">
      <c r="B51" s="8">
        <v>7775</v>
      </c>
      <c r="C51" s="12" t="s">
        <v>44</v>
      </c>
      <c r="D51" s="84"/>
      <c r="E51" s="141"/>
      <c r="F51" s="86"/>
      <c r="G51" s="83"/>
      <c r="H51" s="84"/>
      <c r="I51" s="85"/>
      <c r="J51" s="86"/>
      <c r="K51" s="83"/>
      <c r="L51" s="84"/>
      <c r="M51" s="141"/>
      <c r="N51" s="86"/>
      <c r="O51" s="83"/>
      <c r="P51" s="84"/>
      <c r="Q51" s="141"/>
      <c r="R51" s="86"/>
      <c r="S51" s="83"/>
      <c r="T51" s="84"/>
      <c r="U51" s="85"/>
      <c r="V51" s="86"/>
      <c r="W51" s="83"/>
      <c r="X51" s="84"/>
      <c r="Y51" s="85"/>
      <c r="Z51" s="86"/>
      <c r="AB51" s="95">
        <f t="shared" si="6"/>
        <v>0</v>
      </c>
      <c r="AC51" s="290">
        <f t="shared" si="1"/>
        <v>0</v>
      </c>
      <c r="AD51" s="221">
        <v>7775</v>
      </c>
      <c r="AE51" s="226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</row>
    <row r="52" spans="2:42" ht="15" thickBot="1" x14ac:dyDescent="0.35">
      <c r="B52" s="26"/>
      <c r="C52" s="27" t="s">
        <v>74</v>
      </c>
      <c r="D52" s="87">
        <f>SUM(D12:D51)</f>
        <v>21330</v>
      </c>
      <c r="E52" s="140"/>
      <c r="F52" s="92">
        <f>SUM(F12:F46)</f>
        <v>0</v>
      </c>
      <c r="G52" s="83"/>
      <c r="H52" s="87">
        <f t="shared" ref="H52" si="7">SUM(H12:H51)</f>
        <v>0</v>
      </c>
      <c r="I52" s="87"/>
      <c r="J52" s="92"/>
      <c r="K52" s="83"/>
      <c r="L52" s="87">
        <f t="shared" ref="L52" si="8">SUM(L12:L51)</f>
        <v>52000</v>
      </c>
      <c r="M52" s="140"/>
      <c r="N52" s="92">
        <f>SUM(N12:N46)</f>
        <v>0</v>
      </c>
      <c r="O52" s="83"/>
      <c r="P52" s="87">
        <f t="shared" ref="P52" si="9">SUM(P12:P51)</f>
        <v>8500</v>
      </c>
      <c r="Q52" s="140"/>
      <c r="R52" s="92"/>
      <c r="S52" s="83"/>
      <c r="T52" s="87">
        <f t="shared" ref="T52" si="10">SUM(T12:T51)</f>
        <v>25000</v>
      </c>
      <c r="U52" s="87"/>
      <c r="V52" s="92">
        <f>SUM(V12:V46)</f>
        <v>0</v>
      </c>
      <c r="W52" s="83"/>
      <c r="X52" s="87">
        <f t="shared" ref="X52" si="11">SUM(X12:X51)</f>
        <v>0</v>
      </c>
      <c r="Y52" s="87"/>
      <c r="Z52" s="92"/>
      <c r="AB52" s="95">
        <f t="shared" si="6"/>
        <v>0</v>
      </c>
      <c r="AC52" s="290">
        <f t="shared" si="1"/>
        <v>106830</v>
      </c>
      <c r="AD52" s="26"/>
      <c r="AE52" s="227">
        <f>SUM(D52+H52+L52+P52+T52+X52)</f>
        <v>106830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</row>
    <row r="53" spans="2:42" ht="15" thickBot="1" x14ac:dyDescent="0.35">
      <c r="C53" s="13" t="s">
        <v>373</v>
      </c>
      <c r="D53" s="310">
        <f>D11-D52</f>
        <v>-21330</v>
      </c>
      <c r="E53" s="312"/>
      <c r="F53" s="310">
        <f t="shared" ref="F53" si="12">F11-F52</f>
        <v>0</v>
      </c>
      <c r="G53" s="313"/>
      <c r="H53" s="310">
        <f t="shared" ref="H53" si="13">H11-H52</f>
        <v>0</v>
      </c>
      <c r="I53" s="310"/>
      <c r="J53" s="310">
        <f t="shared" ref="J53:Z53" si="14">J11-J52</f>
        <v>0</v>
      </c>
      <c r="K53" s="313"/>
      <c r="L53" s="310">
        <f t="shared" ref="L53" si="15">L11-L52</f>
        <v>-49000</v>
      </c>
      <c r="M53" s="312"/>
      <c r="N53" s="310">
        <f t="shared" ref="N53" si="16">N11-N52</f>
        <v>0</v>
      </c>
      <c r="O53" s="313"/>
      <c r="P53" s="310">
        <f t="shared" ref="P53" si="17">P11-P52</f>
        <v>-8500</v>
      </c>
      <c r="Q53" s="312"/>
      <c r="R53" s="310">
        <f t="shared" si="14"/>
        <v>0</v>
      </c>
      <c r="S53" s="313"/>
      <c r="T53" s="310">
        <f t="shared" ref="T53" si="18">T11-T52</f>
        <v>-25000</v>
      </c>
      <c r="U53" s="310"/>
      <c r="V53" s="310">
        <f t="shared" si="14"/>
        <v>0</v>
      </c>
      <c r="W53" s="313"/>
      <c r="X53" s="310">
        <f t="shared" ref="X53" si="19">X11-X52</f>
        <v>0</v>
      </c>
      <c r="Y53" s="310"/>
      <c r="Z53" s="310">
        <f t="shared" si="14"/>
        <v>0</v>
      </c>
      <c r="AA53" s="313"/>
      <c r="AB53" s="319">
        <f t="shared" si="6"/>
        <v>0</v>
      </c>
      <c r="AC53" s="320">
        <f t="shared" si="1"/>
        <v>-103830</v>
      </c>
      <c r="AD53" s="98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</row>
    <row r="54" spans="2:42" x14ac:dyDescent="0.3"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</row>
    <row r="55" spans="2:42" x14ac:dyDescent="0.3">
      <c r="H55" s="346"/>
      <c r="I55" s="346"/>
      <c r="J55" s="346"/>
      <c r="L55" s="346"/>
      <c r="M55" s="346"/>
      <c r="N55" s="346"/>
      <c r="P55" s="346" t="s">
        <v>312</v>
      </c>
      <c r="Q55" s="346"/>
      <c r="R55" s="346"/>
      <c r="T55" s="346" t="s">
        <v>348</v>
      </c>
      <c r="U55" s="346"/>
      <c r="V55" s="346"/>
    </row>
    <row r="56" spans="2:42" x14ac:dyDescent="0.3">
      <c r="H56" s="346"/>
      <c r="I56" s="346"/>
      <c r="J56" s="346"/>
      <c r="L56" s="346"/>
      <c r="M56" s="346"/>
      <c r="N56" s="346"/>
      <c r="P56" s="346"/>
      <c r="Q56" s="346"/>
      <c r="R56" s="346"/>
      <c r="T56" s="346"/>
      <c r="U56" s="346"/>
      <c r="V56" s="346"/>
    </row>
    <row r="57" spans="2:42" x14ac:dyDescent="0.3">
      <c r="H57" s="346"/>
      <c r="I57" s="346"/>
      <c r="J57" s="346"/>
      <c r="L57" s="346"/>
      <c r="M57" s="346"/>
      <c r="N57" s="346"/>
      <c r="P57" s="346"/>
      <c r="Q57" s="346"/>
      <c r="R57" s="346"/>
      <c r="T57" s="346"/>
      <c r="U57" s="346"/>
      <c r="V57" s="346"/>
    </row>
    <row r="58" spans="2:42" x14ac:dyDescent="0.3">
      <c r="H58" s="346"/>
      <c r="I58" s="346"/>
      <c r="J58" s="346"/>
      <c r="L58" s="346"/>
      <c r="M58" s="346"/>
      <c r="N58" s="346"/>
      <c r="P58" s="346"/>
      <c r="Q58" s="346"/>
      <c r="R58" s="346"/>
      <c r="T58" s="346"/>
      <c r="U58" s="346"/>
      <c r="V58" s="346"/>
    </row>
    <row r="59" spans="2:42" x14ac:dyDescent="0.3">
      <c r="H59" s="346"/>
      <c r="I59" s="346"/>
      <c r="J59" s="346"/>
      <c r="L59" s="346"/>
      <c r="M59" s="346"/>
      <c r="N59" s="346"/>
      <c r="P59" s="346"/>
      <c r="Q59" s="346"/>
      <c r="R59" s="346"/>
      <c r="T59" s="346"/>
      <c r="U59" s="346"/>
      <c r="V59" s="346"/>
    </row>
    <row r="60" spans="2:42" x14ac:dyDescent="0.3">
      <c r="H60" s="346"/>
      <c r="I60" s="346"/>
      <c r="J60" s="346"/>
      <c r="L60" s="346"/>
      <c r="M60" s="346"/>
      <c r="N60" s="346"/>
      <c r="P60" s="346"/>
      <c r="Q60" s="346"/>
      <c r="R60" s="346"/>
      <c r="T60" s="346"/>
      <c r="U60" s="346"/>
      <c r="V60" s="346"/>
    </row>
    <row r="61" spans="2:42" x14ac:dyDescent="0.3">
      <c r="H61" s="346"/>
      <c r="I61" s="346"/>
      <c r="J61" s="346"/>
      <c r="L61" s="346"/>
      <c r="M61" s="346"/>
      <c r="N61" s="346"/>
      <c r="P61" s="346"/>
      <c r="Q61" s="346"/>
      <c r="R61" s="346"/>
      <c r="T61" s="346"/>
      <c r="U61" s="346"/>
      <c r="V61" s="346"/>
    </row>
    <row r="62" spans="2:42" x14ac:dyDescent="0.3">
      <c r="H62" s="346"/>
      <c r="I62" s="346"/>
      <c r="J62" s="346"/>
      <c r="L62" s="346"/>
      <c r="M62" s="346"/>
      <c r="N62" s="346"/>
      <c r="P62" s="346"/>
      <c r="Q62" s="346"/>
      <c r="R62" s="346"/>
      <c r="T62" s="346"/>
      <c r="U62" s="346"/>
      <c r="V62" s="346"/>
    </row>
    <row r="63" spans="2:42" x14ac:dyDescent="0.3">
      <c r="H63" s="346"/>
      <c r="I63" s="346"/>
      <c r="J63" s="346"/>
      <c r="L63" s="346"/>
      <c r="M63" s="346"/>
      <c r="N63" s="346"/>
      <c r="P63" s="346"/>
      <c r="Q63" s="346"/>
      <c r="R63" s="346"/>
      <c r="T63" s="346"/>
      <c r="U63" s="346"/>
      <c r="V63" s="346"/>
    </row>
    <row r="64" spans="2:42" x14ac:dyDescent="0.3">
      <c r="H64" s="346"/>
      <c r="I64" s="346"/>
      <c r="J64" s="346"/>
      <c r="L64" s="346"/>
      <c r="M64" s="346"/>
      <c r="N64" s="346"/>
      <c r="P64" s="346"/>
      <c r="Q64" s="346"/>
      <c r="R64" s="346"/>
      <c r="T64" s="346"/>
      <c r="U64" s="346"/>
      <c r="V64" s="346"/>
    </row>
    <row r="65" spans="8:22" x14ac:dyDescent="0.3">
      <c r="H65" s="346"/>
      <c r="I65" s="346"/>
      <c r="J65" s="346"/>
      <c r="L65" s="346"/>
      <c r="M65" s="346"/>
      <c r="N65" s="346"/>
      <c r="P65" s="346"/>
      <c r="Q65" s="346"/>
      <c r="R65" s="346"/>
      <c r="T65" s="346"/>
      <c r="U65" s="346"/>
      <c r="V65" s="346"/>
    </row>
    <row r="66" spans="8:22" x14ac:dyDescent="0.3">
      <c r="H66" s="346"/>
      <c r="I66" s="346"/>
      <c r="J66" s="346"/>
      <c r="L66" s="346"/>
      <c r="M66" s="346"/>
      <c r="N66" s="346"/>
      <c r="P66" s="346"/>
      <c r="Q66" s="346"/>
      <c r="R66" s="346"/>
    </row>
    <row r="67" spans="8:22" x14ac:dyDescent="0.3">
      <c r="H67" s="346"/>
      <c r="I67" s="346"/>
      <c r="J67" s="346"/>
      <c r="L67" s="346"/>
      <c r="M67" s="346"/>
      <c r="N67" s="346"/>
      <c r="P67" s="346"/>
      <c r="Q67" s="346"/>
      <c r="R67" s="346"/>
    </row>
  </sheetData>
  <sheetProtection algorithmName="SHA-512" hashValue="8nbYC7p6toh07oyCPS+r71dTK/z+3nl2LpHkIeT5DxStZXlFs3RYbLikyYhHV32CGR6F0OQa8Hw8McbK6Sh5cw==" saltValue="RUWwbbZ9A4cX5qQv3VlU+Q==" spinCount="100000" sheet="1" selectLockedCells="1"/>
  <protectedRanges>
    <protectedRange sqref="AG16 AJ16 AM16" name="Område2_2"/>
    <protectedRange password="8B3B" sqref="AG18 AJ18 AM18" name="Område1_2"/>
    <protectedRange sqref="D17 H17:I17 P17:Q17 T17:U17 X17:Y17 L17:M17" name="Område2_2_2"/>
    <protectedRange password="8B3B" sqref="D19 H19:I19 P19:Q19 T19:U19 X19:Y19 L19:M19" name="Område1_2_2"/>
  </protectedRanges>
  <mergeCells count="12">
    <mergeCell ref="P55:R67"/>
    <mergeCell ref="H55:J67"/>
    <mergeCell ref="I1:J1"/>
    <mergeCell ref="T55:V65"/>
    <mergeCell ref="U1:V1"/>
    <mergeCell ref="M1:N1"/>
    <mergeCell ref="L55:N67"/>
    <mergeCell ref="Y1:Z1"/>
    <mergeCell ref="B2:C2"/>
    <mergeCell ref="E1:F1"/>
    <mergeCell ref="B1:C1"/>
    <mergeCell ref="Q1:R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6</vt:i4>
      </vt:variant>
    </vt:vector>
  </HeadingPairs>
  <TitlesOfParts>
    <vt:vector size="21" baseType="lpstr">
      <vt:lpstr>Overordnet prosjektplan</vt:lpstr>
      <vt:lpstr>Hvor kan penger brukes</vt:lpstr>
      <vt:lpstr>Lønnsmatrise</vt:lpstr>
      <vt:lpstr>Sammendrag Prosjektplan</vt:lpstr>
      <vt:lpstr>Sammendrag kontoplan - resultat</vt:lpstr>
      <vt:lpstr>Sammendrag Kontoplan - budsjett</vt:lpstr>
      <vt:lpstr>1 Administrasjon</vt:lpstr>
      <vt:lpstr>2 Ekstern kommunikasjon</vt:lpstr>
      <vt:lpstr>3 Forbundsutvikling</vt:lpstr>
      <vt:lpstr>4. Utvilklingstiltak</vt:lpstr>
      <vt:lpstr>5 Klubbutvikling</vt:lpstr>
      <vt:lpstr>6 Barn og Ungdom</vt:lpstr>
      <vt:lpstr>7 Konkurranse</vt:lpstr>
      <vt:lpstr>8 Eliteaktivitet</vt:lpstr>
      <vt:lpstr>9 Anlegg og infrastruktur</vt:lpstr>
      <vt:lpstr>'1 Administrasjon'!Utskriftsområde</vt:lpstr>
      <vt:lpstr>'2 Ekstern kommunikasjon'!Utskriftsområde</vt:lpstr>
      <vt:lpstr>'3 Forbundsutvikling'!Utskriftsområde</vt:lpstr>
      <vt:lpstr>'4. Utvilklingstiltak'!Utskriftsområde</vt:lpstr>
      <vt:lpstr>'Sammendrag Kontoplan - budsjett'!Utskriftsområde</vt:lpstr>
      <vt:lpstr>'Sammendrag Prosjektplan'!Utskriftsområde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US-SOBA</dc:creator>
  <cp:lastModifiedBy>Bjørn Christian Thode</cp:lastModifiedBy>
  <cp:lastPrinted>2019-03-16T14:19:09Z</cp:lastPrinted>
  <dcterms:created xsi:type="dcterms:W3CDTF">2012-06-05T11:31:12Z</dcterms:created>
  <dcterms:modified xsi:type="dcterms:W3CDTF">2019-03-16T14:20:40Z</dcterms:modified>
</cp:coreProperties>
</file>