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workbookProtection workbookAlgorithmName="SHA-512" workbookHashValue="xPTucsr6ygxrcnY08fNHKxB9UCpbQAX27Lq0lkwfDF+oKffsAOopM0paK+T4uweTyWfgAjXZQ8/2J5v8bdZs9A==" workbookSaltValue="ms4CmrjupM1NDv5Xi7GBMA==" workbookSpinCount="100000" lockStructure="1"/>
  <bookViews>
    <workbookView xWindow="0" yWindow="0" windowWidth="12240" windowHeight="2970" tabRatio="973" activeTab="3"/>
  </bookViews>
  <sheets>
    <sheet name="Overordnet prosjektplan" sheetId="2" r:id="rId1"/>
    <sheet name="Hvor kan penger brukes" sheetId="25" r:id="rId2"/>
    <sheet name="Lønnsmatrise" sheetId="22" r:id="rId3"/>
    <sheet name="Sammendrag Prosjektplan" sheetId="21" r:id="rId4"/>
    <sheet name="Sammendrag Kontoplan" sheetId="24" r:id="rId5"/>
    <sheet name="1 Administrasjon" sheetId="7" r:id="rId6"/>
    <sheet name="2 Ekstern kommunikasjon" sheetId="13" r:id="rId7"/>
    <sheet name="3 Forbundsutvikling" sheetId="14" r:id="rId8"/>
    <sheet name="4. Utvilklingstiltak" sheetId="15" r:id="rId9"/>
    <sheet name="5 Klubbutvikling" sheetId="16" r:id="rId10"/>
    <sheet name="6 Barn og Ungdom" sheetId="17" r:id="rId11"/>
    <sheet name="7 Konkurranse" sheetId="18" r:id="rId12"/>
    <sheet name="8 Eliteaktivitet" sheetId="19" r:id="rId13"/>
    <sheet name="9 Anlegg og infrastruktur" sheetId="20" r:id="rId1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25" l="1"/>
  <c r="AB19" i="18" l="1"/>
  <c r="AN19" i="18" s="1"/>
  <c r="X19" i="18"/>
  <c r="AN4" i="18"/>
  <c r="AN5" i="18"/>
  <c r="AN6" i="18"/>
  <c r="AN7" i="18"/>
  <c r="AN8" i="18"/>
  <c r="AN9" i="18"/>
  <c r="AN10" i="18"/>
  <c r="AN11" i="18"/>
  <c r="AN12" i="18"/>
  <c r="AN13" i="18"/>
  <c r="AN14" i="18"/>
  <c r="AN15" i="18"/>
  <c r="AN16" i="18"/>
  <c r="AN17" i="18"/>
  <c r="AN18" i="18"/>
  <c r="AN20" i="18"/>
  <c r="AN21" i="18"/>
  <c r="AN22" i="18"/>
  <c r="AN23" i="18"/>
  <c r="AN24" i="18"/>
  <c r="AN26" i="18"/>
  <c r="AN27" i="18"/>
  <c r="AN28" i="18"/>
  <c r="AN29" i="18"/>
  <c r="AN30" i="18"/>
  <c r="AN31" i="18"/>
  <c r="AN32" i="18"/>
  <c r="AN33" i="18"/>
  <c r="AN34" i="18"/>
  <c r="AN35" i="18"/>
  <c r="AN36" i="18"/>
  <c r="AN37" i="18"/>
  <c r="AN38" i="18"/>
  <c r="AN39" i="18"/>
  <c r="AN40" i="18"/>
  <c r="AN41" i="18"/>
  <c r="AN42" i="18"/>
  <c r="AN43" i="18"/>
  <c r="AN44" i="18"/>
  <c r="AN45" i="18"/>
  <c r="AN46" i="18"/>
  <c r="AN47" i="18"/>
  <c r="AN48" i="18"/>
  <c r="AN49" i="18"/>
  <c r="AN50" i="18"/>
  <c r="AN51" i="18"/>
  <c r="AN52" i="18"/>
  <c r="AN53" i="18"/>
  <c r="AN54" i="18"/>
  <c r="AN55" i="18"/>
  <c r="AN56" i="18"/>
  <c r="AN57" i="18"/>
  <c r="L26" i="17"/>
  <c r="T20" i="18" l="1"/>
  <c r="T19" i="18"/>
  <c r="P20" i="18"/>
  <c r="P19" i="18"/>
  <c r="L20" i="18"/>
  <c r="L19" i="18"/>
  <c r="AN4" i="17" l="1"/>
  <c r="AN5" i="17"/>
  <c r="AN6" i="17"/>
  <c r="AN7" i="17"/>
  <c r="AN8" i="17"/>
  <c r="AN10" i="17"/>
  <c r="AN17" i="17"/>
  <c r="AN18" i="17"/>
  <c r="AN21" i="17"/>
  <c r="AN22" i="17"/>
  <c r="AN23" i="17"/>
  <c r="AN24" i="17"/>
  <c r="AN25" i="17"/>
  <c r="AN27" i="17"/>
  <c r="AN28" i="17"/>
  <c r="AN29" i="17"/>
  <c r="AN31" i="17"/>
  <c r="AN32" i="17"/>
  <c r="AN33" i="17"/>
  <c r="AN34" i="17"/>
  <c r="AN35" i="17"/>
  <c r="AN38" i="17"/>
  <c r="AN39" i="17"/>
  <c r="AN40" i="17"/>
  <c r="AN41" i="17"/>
  <c r="AN42" i="17"/>
  <c r="AN43" i="17"/>
  <c r="AN45" i="17"/>
  <c r="AN46" i="17"/>
  <c r="AN47" i="17"/>
  <c r="AN48" i="17"/>
  <c r="AN49" i="17"/>
  <c r="AN50" i="17"/>
  <c r="AZ4" i="15"/>
  <c r="AZ5" i="15"/>
  <c r="AZ6" i="15"/>
  <c r="AZ7" i="15"/>
  <c r="AZ8" i="15"/>
  <c r="AZ9" i="15"/>
  <c r="AZ10" i="15"/>
  <c r="AZ17" i="15"/>
  <c r="AZ18" i="15"/>
  <c r="AZ20" i="15"/>
  <c r="AZ22" i="15"/>
  <c r="AZ24" i="15"/>
  <c r="AZ25" i="15"/>
  <c r="AZ26" i="15"/>
  <c r="AZ27" i="15"/>
  <c r="AZ28" i="15"/>
  <c r="AZ29" i="15"/>
  <c r="AZ30" i="15"/>
  <c r="AZ31" i="15"/>
  <c r="AZ32" i="15"/>
  <c r="AZ33" i="15"/>
  <c r="AZ34" i="15"/>
  <c r="AZ35" i="15"/>
  <c r="AZ36" i="15"/>
  <c r="AZ41" i="15"/>
  <c r="AZ42" i="15"/>
  <c r="AZ43" i="15"/>
  <c r="AZ44" i="15"/>
  <c r="AZ46" i="15"/>
  <c r="AZ47" i="15"/>
  <c r="AZ48" i="15"/>
  <c r="AZ49" i="15"/>
  <c r="AZ50" i="15"/>
  <c r="AQ4" i="7"/>
  <c r="AQ5" i="7"/>
  <c r="AQ6" i="7"/>
  <c r="AQ7" i="7"/>
  <c r="AQ8" i="7"/>
  <c r="AQ9" i="7"/>
  <c r="AQ10" i="7"/>
  <c r="AQ11" i="7"/>
  <c r="AQ20" i="7"/>
  <c r="AQ23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7" i="7"/>
  <c r="AQ48" i="7"/>
  <c r="AQ49" i="7"/>
  <c r="AQ50" i="7"/>
  <c r="AQ51" i="7"/>
  <c r="AQ52" i="7"/>
  <c r="AQ53" i="7"/>
  <c r="AQ54" i="7"/>
  <c r="AQ55" i="7"/>
  <c r="AQ56" i="7"/>
  <c r="AQ57" i="7"/>
  <c r="P14" i="19"/>
  <c r="H13" i="19"/>
  <c r="L64" i="22"/>
  <c r="D14" i="17"/>
  <c r="AN14" i="17" s="1"/>
  <c r="D13" i="15"/>
  <c r="AZ13" i="15" s="1"/>
  <c r="R60" i="22"/>
  <c r="R57" i="22"/>
  <c r="R56" i="22"/>
  <c r="P13" i="19" s="1"/>
  <c r="R55" i="22"/>
  <c r="P12" i="19" s="1"/>
  <c r="P60" i="22"/>
  <c r="P57" i="22"/>
  <c r="H14" i="19" s="1"/>
  <c r="P56" i="22"/>
  <c r="P55" i="22"/>
  <c r="H12" i="19" s="1"/>
  <c r="N60" i="22"/>
  <c r="N57" i="22"/>
  <c r="P18" i="18" s="1"/>
  <c r="N56" i="22"/>
  <c r="P17" i="18" s="1"/>
  <c r="N55" i="22"/>
  <c r="P16" i="18" s="1"/>
  <c r="L60" i="22"/>
  <c r="L57" i="22"/>
  <c r="L18" i="18" s="1"/>
  <c r="L56" i="22"/>
  <c r="L17" i="18" s="1"/>
  <c r="L55" i="22"/>
  <c r="L16" i="18" s="1"/>
  <c r="J60" i="22"/>
  <c r="J57" i="22"/>
  <c r="H18" i="18" s="1"/>
  <c r="J56" i="22"/>
  <c r="H17" i="18" s="1"/>
  <c r="H60" i="22"/>
  <c r="H57" i="22"/>
  <c r="H56" i="22"/>
  <c r="D13" i="17" s="1"/>
  <c r="AN13" i="17" s="1"/>
  <c r="F60" i="22"/>
  <c r="F57" i="22"/>
  <c r="D14" i="15" s="1"/>
  <c r="AZ14" i="15" s="1"/>
  <c r="F56" i="22"/>
  <c r="D60" i="22"/>
  <c r="D19" i="7" s="1"/>
  <c r="AQ19" i="7" s="1"/>
  <c r="D57" i="22"/>
  <c r="D15" i="7" s="1"/>
  <c r="AQ15" i="7" s="1"/>
  <c r="D56" i="22"/>
  <c r="D14" i="7" s="1"/>
  <c r="AQ14" i="7" s="1"/>
  <c r="D54" i="18" l="1"/>
  <c r="H16" i="7"/>
  <c r="AQ16" i="7" s="1"/>
  <c r="D6" i="18"/>
  <c r="D5" i="18"/>
  <c r="D4" i="18"/>
  <c r="L37" i="14" l="1"/>
  <c r="L36" i="14"/>
  <c r="L39" i="14"/>
  <c r="D42" i="14"/>
  <c r="D31" i="14"/>
  <c r="L46" i="7"/>
  <c r="AQ46" i="7" s="1"/>
  <c r="T8" i="22"/>
  <c r="T9" i="22"/>
  <c r="T12" i="22"/>
  <c r="T60" i="22" s="1"/>
  <c r="T16" i="22"/>
  <c r="M16" i="22" s="1"/>
  <c r="T17" i="22"/>
  <c r="T18" i="22"/>
  <c r="T23" i="22"/>
  <c r="T24" i="22"/>
  <c r="T25" i="22"/>
  <c r="T30" i="22"/>
  <c r="O30" i="22" s="1"/>
  <c r="T31" i="22"/>
  <c r="T32" i="22"/>
  <c r="T37" i="22"/>
  <c r="T38" i="22"/>
  <c r="T39" i="22"/>
  <c r="T44" i="22"/>
  <c r="T45" i="22"/>
  <c r="T46" i="22"/>
  <c r="N49" i="22"/>
  <c r="N47" i="22"/>
  <c r="N48" i="22" s="1"/>
  <c r="N42" i="22"/>
  <c r="N40" i="22"/>
  <c r="N41" i="22" s="1"/>
  <c r="N35" i="22"/>
  <c r="N33" i="22"/>
  <c r="N34" i="22" s="1"/>
  <c r="N28" i="22"/>
  <c r="N26" i="22"/>
  <c r="N27" i="22" s="1"/>
  <c r="O23" i="22"/>
  <c r="N21" i="22"/>
  <c r="N19" i="22"/>
  <c r="N20" i="22" s="1"/>
  <c r="O16" i="22"/>
  <c r="L49" i="22"/>
  <c r="L47" i="22"/>
  <c r="L48" i="22" s="1"/>
  <c r="L42" i="22"/>
  <c r="L40" i="22"/>
  <c r="L41" i="22" s="1"/>
  <c r="L35" i="22"/>
  <c r="L33" i="22"/>
  <c r="L34" i="22" s="1"/>
  <c r="L28" i="22"/>
  <c r="L26" i="22"/>
  <c r="L27" i="22" s="1"/>
  <c r="L21" i="22"/>
  <c r="L19" i="22"/>
  <c r="L20" i="22" s="1"/>
  <c r="L14" i="22"/>
  <c r="L62" i="22" s="1"/>
  <c r="L26" i="18" s="1"/>
  <c r="L10" i="22"/>
  <c r="P10" i="22"/>
  <c r="P11" i="22" s="1"/>
  <c r="P13" i="22"/>
  <c r="P14" i="22"/>
  <c r="P62" i="22" s="1"/>
  <c r="H20" i="19" s="1"/>
  <c r="P19" i="22"/>
  <c r="P20" i="22" s="1"/>
  <c r="P21" i="22"/>
  <c r="P26" i="22"/>
  <c r="P28" i="22"/>
  <c r="P33" i="22"/>
  <c r="P34" i="22" s="1"/>
  <c r="P35" i="22"/>
  <c r="P40" i="22"/>
  <c r="P41" i="22" s="1"/>
  <c r="P42" i="22"/>
  <c r="P47" i="22"/>
  <c r="P48" i="22"/>
  <c r="P49" i="22"/>
  <c r="R49" i="22"/>
  <c r="J49" i="22"/>
  <c r="H49" i="22"/>
  <c r="F49" i="22"/>
  <c r="D49" i="22"/>
  <c r="R47" i="22"/>
  <c r="R48" i="22" s="1"/>
  <c r="J47" i="22"/>
  <c r="J48" i="22" s="1"/>
  <c r="H47" i="22"/>
  <c r="H48" i="22" s="1"/>
  <c r="F47" i="22"/>
  <c r="F48" i="22" s="1"/>
  <c r="D47" i="22"/>
  <c r="D48" i="22" s="1"/>
  <c r="T57" i="22" l="1"/>
  <c r="M30" i="22"/>
  <c r="T56" i="22"/>
  <c r="P61" i="22"/>
  <c r="H19" i="19" s="1"/>
  <c r="L58" i="22"/>
  <c r="L21" i="18" s="1"/>
  <c r="P27" i="22"/>
  <c r="P59" i="22" s="1"/>
  <c r="H16" i="19" s="1"/>
  <c r="P58" i="22"/>
  <c r="H15" i="19" s="1"/>
  <c r="M23" i="22"/>
  <c r="T49" i="22"/>
  <c r="E37" i="22"/>
  <c r="K44" i="22"/>
  <c r="T48" i="22"/>
  <c r="T47" i="22"/>
  <c r="L11" i="22"/>
  <c r="L59" i="22" s="1"/>
  <c r="L22" i="18" s="1"/>
  <c r="N13" i="22"/>
  <c r="N61" i="22" s="1"/>
  <c r="P25" i="18" s="1"/>
  <c r="N14" i="22"/>
  <c r="N62" i="22" s="1"/>
  <c r="P26" i="18" s="1"/>
  <c r="N10" i="22"/>
  <c r="L13" i="22"/>
  <c r="L61" i="22" s="1"/>
  <c r="L25" i="18" s="1"/>
  <c r="P53" i="22"/>
  <c r="B25" i="25"/>
  <c r="C25" i="25"/>
  <c r="D25" i="25"/>
  <c r="E25" i="25"/>
  <c r="F25" i="25"/>
  <c r="G25" i="25"/>
  <c r="H25" i="25"/>
  <c r="I25" i="25"/>
  <c r="J25" i="25"/>
  <c r="K14" i="25"/>
  <c r="K15" i="25"/>
  <c r="K16" i="25"/>
  <c r="K17" i="25"/>
  <c r="K18" i="25"/>
  <c r="K19" i="25"/>
  <c r="K20" i="25"/>
  <c r="K21" i="25"/>
  <c r="K22" i="25"/>
  <c r="K23" i="25"/>
  <c r="K24" i="25"/>
  <c r="K13" i="25"/>
  <c r="A4" i="25"/>
  <c r="L39" i="19"/>
  <c r="L38" i="19"/>
  <c r="L37" i="19"/>
  <c r="L36" i="19"/>
  <c r="L33" i="19"/>
  <c r="G72" i="21"/>
  <c r="F55" i="21"/>
  <c r="G35" i="21"/>
  <c r="N11" i="22" l="1"/>
  <c r="N59" i="22" s="1"/>
  <c r="P22" i="18" s="1"/>
  <c r="N58" i="22"/>
  <c r="P21" i="18" s="1"/>
  <c r="L53" i="22"/>
  <c r="N53" i="22"/>
  <c r="AR4" i="19"/>
  <c r="AR5" i="19"/>
  <c r="AR6" i="19"/>
  <c r="AR7" i="19"/>
  <c r="AR8" i="19"/>
  <c r="AR9" i="19"/>
  <c r="AR10" i="19"/>
  <c r="AR17" i="19"/>
  <c r="AR18" i="19"/>
  <c r="AR21" i="19"/>
  <c r="AR22" i="19"/>
  <c r="AR23" i="19"/>
  <c r="AR24" i="19"/>
  <c r="AR25" i="19"/>
  <c r="AR27" i="19"/>
  <c r="AR28" i="19"/>
  <c r="AR29" i="19"/>
  <c r="AR30" i="19"/>
  <c r="AR31" i="19"/>
  <c r="AR32" i="19"/>
  <c r="AR33" i="19"/>
  <c r="AR34" i="19"/>
  <c r="AR35" i="19"/>
  <c r="AR36" i="19"/>
  <c r="AR37" i="19"/>
  <c r="AR38" i="19"/>
  <c r="AR39" i="19"/>
  <c r="AR40" i="19"/>
  <c r="AR41" i="19"/>
  <c r="AR42" i="19"/>
  <c r="AR43" i="19"/>
  <c r="AR44" i="19"/>
  <c r="AR45" i="19"/>
  <c r="AR46" i="19"/>
  <c r="AR47" i="19"/>
  <c r="AR48" i="19"/>
  <c r="AR49" i="19"/>
  <c r="AR50" i="19"/>
  <c r="AB25" i="18"/>
  <c r="H8" i="18"/>
  <c r="H32" i="18"/>
  <c r="AN37" i="17"/>
  <c r="AN26" i="17"/>
  <c r="H44" i="17"/>
  <c r="AN44" i="17" s="1"/>
  <c r="H30" i="17"/>
  <c r="AN30" i="17" s="1"/>
  <c r="AN4" i="16"/>
  <c r="AN5" i="16"/>
  <c r="AN6" i="16"/>
  <c r="AN7" i="16"/>
  <c r="AN8" i="16"/>
  <c r="AN9" i="16"/>
  <c r="AN10" i="16"/>
  <c r="AN12" i="16"/>
  <c r="AN13" i="16"/>
  <c r="AN14" i="16"/>
  <c r="AN17" i="16"/>
  <c r="AN18" i="16"/>
  <c r="AN20" i="16"/>
  <c r="AN21" i="16"/>
  <c r="AN22" i="16"/>
  <c r="AN23" i="16"/>
  <c r="AN24" i="16"/>
  <c r="AN25" i="16"/>
  <c r="AN26" i="16"/>
  <c r="AN27" i="16"/>
  <c r="AN28" i="16"/>
  <c r="AN29" i="16"/>
  <c r="AN30" i="16"/>
  <c r="AN31" i="16"/>
  <c r="AN32" i="16"/>
  <c r="AN33" i="16"/>
  <c r="AN34" i="16"/>
  <c r="AN35" i="16"/>
  <c r="AN36" i="16"/>
  <c r="AN37" i="16"/>
  <c r="AN38" i="16"/>
  <c r="AN39" i="16"/>
  <c r="AN40" i="16"/>
  <c r="AN41" i="16"/>
  <c r="AN42" i="16"/>
  <c r="AN43" i="16"/>
  <c r="AN45" i="16"/>
  <c r="AN46" i="16"/>
  <c r="AN47" i="16"/>
  <c r="AN48" i="16"/>
  <c r="AN49" i="16"/>
  <c r="AN50" i="16"/>
  <c r="AF37" i="15"/>
  <c r="AZ37" i="15" s="1"/>
  <c r="T23" i="15"/>
  <c r="X15" i="15"/>
  <c r="Z11" i="15"/>
  <c r="X11" i="15"/>
  <c r="D35" i="21" s="1"/>
  <c r="P40" i="15"/>
  <c r="P23" i="15"/>
  <c r="P45" i="15"/>
  <c r="AZ45" i="15" s="1"/>
  <c r="AB4" i="14"/>
  <c r="AB5" i="14"/>
  <c r="AB6" i="14"/>
  <c r="AB7" i="14"/>
  <c r="AB8" i="14"/>
  <c r="AB10" i="14"/>
  <c r="AB12" i="14"/>
  <c r="AB13" i="14"/>
  <c r="AB14" i="14"/>
  <c r="AB17" i="14"/>
  <c r="AB18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AB50" i="14"/>
  <c r="L9" i="14"/>
  <c r="L11" i="14" s="1"/>
  <c r="D26" i="21" s="1"/>
  <c r="L19" i="14"/>
  <c r="L15" i="14"/>
  <c r="N11" i="14"/>
  <c r="N52" i="14" s="1"/>
  <c r="X4" i="13"/>
  <c r="L44" i="7"/>
  <c r="AQ44" i="7" s="1"/>
  <c r="L43" i="7"/>
  <c r="AQ43" i="7" s="1"/>
  <c r="L45" i="7"/>
  <c r="AQ45" i="7" s="1"/>
  <c r="J7" i="22"/>
  <c r="H7" i="22"/>
  <c r="H55" i="22" s="1"/>
  <c r="D12" i="17" s="1"/>
  <c r="AN12" i="17" s="1"/>
  <c r="F7" i="22"/>
  <c r="D7" i="22"/>
  <c r="D55" i="22" s="1"/>
  <c r="D13" i="7" s="1"/>
  <c r="J14" i="22" l="1"/>
  <c r="J62" i="22" s="1"/>
  <c r="H26" i="18" s="1"/>
  <c r="J55" i="22"/>
  <c r="H16" i="18" s="1"/>
  <c r="AQ13" i="7"/>
  <c r="F14" i="22"/>
  <c r="F62" i="22" s="1"/>
  <c r="D21" i="15" s="1"/>
  <c r="AZ21" i="15" s="1"/>
  <c r="F55" i="22"/>
  <c r="D12" i="15" s="1"/>
  <c r="AB9" i="14"/>
  <c r="AZ23" i="15"/>
  <c r="T7" i="22"/>
  <c r="T55" i="22" s="1"/>
  <c r="H14" i="22"/>
  <c r="H62" i="22" s="1"/>
  <c r="D20" i="17" s="1"/>
  <c r="AN20" i="17" s="1"/>
  <c r="D14" i="22"/>
  <c r="D62" i="22" s="1"/>
  <c r="D22" i="7" s="1"/>
  <c r="AQ22" i="7" s="1"/>
  <c r="X16" i="15"/>
  <c r="X52" i="15" s="1"/>
  <c r="L16" i="14"/>
  <c r="L51" i="14" s="1"/>
  <c r="D25" i="7"/>
  <c r="AQ25" i="7" s="1"/>
  <c r="D24" i="7"/>
  <c r="AQ24" i="7" s="1"/>
  <c r="X53" i="15" l="1"/>
  <c r="E35" i="21"/>
  <c r="F35" i="21" s="1"/>
  <c r="L52" i="14"/>
  <c r="F26" i="21" s="1"/>
  <c r="E26" i="21"/>
  <c r="M7" i="22"/>
  <c r="O7" i="22"/>
  <c r="P51" i="15"/>
  <c r="AZ51" i="15" s="1"/>
  <c r="P39" i="15"/>
  <c r="AZ39" i="15" s="1"/>
  <c r="P12" i="15"/>
  <c r="AZ12" i="15" s="1"/>
  <c r="N51" i="19" l="1"/>
  <c r="N52" i="19" s="1"/>
  <c r="L11" i="19"/>
  <c r="D78" i="21" s="1"/>
  <c r="H26" i="19" l="1"/>
  <c r="AR26" i="19" s="1"/>
  <c r="G75" i="21"/>
  <c r="G84" i="21" l="1"/>
  <c r="X44" i="16"/>
  <c r="T44" i="16"/>
  <c r="P44" i="16"/>
  <c r="T12" i="7"/>
  <c r="X12" i="7"/>
  <c r="AB12" i="7"/>
  <c r="AJ12" i="7"/>
  <c r="D15" i="21" s="1"/>
  <c r="AN12" i="7"/>
  <c r="D16" i="21" s="1"/>
  <c r="AP58" i="7"/>
  <c r="AP59" i="7" s="1"/>
  <c r="G16" i="21" s="1"/>
  <c r="AL58" i="7"/>
  <c r="AL59" i="7" s="1"/>
  <c r="G15" i="21" s="1"/>
  <c r="AN21" i="7"/>
  <c r="AJ21" i="7"/>
  <c r="AN17" i="7"/>
  <c r="AN18" i="7" s="1"/>
  <c r="AJ17" i="7"/>
  <c r="AN44" i="16" l="1"/>
  <c r="AJ18" i="7"/>
  <c r="AJ58" i="7" s="1"/>
  <c r="AN58" i="7"/>
  <c r="E16" i="21" s="1"/>
  <c r="F16" i="21" s="1"/>
  <c r="E15" i="21" l="1"/>
  <c r="F15" i="21" s="1"/>
  <c r="AJ59" i="7"/>
  <c r="AN59" i="7"/>
  <c r="P4" i="18" l="1"/>
  <c r="J59" i="18"/>
  <c r="G66" i="21" s="1"/>
  <c r="Z59" i="18"/>
  <c r="G70" i="21" s="1"/>
  <c r="AL59" i="18"/>
  <c r="D33" i="18"/>
  <c r="L4" i="18"/>
  <c r="M52" i="13"/>
  <c r="Q52" i="13"/>
  <c r="R52" i="13"/>
  <c r="U52" i="13"/>
  <c r="V52" i="13"/>
  <c r="V52" i="14"/>
  <c r="Z52" i="14"/>
  <c r="AT53" i="15"/>
  <c r="G41" i="21" s="1"/>
  <c r="AX53" i="15"/>
  <c r="Z52" i="16"/>
  <c r="G49" i="21" s="1"/>
  <c r="AD52" i="16"/>
  <c r="G50" i="21" s="1"/>
  <c r="AH52" i="16"/>
  <c r="G51" i="21" s="1"/>
  <c r="AL52" i="16"/>
  <c r="AF36" i="17"/>
  <c r="AN36" i="17" s="1"/>
  <c r="AN9" i="17"/>
  <c r="X19" i="17"/>
  <c r="X15" i="17"/>
  <c r="X16" i="17" s="1"/>
  <c r="X11" i="17"/>
  <c r="D60" i="21" s="1"/>
  <c r="T19" i="17"/>
  <c r="T15" i="17"/>
  <c r="T16" i="17" s="1"/>
  <c r="AB40" i="15"/>
  <c r="AZ40" i="15" s="1"/>
  <c r="AB38" i="15"/>
  <c r="AZ38" i="15" s="1"/>
  <c r="D25" i="18" l="1"/>
  <c r="T11" i="17"/>
  <c r="D59" i="21" s="1"/>
  <c r="X51" i="17"/>
  <c r="T51" i="17"/>
  <c r="E59" i="21" s="1"/>
  <c r="X25" i="18"/>
  <c r="F59" i="21" l="1"/>
  <c r="X52" i="17"/>
  <c r="E60" i="21"/>
  <c r="F60" i="21" s="1"/>
  <c r="T52" i="17"/>
  <c r="J8" i="24" l="1"/>
  <c r="J14" i="24"/>
  <c r="J26" i="24"/>
  <c r="J31" i="24"/>
  <c r="I54" i="24"/>
  <c r="H8" i="24"/>
  <c r="H31" i="24"/>
  <c r="G13" i="24"/>
  <c r="C14" i="24"/>
  <c r="C15" i="24"/>
  <c r="L15" i="24" s="1"/>
  <c r="C27" i="24"/>
  <c r="C28" i="24"/>
  <c r="L28" i="24" s="1"/>
  <c r="C32" i="24"/>
  <c r="C33" i="24"/>
  <c r="C37" i="24"/>
  <c r="L37" i="24" s="1"/>
  <c r="C38" i="24"/>
  <c r="C41" i="24"/>
  <c r="C42" i="24"/>
  <c r="L42" i="24" s="1"/>
  <c r="C46" i="24"/>
  <c r="C47" i="24"/>
  <c r="C53" i="24"/>
  <c r="C54" i="24"/>
  <c r="C57" i="24"/>
  <c r="C58" i="24"/>
  <c r="C61" i="24"/>
  <c r="C62" i="24"/>
  <c r="X12" i="20"/>
  <c r="K17" i="24" s="1"/>
  <c r="X13" i="20"/>
  <c r="K18" i="24" s="1"/>
  <c r="X14" i="20"/>
  <c r="K19" i="24" s="1"/>
  <c r="X17" i="20"/>
  <c r="K22" i="24" s="1"/>
  <c r="X18" i="20"/>
  <c r="K23" i="24" s="1"/>
  <c r="X20" i="20"/>
  <c r="K25" i="24" s="1"/>
  <c r="X21" i="20"/>
  <c r="K26" i="24" s="1"/>
  <c r="X22" i="20"/>
  <c r="K27" i="24" s="1"/>
  <c r="X23" i="20"/>
  <c r="K29" i="24" s="1"/>
  <c r="X24" i="20"/>
  <c r="K30" i="24" s="1"/>
  <c r="L30" i="24" s="1"/>
  <c r="X25" i="20"/>
  <c r="K31" i="24" s="1"/>
  <c r="X26" i="20"/>
  <c r="K32" i="24" s="1"/>
  <c r="X27" i="20"/>
  <c r="K33" i="24" s="1"/>
  <c r="X28" i="20"/>
  <c r="K38" i="24" s="1"/>
  <c r="X29" i="20"/>
  <c r="K39" i="24" s="1"/>
  <c r="X30" i="20"/>
  <c r="K40" i="24" s="1"/>
  <c r="X31" i="20"/>
  <c r="K41" i="24" s="1"/>
  <c r="X32" i="20"/>
  <c r="K43" i="24" s="1"/>
  <c r="X33" i="20"/>
  <c r="K44" i="24" s="1"/>
  <c r="X34" i="20"/>
  <c r="K45" i="24" s="1"/>
  <c r="X35" i="20"/>
  <c r="K46" i="24" s="1"/>
  <c r="X36" i="20"/>
  <c r="K47" i="24" s="1"/>
  <c r="X37" i="20"/>
  <c r="K48" i="24" s="1"/>
  <c r="X38" i="20"/>
  <c r="K49" i="24" s="1"/>
  <c r="X39" i="20"/>
  <c r="K50" i="24" s="1"/>
  <c r="X40" i="20"/>
  <c r="K51" i="24" s="1"/>
  <c r="X41" i="20"/>
  <c r="K52" i="24" s="1"/>
  <c r="X42" i="20"/>
  <c r="K53" i="24" s="1"/>
  <c r="X43" i="20"/>
  <c r="K54" i="24" s="1"/>
  <c r="X44" i="20"/>
  <c r="K55" i="24" s="1"/>
  <c r="X45" i="20"/>
  <c r="K56" i="24" s="1"/>
  <c r="X46" i="20"/>
  <c r="K57" i="24" s="1"/>
  <c r="X47" i="20"/>
  <c r="K58" i="24" s="1"/>
  <c r="X48" i="20"/>
  <c r="K59" i="24" s="1"/>
  <c r="X49" i="20"/>
  <c r="K60" i="24" s="1"/>
  <c r="X50" i="20"/>
  <c r="K61" i="24" s="1"/>
  <c r="X51" i="20"/>
  <c r="K62" i="24" s="1"/>
  <c r="X4" i="20"/>
  <c r="K8" i="24" s="1"/>
  <c r="X5" i="20"/>
  <c r="K9" i="24" s="1"/>
  <c r="X6" i="20"/>
  <c r="K10" i="24" s="1"/>
  <c r="X7" i="20"/>
  <c r="K11" i="24" s="1"/>
  <c r="X8" i="20"/>
  <c r="K12" i="24" s="1"/>
  <c r="X9" i="20"/>
  <c r="K13" i="24" s="1"/>
  <c r="X10" i="20"/>
  <c r="K14" i="24" s="1"/>
  <c r="J22" i="24"/>
  <c r="J23" i="24"/>
  <c r="J27" i="24"/>
  <c r="J29" i="24"/>
  <c r="J32" i="24"/>
  <c r="J33" i="24"/>
  <c r="J38" i="24"/>
  <c r="J39" i="24"/>
  <c r="J40" i="24"/>
  <c r="J41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9" i="24"/>
  <c r="J10" i="24"/>
  <c r="J11" i="24"/>
  <c r="J12" i="24"/>
  <c r="J13" i="24"/>
  <c r="I22" i="24"/>
  <c r="I23" i="24"/>
  <c r="I25" i="24"/>
  <c r="I26" i="24"/>
  <c r="I27" i="24"/>
  <c r="I29" i="24"/>
  <c r="I31" i="24"/>
  <c r="I32" i="24"/>
  <c r="I33" i="24"/>
  <c r="I38" i="24"/>
  <c r="I39" i="24"/>
  <c r="I40" i="24"/>
  <c r="I41" i="24"/>
  <c r="I43" i="24"/>
  <c r="I44" i="24"/>
  <c r="I45" i="24"/>
  <c r="I46" i="24"/>
  <c r="I47" i="24"/>
  <c r="I48" i="24"/>
  <c r="I49" i="24"/>
  <c r="I50" i="24"/>
  <c r="I51" i="24"/>
  <c r="I52" i="24"/>
  <c r="I53" i="24"/>
  <c r="I55" i="24"/>
  <c r="I56" i="24"/>
  <c r="I57" i="24"/>
  <c r="I58" i="24"/>
  <c r="I59" i="24"/>
  <c r="I60" i="24"/>
  <c r="I61" i="24"/>
  <c r="I62" i="24"/>
  <c r="I4" i="24"/>
  <c r="L4" i="24" s="1"/>
  <c r="I5" i="24"/>
  <c r="L5" i="24" s="1"/>
  <c r="I6" i="24"/>
  <c r="L6" i="24" s="1"/>
  <c r="I7" i="24"/>
  <c r="L7" i="24" s="1"/>
  <c r="I8" i="24"/>
  <c r="I9" i="24"/>
  <c r="I10" i="24"/>
  <c r="I11" i="24"/>
  <c r="I12" i="24"/>
  <c r="I13" i="24"/>
  <c r="I14" i="24"/>
  <c r="H22" i="24"/>
  <c r="H23" i="24"/>
  <c r="H25" i="24"/>
  <c r="H26" i="24"/>
  <c r="H27" i="24"/>
  <c r="H29" i="24"/>
  <c r="H32" i="24"/>
  <c r="H33" i="24"/>
  <c r="H38" i="24"/>
  <c r="H39" i="24"/>
  <c r="H40" i="24"/>
  <c r="H41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9" i="24"/>
  <c r="H10" i="24"/>
  <c r="H11" i="24"/>
  <c r="H12" i="24"/>
  <c r="H13" i="24"/>
  <c r="H14" i="24"/>
  <c r="G17" i="24"/>
  <c r="G18" i="24"/>
  <c r="G19" i="24"/>
  <c r="G22" i="24"/>
  <c r="G23" i="24"/>
  <c r="G25" i="24"/>
  <c r="G26" i="24"/>
  <c r="G27" i="24"/>
  <c r="G29" i="24"/>
  <c r="G31" i="24"/>
  <c r="G32" i="24"/>
  <c r="G33" i="24"/>
  <c r="G38" i="24"/>
  <c r="G39" i="24"/>
  <c r="G40" i="24"/>
  <c r="G41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8" i="24"/>
  <c r="G9" i="24"/>
  <c r="G10" i="24"/>
  <c r="G11" i="24"/>
  <c r="G12" i="24"/>
  <c r="G14" i="24"/>
  <c r="F22" i="24"/>
  <c r="F23" i="24"/>
  <c r="F25" i="24"/>
  <c r="F26" i="24"/>
  <c r="F27" i="24"/>
  <c r="F29" i="24"/>
  <c r="F31" i="24"/>
  <c r="F32" i="24"/>
  <c r="F33" i="24"/>
  <c r="F38" i="24"/>
  <c r="F39" i="24"/>
  <c r="F40" i="24"/>
  <c r="F41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8" i="24"/>
  <c r="F9" i="24"/>
  <c r="F10" i="24"/>
  <c r="F11" i="24"/>
  <c r="F12" i="24"/>
  <c r="F13" i="24"/>
  <c r="F14" i="24"/>
  <c r="E17" i="24"/>
  <c r="E18" i="24"/>
  <c r="E19" i="24"/>
  <c r="E22" i="24"/>
  <c r="E23" i="24"/>
  <c r="E25" i="24"/>
  <c r="E26" i="24"/>
  <c r="E27" i="24"/>
  <c r="E29" i="24"/>
  <c r="E31" i="24"/>
  <c r="E32" i="24"/>
  <c r="E33" i="24"/>
  <c r="E38" i="24"/>
  <c r="E39" i="24"/>
  <c r="E40" i="24"/>
  <c r="E41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8" i="24"/>
  <c r="E9" i="24"/>
  <c r="E10" i="24"/>
  <c r="E11" i="24"/>
  <c r="E12" i="24"/>
  <c r="E13" i="24"/>
  <c r="E14" i="24"/>
  <c r="X12" i="13"/>
  <c r="D17" i="24" s="1"/>
  <c r="X13" i="13"/>
  <c r="D18" i="24" s="1"/>
  <c r="X14" i="13"/>
  <c r="D19" i="24" s="1"/>
  <c r="X17" i="13"/>
  <c r="D22" i="24" s="1"/>
  <c r="X18" i="13"/>
  <c r="D23" i="24" s="1"/>
  <c r="X20" i="13"/>
  <c r="D25" i="24" s="1"/>
  <c r="X21" i="13"/>
  <c r="D26" i="24" s="1"/>
  <c r="X22" i="13"/>
  <c r="D27" i="24" s="1"/>
  <c r="X23" i="13"/>
  <c r="D29" i="24" s="1"/>
  <c r="X24" i="13"/>
  <c r="D31" i="24" s="1"/>
  <c r="X25" i="13"/>
  <c r="D32" i="24" s="1"/>
  <c r="X26" i="13"/>
  <c r="D33" i="24" s="1"/>
  <c r="X27" i="13"/>
  <c r="D38" i="24" s="1"/>
  <c r="X28" i="13"/>
  <c r="D39" i="24" s="1"/>
  <c r="X29" i="13"/>
  <c r="D40" i="24" s="1"/>
  <c r="X30" i="13"/>
  <c r="D41" i="24" s="1"/>
  <c r="X31" i="13"/>
  <c r="D43" i="24" s="1"/>
  <c r="X32" i="13"/>
  <c r="D44" i="24" s="1"/>
  <c r="X33" i="13"/>
  <c r="D45" i="24" s="1"/>
  <c r="X34" i="13"/>
  <c r="D46" i="24" s="1"/>
  <c r="X35" i="13"/>
  <c r="D47" i="24" s="1"/>
  <c r="X36" i="13"/>
  <c r="D48" i="24" s="1"/>
  <c r="X37" i="13"/>
  <c r="D49" i="24" s="1"/>
  <c r="X38" i="13"/>
  <c r="D50" i="24" s="1"/>
  <c r="X39" i="13"/>
  <c r="D51" i="24" s="1"/>
  <c r="X40" i="13"/>
  <c r="D52" i="24" s="1"/>
  <c r="X41" i="13"/>
  <c r="D53" i="24" s="1"/>
  <c r="X42" i="13"/>
  <c r="D54" i="24" s="1"/>
  <c r="X43" i="13"/>
  <c r="D55" i="24" s="1"/>
  <c r="X44" i="13"/>
  <c r="D56" i="24" s="1"/>
  <c r="X45" i="13"/>
  <c r="D57" i="24" s="1"/>
  <c r="X46" i="13"/>
  <c r="D58" i="24" s="1"/>
  <c r="X47" i="13"/>
  <c r="D59" i="24" s="1"/>
  <c r="X48" i="13"/>
  <c r="D60" i="24" s="1"/>
  <c r="X49" i="13"/>
  <c r="D61" i="24" s="1"/>
  <c r="X50" i="13"/>
  <c r="D62" i="24" s="1"/>
  <c r="D8" i="24"/>
  <c r="X5" i="13"/>
  <c r="D9" i="24" s="1"/>
  <c r="X6" i="13"/>
  <c r="D10" i="24" s="1"/>
  <c r="X7" i="13"/>
  <c r="D11" i="24" s="1"/>
  <c r="X8" i="13"/>
  <c r="D12" i="24" s="1"/>
  <c r="X9" i="13"/>
  <c r="D13" i="24" s="1"/>
  <c r="X10" i="13"/>
  <c r="D14" i="24" s="1"/>
  <c r="C23" i="24"/>
  <c r="C29" i="24"/>
  <c r="C31" i="24"/>
  <c r="C34" i="24"/>
  <c r="L34" i="24" s="1"/>
  <c r="C35" i="24"/>
  <c r="C39" i="24"/>
  <c r="C40" i="24"/>
  <c r="C43" i="24"/>
  <c r="C44" i="24"/>
  <c r="C45" i="24"/>
  <c r="C48" i="24"/>
  <c r="C49" i="24"/>
  <c r="C50" i="24"/>
  <c r="C51" i="24"/>
  <c r="C52" i="24"/>
  <c r="C55" i="24"/>
  <c r="C56" i="24"/>
  <c r="C59" i="24"/>
  <c r="C60" i="24"/>
  <c r="C8" i="24"/>
  <c r="C9" i="24"/>
  <c r="C10" i="24"/>
  <c r="C11" i="24"/>
  <c r="C12" i="24"/>
  <c r="C13" i="24"/>
  <c r="L43" i="24" l="1"/>
  <c r="L10" i="24"/>
  <c r="L61" i="24"/>
  <c r="L46" i="24"/>
  <c r="L9" i="24"/>
  <c r="L55" i="24"/>
  <c r="L57" i="24"/>
  <c r="L48" i="24"/>
  <c r="L49" i="24"/>
  <c r="L13" i="24"/>
  <c r="L51" i="24"/>
  <c r="L60" i="24"/>
  <c r="L40" i="24"/>
  <c r="L54" i="24"/>
  <c r="L58" i="24"/>
  <c r="L52" i="24"/>
  <c r="L45" i="24"/>
  <c r="L29" i="24"/>
  <c r="L23" i="24"/>
  <c r="L11" i="24"/>
  <c r="L59" i="24"/>
  <c r="L53" i="24"/>
  <c r="L47" i="24"/>
  <c r="L41" i="24"/>
  <c r="L39" i="24"/>
  <c r="L27" i="24"/>
  <c r="L14" i="24"/>
  <c r="L8" i="24"/>
  <c r="L33" i="24"/>
  <c r="L32" i="24"/>
  <c r="L62" i="24"/>
  <c r="L56" i="24"/>
  <c r="L50" i="24"/>
  <c r="L44" i="24"/>
  <c r="L38" i="24"/>
  <c r="L31" i="24"/>
  <c r="L12" i="24"/>
  <c r="T15" i="15"/>
  <c r="T16" i="15" s="1"/>
  <c r="V11" i="15"/>
  <c r="T11" i="15"/>
  <c r="D34" i="21" s="1"/>
  <c r="P19" i="15"/>
  <c r="P15" i="15"/>
  <c r="P16" i="15" s="1"/>
  <c r="R53" i="15"/>
  <c r="G36" i="21" s="1"/>
  <c r="P11" i="15"/>
  <c r="D36" i="21" s="1"/>
  <c r="V53" i="15" l="1"/>
  <c r="G34" i="21" s="1"/>
  <c r="T52" i="15"/>
  <c r="E34" i="21" s="1"/>
  <c r="F34" i="21" s="1"/>
  <c r="P52" i="15"/>
  <c r="X11" i="19"/>
  <c r="P11" i="19"/>
  <c r="Q58" i="7"/>
  <c r="R59" i="7"/>
  <c r="G10" i="21" s="1"/>
  <c r="V58" i="7"/>
  <c r="V59" i="7" s="1"/>
  <c r="G11" i="21" s="1"/>
  <c r="W58" i="7"/>
  <c r="Z58" i="7"/>
  <c r="Z59" i="7" s="1"/>
  <c r="G12" i="21" s="1"/>
  <c r="AD58" i="7"/>
  <c r="AD59" i="7" s="1"/>
  <c r="G13" i="21" s="1"/>
  <c r="AH59" i="7"/>
  <c r="G14" i="21" s="1"/>
  <c r="E12" i="21"/>
  <c r="AF12" i="7"/>
  <c r="E12" i="7"/>
  <c r="H12" i="7"/>
  <c r="I12" i="7"/>
  <c r="J12" i="7"/>
  <c r="L12" i="7"/>
  <c r="M12" i="7"/>
  <c r="N12" i="7"/>
  <c r="P12" i="7"/>
  <c r="Q12" i="7"/>
  <c r="U12" i="7"/>
  <c r="Y12" i="7"/>
  <c r="AF17" i="7"/>
  <c r="AF21" i="7"/>
  <c r="AB17" i="7"/>
  <c r="AB18" i="7" s="1"/>
  <c r="AB21" i="7"/>
  <c r="X17" i="7"/>
  <c r="X21" i="7"/>
  <c r="R13" i="22"/>
  <c r="R21" i="22"/>
  <c r="R28" i="22"/>
  <c r="R35" i="22"/>
  <c r="R42" i="22"/>
  <c r="R10" i="22"/>
  <c r="R19" i="22"/>
  <c r="R26" i="22"/>
  <c r="R58" i="22" s="1"/>
  <c r="P15" i="19" s="1"/>
  <c r="R33" i="22"/>
  <c r="R40" i="22"/>
  <c r="D12" i="7"/>
  <c r="D7" i="21" s="1"/>
  <c r="D10" i="22"/>
  <c r="D58" i="22" s="1"/>
  <c r="D17" i="7" s="1"/>
  <c r="D19" i="22"/>
  <c r="D20" i="22" s="1"/>
  <c r="D26" i="22"/>
  <c r="D27" i="22" s="1"/>
  <c r="D33" i="22"/>
  <c r="D34" i="22" s="1"/>
  <c r="D40" i="22"/>
  <c r="D41" i="22" s="1"/>
  <c r="D21" i="22"/>
  <c r="D28" i="22"/>
  <c r="D35" i="22"/>
  <c r="D42" i="22"/>
  <c r="H17" i="7"/>
  <c r="H21" i="7"/>
  <c r="L17" i="7"/>
  <c r="L18" i="7" s="1"/>
  <c r="L21" i="7"/>
  <c r="F28" i="22"/>
  <c r="F10" i="22"/>
  <c r="F19" i="22"/>
  <c r="F20" i="22" s="1"/>
  <c r="F21" i="22"/>
  <c r="F26" i="22"/>
  <c r="F33" i="22"/>
  <c r="F34" i="22" s="1"/>
  <c r="F35" i="22"/>
  <c r="F40" i="22"/>
  <c r="F41" i="22" s="1"/>
  <c r="F42" i="22"/>
  <c r="H10" i="22"/>
  <c r="H13" i="22"/>
  <c r="H26" i="22"/>
  <c r="H28" i="22"/>
  <c r="H33" i="22"/>
  <c r="H34" i="22" s="1"/>
  <c r="H35" i="22"/>
  <c r="H40" i="22"/>
  <c r="H41" i="22" s="1"/>
  <c r="H42" i="22"/>
  <c r="J10" i="22"/>
  <c r="J19" i="22"/>
  <c r="J20" i="22" s="1"/>
  <c r="J21" i="22"/>
  <c r="J26" i="22"/>
  <c r="J27" i="22" s="1"/>
  <c r="J28" i="22"/>
  <c r="J33" i="22"/>
  <c r="J34" i="22" s="1"/>
  <c r="J35" i="22"/>
  <c r="J40" i="22"/>
  <c r="J41" i="22" s="1"/>
  <c r="J42" i="22"/>
  <c r="R14" i="22"/>
  <c r="H11" i="20"/>
  <c r="D86" i="21" s="1"/>
  <c r="H15" i="20"/>
  <c r="H16" i="20" s="1"/>
  <c r="H19" i="20"/>
  <c r="D11" i="20"/>
  <c r="D85" i="21" s="1"/>
  <c r="D15" i="20"/>
  <c r="D16" i="20" s="1"/>
  <c r="D19" i="20"/>
  <c r="H11" i="19"/>
  <c r="D77" i="21" s="1"/>
  <c r="T11" i="19"/>
  <c r="D81" i="21" s="1"/>
  <c r="T15" i="19"/>
  <c r="T16" i="19" s="1"/>
  <c r="T19" i="19"/>
  <c r="X15" i="19"/>
  <c r="X16" i="19" s="1"/>
  <c r="X19" i="19"/>
  <c r="D11" i="19"/>
  <c r="D76" i="21" s="1"/>
  <c r="D51" i="19"/>
  <c r="E76" i="21" s="1"/>
  <c r="H15" i="18"/>
  <c r="D66" i="21" s="1"/>
  <c r="L15" i="18"/>
  <c r="D67" i="21" s="1"/>
  <c r="P15" i="18"/>
  <c r="D68" i="21" s="1"/>
  <c r="T15" i="18"/>
  <c r="D69" i="21" s="1"/>
  <c r="T21" i="18"/>
  <c r="T22" i="18" s="1"/>
  <c r="T25" i="18"/>
  <c r="X15" i="18"/>
  <c r="X21" i="18"/>
  <c r="X22" i="18" s="1"/>
  <c r="AB15" i="18"/>
  <c r="D71" i="21" s="1"/>
  <c r="AB21" i="18"/>
  <c r="AB22" i="18" s="1"/>
  <c r="AF15" i="18"/>
  <c r="AF21" i="18"/>
  <c r="AF22" i="18" s="1"/>
  <c r="AF25" i="18"/>
  <c r="D21" i="18"/>
  <c r="D22" i="18" s="1"/>
  <c r="D58" i="18" s="1"/>
  <c r="E65" i="21" s="1"/>
  <c r="D15" i="18"/>
  <c r="H11" i="17"/>
  <c r="H15" i="17"/>
  <c r="H16" i="17" s="1"/>
  <c r="H19" i="17"/>
  <c r="L11" i="17"/>
  <c r="L15" i="17"/>
  <c r="L16" i="17" s="1"/>
  <c r="L19" i="17"/>
  <c r="P11" i="17"/>
  <c r="P15" i="17"/>
  <c r="P16" i="17" s="1"/>
  <c r="P19" i="17"/>
  <c r="AB11" i="17"/>
  <c r="AB15" i="17"/>
  <c r="AB19" i="17"/>
  <c r="AF11" i="17"/>
  <c r="AF15" i="17"/>
  <c r="AF16" i="17" s="1"/>
  <c r="AF19" i="17"/>
  <c r="D11" i="17"/>
  <c r="H11" i="16"/>
  <c r="H15" i="16"/>
  <c r="H16" i="16" s="1"/>
  <c r="H19" i="16"/>
  <c r="L11" i="16"/>
  <c r="D46" i="21"/>
  <c r="L15" i="16"/>
  <c r="L16" i="16" s="1"/>
  <c r="L19" i="16"/>
  <c r="P11" i="16"/>
  <c r="D47" i="21" s="1"/>
  <c r="P15" i="16"/>
  <c r="P16" i="16" s="1"/>
  <c r="P19" i="16"/>
  <c r="T11" i="16"/>
  <c r="D48" i="21" s="1"/>
  <c r="T15" i="16"/>
  <c r="T16" i="16" s="1"/>
  <c r="T19" i="16"/>
  <c r="X11" i="16"/>
  <c r="D49" i="21" s="1"/>
  <c r="X15" i="16"/>
  <c r="X16" i="16" s="1"/>
  <c r="X19" i="16"/>
  <c r="AB11" i="16"/>
  <c r="D50" i="21" s="1"/>
  <c r="AB15" i="16"/>
  <c r="AB16" i="16" s="1"/>
  <c r="AB19" i="16"/>
  <c r="AB51" i="16" s="1"/>
  <c r="AF15" i="16"/>
  <c r="AF16" i="16" s="1"/>
  <c r="AF19" i="16"/>
  <c r="AF11" i="16"/>
  <c r="D51" i="21" s="1"/>
  <c r="D11" i="16"/>
  <c r="D44" i="21" s="1"/>
  <c r="D15" i="16"/>
  <c r="D19" i="16"/>
  <c r="H11" i="15"/>
  <c r="D32" i="21" s="1"/>
  <c r="H15" i="15"/>
  <c r="H16" i="15" s="1"/>
  <c r="H19" i="15"/>
  <c r="L11" i="15"/>
  <c r="D33" i="21" s="1"/>
  <c r="L15" i="15"/>
  <c r="L19" i="15"/>
  <c r="AB11" i="15"/>
  <c r="D37" i="21" s="1"/>
  <c r="AB15" i="15"/>
  <c r="AB16" i="15" s="1"/>
  <c r="AB19" i="15"/>
  <c r="AF11" i="15"/>
  <c r="D38" i="21" s="1"/>
  <c r="AF15" i="15"/>
  <c r="AF16" i="15" s="1"/>
  <c r="AF19" i="15"/>
  <c r="AJ11" i="15"/>
  <c r="AJ15" i="15"/>
  <c r="AJ16" i="15" s="1"/>
  <c r="AJ19" i="15"/>
  <c r="AN11" i="15"/>
  <c r="D40" i="21" s="1"/>
  <c r="AN15" i="15"/>
  <c r="AN19" i="15"/>
  <c r="D11" i="15"/>
  <c r="D31" i="21" s="1"/>
  <c r="D11" i="14"/>
  <c r="D24" i="21" s="1"/>
  <c r="H11" i="14"/>
  <c r="P11" i="14"/>
  <c r="D27" i="21" s="1"/>
  <c r="D15" i="14"/>
  <c r="D19" i="14"/>
  <c r="H15" i="14"/>
  <c r="H16" i="14" s="1"/>
  <c r="H19" i="14"/>
  <c r="P15" i="14"/>
  <c r="P16" i="14" s="1"/>
  <c r="P19" i="14"/>
  <c r="L11" i="13"/>
  <c r="D21" i="21" s="1"/>
  <c r="H15" i="13"/>
  <c r="H19" i="13"/>
  <c r="H11" i="13"/>
  <c r="D20" i="21" s="1"/>
  <c r="D15" i="13"/>
  <c r="D16" i="13" s="1"/>
  <c r="D19" i="13"/>
  <c r="D11" i="13"/>
  <c r="D19" i="21" s="1"/>
  <c r="L15" i="13"/>
  <c r="L16" i="13" s="1"/>
  <c r="L19" i="13"/>
  <c r="T17" i="7"/>
  <c r="T18" i="7" s="1"/>
  <c r="T21" i="7"/>
  <c r="J11" i="20"/>
  <c r="J53" i="20" s="1"/>
  <c r="F11" i="20"/>
  <c r="F53" i="20" s="1"/>
  <c r="Z51" i="19"/>
  <c r="Z11" i="19"/>
  <c r="V51" i="19"/>
  <c r="V11" i="19"/>
  <c r="V58" i="18"/>
  <c r="V15" i="18"/>
  <c r="R58" i="18"/>
  <c r="R59" i="18" s="1"/>
  <c r="G68" i="21" s="1"/>
  <c r="N59" i="18"/>
  <c r="G67" i="21" s="1"/>
  <c r="AH51" i="17"/>
  <c r="AH11" i="17"/>
  <c r="AD11" i="17"/>
  <c r="AD52" i="17" s="1"/>
  <c r="G61" i="21" s="1"/>
  <c r="AP11" i="15"/>
  <c r="AP53" i="15" s="1"/>
  <c r="G40" i="21" s="1"/>
  <c r="AL52" i="15"/>
  <c r="AL11" i="15"/>
  <c r="AH11" i="15"/>
  <c r="AH52" i="15"/>
  <c r="AD11" i="15"/>
  <c r="AD53" i="15" s="1"/>
  <c r="G37" i="21" s="1"/>
  <c r="J52" i="15"/>
  <c r="J11" i="15"/>
  <c r="F11" i="15"/>
  <c r="F53" i="15" s="1"/>
  <c r="G31" i="21" s="1"/>
  <c r="R11" i="14"/>
  <c r="R52" i="14" s="1"/>
  <c r="J11" i="14"/>
  <c r="J52" i="14" s="1"/>
  <c r="G25" i="21" s="1"/>
  <c r="V11" i="16"/>
  <c r="V52" i="16" s="1"/>
  <c r="G48" i="21" s="1"/>
  <c r="R11" i="16"/>
  <c r="R52" i="16" s="1"/>
  <c r="G47" i="21" s="1"/>
  <c r="J51" i="16"/>
  <c r="J11" i="16"/>
  <c r="F52" i="16"/>
  <c r="G44" i="21" s="1"/>
  <c r="N51" i="16"/>
  <c r="N11" i="15"/>
  <c r="AH58" i="18"/>
  <c r="AH15" i="18"/>
  <c r="R51" i="19"/>
  <c r="R52" i="19" s="1"/>
  <c r="N11" i="16"/>
  <c r="AD15" i="18"/>
  <c r="AD59" i="18" s="1"/>
  <c r="G71" i="21" s="1"/>
  <c r="R11" i="17"/>
  <c r="R51" i="17"/>
  <c r="N51" i="17"/>
  <c r="N11" i="17"/>
  <c r="F11" i="14"/>
  <c r="F51" i="14"/>
  <c r="F59" i="7"/>
  <c r="G7" i="21" s="1"/>
  <c r="J51" i="17"/>
  <c r="F11" i="17"/>
  <c r="F52" i="17" s="1"/>
  <c r="G54" i="21" s="1"/>
  <c r="J11" i="17"/>
  <c r="I52" i="13"/>
  <c r="J51" i="19"/>
  <c r="J52" i="19" s="1"/>
  <c r="F11" i="19"/>
  <c r="F51" i="19"/>
  <c r="N11" i="13"/>
  <c r="N52" i="13" s="1"/>
  <c r="G21" i="21" s="1"/>
  <c r="J52" i="13"/>
  <c r="G20" i="21" s="1"/>
  <c r="F11" i="13"/>
  <c r="AJ21" i="18"/>
  <c r="AJ22" i="18" s="1"/>
  <c r="AJ25" i="18"/>
  <c r="AN25" i="18" s="1"/>
  <c r="AJ15" i="18"/>
  <c r="AJ15" i="17"/>
  <c r="AJ16" i="17" s="1"/>
  <c r="AJ19" i="17"/>
  <c r="AJ11" i="17"/>
  <c r="AJ15" i="16"/>
  <c r="AJ19" i="16"/>
  <c r="AJ11" i="16"/>
  <c r="AV11" i="15"/>
  <c r="AV15" i="15"/>
  <c r="AV16" i="15" s="1"/>
  <c r="AV19" i="15"/>
  <c r="T11" i="14"/>
  <c r="X15" i="14"/>
  <c r="X19" i="14"/>
  <c r="X11" i="14"/>
  <c r="AR15" i="15"/>
  <c r="AR16" i="15" s="1"/>
  <c r="AR19" i="15"/>
  <c r="AR11" i="15"/>
  <c r="D41" i="21" s="1"/>
  <c r="P15" i="13"/>
  <c r="P16" i="13" s="1"/>
  <c r="P19" i="13"/>
  <c r="P11" i="13"/>
  <c r="T15" i="13"/>
  <c r="T19" i="13"/>
  <c r="T11" i="13"/>
  <c r="P17" i="7"/>
  <c r="P18" i="7" s="1"/>
  <c r="P21" i="7"/>
  <c r="T11" i="20"/>
  <c r="P11" i="20"/>
  <c r="L11" i="20"/>
  <c r="L15" i="20"/>
  <c r="L16" i="20" s="1"/>
  <c r="L19" i="20"/>
  <c r="P15" i="20"/>
  <c r="P16" i="20"/>
  <c r="P19" i="20"/>
  <c r="T15" i="20"/>
  <c r="T19" i="20"/>
  <c r="AN15" i="19"/>
  <c r="AN19" i="19"/>
  <c r="AB15" i="19"/>
  <c r="AB16" i="19" s="1"/>
  <c r="AB19" i="19"/>
  <c r="AF15" i="19"/>
  <c r="AF16" i="19" s="1"/>
  <c r="AF19" i="19"/>
  <c r="AJ15" i="19"/>
  <c r="AJ19" i="19"/>
  <c r="Q30" i="22"/>
  <c r="Q16" i="22"/>
  <c r="F59" i="18"/>
  <c r="G65" i="21" s="1"/>
  <c r="V59" i="18" l="1"/>
  <c r="G69" i="21" s="1"/>
  <c r="N52" i="17"/>
  <c r="G57" i="21" s="1"/>
  <c r="F52" i="19"/>
  <c r="J58" i="22"/>
  <c r="H21" i="18" s="1"/>
  <c r="R61" i="22"/>
  <c r="P19" i="19" s="1"/>
  <c r="X18" i="7"/>
  <c r="X58" i="7"/>
  <c r="X59" i="7" s="1"/>
  <c r="AQ17" i="7"/>
  <c r="T14" i="22"/>
  <c r="T62" i="22" s="1"/>
  <c r="R62" i="22"/>
  <c r="P20" i="19" s="1"/>
  <c r="AR20" i="19" s="1"/>
  <c r="J25" i="24" s="1"/>
  <c r="AZ11" i="15"/>
  <c r="AN11" i="17"/>
  <c r="H61" i="22"/>
  <c r="D19" i="17" s="1"/>
  <c r="AN19" i="17" s="1"/>
  <c r="AQ12" i="7"/>
  <c r="AB15" i="14"/>
  <c r="AN11" i="16"/>
  <c r="G16" i="24" s="1"/>
  <c r="F58" i="22"/>
  <c r="D15" i="15" s="1"/>
  <c r="AZ15" i="15" s="1"/>
  <c r="AR11" i="19"/>
  <c r="H27" i="22"/>
  <c r="D58" i="21"/>
  <c r="P51" i="14"/>
  <c r="P52" i="14" s="1"/>
  <c r="F27" i="21" s="1"/>
  <c r="D61" i="21"/>
  <c r="G64" i="21"/>
  <c r="AB11" i="14"/>
  <c r="AN19" i="16"/>
  <c r="L51" i="13"/>
  <c r="E21" i="21" s="1"/>
  <c r="D54" i="21"/>
  <c r="D62" i="21"/>
  <c r="D56" i="21"/>
  <c r="AB19" i="14"/>
  <c r="E24" i="24" s="1"/>
  <c r="AN15" i="16"/>
  <c r="D57" i="21"/>
  <c r="D72" i="21"/>
  <c r="D70" i="21"/>
  <c r="D14" i="21"/>
  <c r="D65" i="21"/>
  <c r="I16" i="24"/>
  <c r="R34" i="22"/>
  <c r="T34" i="22" s="1"/>
  <c r="T33" i="22"/>
  <c r="T42" i="22"/>
  <c r="R27" i="22"/>
  <c r="R59" i="22" s="1"/>
  <c r="P16" i="19" s="1"/>
  <c r="T26" i="22"/>
  <c r="T35" i="22"/>
  <c r="R20" i="22"/>
  <c r="T28" i="22"/>
  <c r="R41" i="22"/>
  <c r="T41" i="22" s="1"/>
  <c r="T40" i="22"/>
  <c r="T10" i="22"/>
  <c r="M37" i="22"/>
  <c r="O37" i="22"/>
  <c r="M44" i="22"/>
  <c r="O44" i="22"/>
  <c r="Q37" i="22"/>
  <c r="Q44" i="22"/>
  <c r="I16" i="22"/>
  <c r="S30" i="22"/>
  <c r="J11" i="22"/>
  <c r="J59" i="22" s="1"/>
  <c r="H22" i="18" s="1"/>
  <c r="D11" i="22"/>
  <c r="D59" i="22" s="1"/>
  <c r="D18" i="7" s="1"/>
  <c r="S44" i="22"/>
  <c r="G44" i="22"/>
  <c r="E44" i="22"/>
  <c r="I44" i="22"/>
  <c r="S37" i="22"/>
  <c r="F11" i="22"/>
  <c r="F18" i="24"/>
  <c r="H19" i="24"/>
  <c r="H18" i="24"/>
  <c r="F19" i="24"/>
  <c r="L51" i="16"/>
  <c r="L52" i="16" s="1"/>
  <c r="AR13" i="19"/>
  <c r="J18" i="24" s="1"/>
  <c r="T51" i="14"/>
  <c r="T52" i="14" s="1"/>
  <c r="G20" i="24"/>
  <c r="Z52" i="19"/>
  <c r="AJ51" i="17"/>
  <c r="AJ52" i="17" s="1"/>
  <c r="AN16" i="19"/>
  <c r="P52" i="20"/>
  <c r="P53" i="20" s="1"/>
  <c r="F52" i="14"/>
  <c r="G24" i="21" s="1"/>
  <c r="G23" i="21" s="1"/>
  <c r="D16" i="14"/>
  <c r="D51" i="14" s="1"/>
  <c r="D52" i="19"/>
  <c r="D80" i="21"/>
  <c r="D75" i="21" s="1"/>
  <c r="J16" i="24"/>
  <c r="J53" i="15"/>
  <c r="G32" i="21" s="1"/>
  <c r="H51" i="16"/>
  <c r="E45" i="21" s="1"/>
  <c r="Q7" i="22"/>
  <c r="X19" i="13"/>
  <c r="D24" i="24" s="1"/>
  <c r="D45" i="21"/>
  <c r="X11" i="20"/>
  <c r="K16" i="24" s="1"/>
  <c r="T16" i="13"/>
  <c r="T51" i="13" s="1"/>
  <c r="X15" i="13"/>
  <c r="D20" i="24" s="1"/>
  <c r="AF58" i="18"/>
  <c r="E72" i="21" s="1"/>
  <c r="X51" i="19"/>
  <c r="E82" i="21" s="1"/>
  <c r="F13" i="22"/>
  <c r="F61" i="22" s="1"/>
  <c r="D19" i="15" s="1"/>
  <c r="AZ19" i="15" s="1"/>
  <c r="AB58" i="7"/>
  <c r="E13" i="21" s="1"/>
  <c r="T16" i="20"/>
  <c r="X16" i="20" s="1"/>
  <c r="K21" i="24" s="1"/>
  <c r="X15" i="20"/>
  <c r="K20" i="24" s="1"/>
  <c r="P51" i="17"/>
  <c r="AF51" i="19"/>
  <c r="AF52" i="19" s="1"/>
  <c r="N52" i="16"/>
  <c r="G46" i="21" s="1"/>
  <c r="AB52" i="15"/>
  <c r="AB53" i="15" s="1"/>
  <c r="X58" i="18"/>
  <c r="X59" i="18" s="1"/>
  <c r="C26" i="24"/>
  <c r="L26" i="24" s="1"/>
  <c r="C16" i="24"/>
  <c r="E30" i="22"/>
  <c r="G30" i="22"/>
  <c r="K37" i="22"/>
  <c r="AB51" i="19"/>
  <c r="AB52" i="19" s="1"/>
  <c r="P58" i="7"/>
  <c r="P59" i="7" s="1"/>
  <c r="G24" i="24"/>
  <c r="J52" i="17"/>
  <c r="G56" i="21" s="1"/>
  <c r="R52" i="17"/>
  <c r="G58" i="21" s="1"/>
  <c r="J52" i="16"/>
  <c r="G45" i="21" s="1"/>
  <c r="V52" i="19"/>
  <c r="AB52" i="16"/>
  <c r="T51" i="16"/>
  <c r="T52" i="16" s="1"/>
  <c r="L51" i="17"/>
  <c r="E57" i="21" s="1"/>
  <c r="T58" i="18"/>
  <c r="E69" i="21" s="1"/>
  <c r="X16" i="14"/>
  <c r="E20" i="24"/>
  <c r="D87" i="21"/>
  <c r="X11" i="13"/>
  <c r="D16" i="24" s="1"/>
  <c r="D39" i="21"/>
  <c r="X19" i="20"/>
  <c r="K24" i="24" s="1"/>
  <c r="AJ16" i="16"/>
  <c r="AL53" i="15"/>
  <c r="G39" i="21" s="1"/>
  <c r="J13" i="22"/>
  <c r="AF18" i="7"/>
  <c r="AQ18" i="7" s="1"/>
  <c r="I35" i="24"/>
  <c r="L35" i="24" s="1"/>
  <c r="F16" i="24"/>
  <c r="AH52" i="17"/>
  <c r="G62" i="21" s="1"/>
  <c r="H51" i="17"/>
  <c r="E56" i="21" s="1"/>
  <c r="AR12" i="19"/>
  <c r="F52" i="13"/>
  <c r="G19" i="21" s="1"/>
  <c r="G18" i="21" s="1"/>
  <c r="J59" i="7"/>
  <c r="G8" i="21" s="1"/>
  <c r="D8" i="21"/>
  <c r="N59" i="7"/>
  <c r="G9" i="21" s="1"/>
  <c r="D10" i="21"/>
  <c r="D12" i="21"/>
  <c r="AH59" i="18"/>
  <c r="D59" i="18"/>
  <c r="G16" i="22"/>
  <c r="K16" i="22"/>
  <c r="S16" i="22"/>
  <c r="T53" i="15"/>
  <c r="P53" i="15"/>
  <c r="E36" i="21"/>
  <c r="F36" i="21" s="1"/>
  <c r="D25" i="21"/>
  <c r="E16" i="24"/>
  <c r="H52" i="15"/>
  <c r="H53" i="15" s="1"/>
  <c r="AV52" i="15"/>
  <c r="AV53" i="15" s="1"/>
  <c r="AH53" i="15"/>
  <c r="G38" i="21" s="1"/>
  <c r="AJ52" i="15"/>
  <c r="AJ53" i="15" s="1"/>
  <c r="N52" i="15"/>
  <c r="N53" i="15" s="1"/>
  <c r="G33" i="21" s="1"/>
  <c r="L16" i="15"/>
  <c r="L52" i="15" s="1"/>
  <c r="AJ16" i="19"/>
  <c r="AJ51" i="19" s="1"/>
  <c r="AJ52" i="19" s="1"/>
  <c r="F65" i="21"/>
  <c r="D82" i="21"/>
  <c r="L52" i="20"/>
  <c r="L53" i="20" s="1"/>
  <c r="E50" i="21"/>
  <c r="H16" i="13"/>
  <c r="H51" i="13" s="1"/>
  <c r="AB16" i="17"/>
  <c r="D52" i="20"/>
  <c r="H52" i="20"/>
  <c r="H19" i="22"/>
  <c r="H20" i="22" s="1"/>
  <c r="F27" i="22"/>
  <c r="F59" i="22" s="1"/>
  <c r="D16" i="15" s="1"/>
  <c r="Q23" i="22"/>
  <c r="H18" i="7"/>
  <c r="H58" i="7" s="1"/>
  <c r="H59" i="7" s="1"/>
  <c r="AB58" i="18"/>
  <c r="L58" i="18"/>
  <c r="T51" i="19"/>
  <c r="H11" i="22"/>
  <c r="AN16" i="15"/>
  <c r="AN52" i="15" s="1"/>
  <c r="AN53" i="15" s="1"/>
  <c r="I37" i="22"/>
  <c r="E16" i="22"/>
  <c r="K30" i="22"/>
  <c r="P51" i="13"/>
  <c r="P52" i="13" s="1"/>
  <c r="AR52" i="15"/>
  <c r="E41" i="21" s="1"/>
  <c r="F41" i="21" s="1"/>
  <c r="H51" i="14"/>
  <c r="H52" i="14" s="1"/>
  <c r="I30" i="22"/>
  <c r="D18" i="21"/>
  <c r="T58" i="7"/>
  <c r="E11" i="21" s="1"/>
  <c r="AF52" i="15"/>
  <c r="P51" i="16"/>
  <c r="P52" i="16" s="1"/>
  <c r="F76" i="21"/>
  <c r="H21" i="22"/>
  <c r="D13" i="21"/>
  <c r="D9" i="21"/>
  <c r="G37" i="22"/>
  <c r="AJ58" i="18"/>
  <c r="AJ59" i="18" s="1"/>
  <c r="D51" i="13"/>
  <c r="D16" i="16"/>
  <c r="D51" i="16" s="1"/>
  <c r="AF51" i="16"/>
  <c r="AF51" i="17"/>
  <c r="E62" i="21" s="1"/>
  <c r="D11" i="21"/>
  <c r="R11" i="22"/>
  <c r="X51" i="16"/>
  <c r="X52" i="16" s="1"/>
  <c r="L58" i="7"/>
  <c r="L59" i="7" s="1"/>
  <c r="X52" i="19" l="1"/>
  <c r="AB59" i="18"/>
  <c r="L52" i="17"/>
  <c r="AZ16" i="15"/>
  <c r="J61" i="22"/>
  <c r="H25" i="18" s="1"/>
  <c r="I24" i="24" s="1"/>
  <c r="D64" i="21"/>
  <c r="F62" i="21"/>
  <c r="D53" i="21"/>
  <c r="H58" i="22"/>
  <c r="D15" i="17" s="1"/>
  <c r="AN15" i="17" s="1"/>
  <c r="H59" i="22"/>
  <c r="D16" i="17" s="1"/>
  <c r="AN16" i="17" s="1"/>
  <c r="D51" i="17"/>
  <c r="G53" i="21"/>
  <c r="G43" i="21"/>
  <c r="G30" i="21"/>
  <c r="D6" i="21"/>
  <c r="F21" i="21"/>
  <c r="G6" i="21"/>
  <c r="F57" i="21"/>
  <c r="E27" i="21"/>
  <c r="E32" i="21"/>
  <c r="F32" i="21" s="1"/>
  <c r="AN16" i="16"/>
  <c r="G21" i="24" s="1"/>
  <c r="T52" i="13"/>
  <c r="X51" i="13"/>
  <c r="D84" i="21"/>
  <c r="P52" i="17"/>
  <c r="E58" i="21"/>
  <c r="F58" i="21" s="1"/>
  <c r="L52" i="13"/>
  <c r="F56" i="21"/>
  <c r="AB16" i="14"/>
  <c r="E21" i="24" s="1"/>
  <c r="L59" i="18"/>
  <c r="E67" i="21"/>
  <c r="AF52" i="16"/>
  <c r="E24" i="21"/>
  <c r="T20" i="22"/>
  <c r="J53" i="22"/>
  <c r="R53" i="22"/>
  <c r="T11" i="22"/>
  <c r="T21" i="22"/>
  <c r="T19" i="22"/>
  <c r="T58" i="22" s="1"/>
  <c r="T27" i="22"/>
  <c r="F53" i="22"/>
  <c r="H53" i="22"/>
  <c r="G23" i="22"/>
  <c r="I19" i="24"/>
  <c r="I18" i="24"/>
  <c r="H17" i="24"/>
  <c r="F20" i="24"/>
  <c r="H24" i="24"/>
  <c r="I21" i="24"/>
  <c r="F24" i="24"/>
  <c r="I17" i="24"/>
  <c r="F17" i="24"/>
  <c r="I20" i="24"/>
  <c r="AR14" i="19"/>
  <c r="J19" i="24" s="1"/>
  <c r="D30" i="21"/>
  <c r="AR53" i="15"/>
  <c r="D52" i="14"/>
  <c r="F24" i="21" s="1"/>
  <c r="E46" i="21"/>
  <c r="E70" i="21"/>
  <c r="F72" i="21"/>
  <c r="E10" i="21"/>
  <c r="AB59" i="7"/>
  <c r="T59" i="18"/>
  <c r="L51" i="19"/>
  <c r="H52" i="16"/>
  <c r="E48" i="21"/>
  <c r="F48" i="21" s="1"/>
  <c r="AF59" i="18"/>
  <c r="P58" i="18"/>
  <c r="AN51" i="19"/>
  <c r="AN52" i="19" s="1"/>
  <c r="E37" i="21"/>
  <c r="F69" i="21"/>
  <c r="D23" i="21"/>
  <c r="J17" i="24"/>
  <c r="X51" i="14"/>
  <c r="X52" i="14" s="1"/>
  <c r="T52" i="20"/>
  <c r="T53" i="20" s="1"/>
  <c r="AJ51" i="16"/>
  <c r="AN51" i="16" s="1"/>
  <c r="C17" i="24"/>
  <c r="C19" i="24"/>
  <c r="I7" i="22"/>
  <c r="G7" i="22"/>
  <c r="E7" i="22"/>
  <c r="S7" i="22"/>
  <c r="D43" i="21"/>
  <c r="AF58" i="7"/>
  <c r="C22" i="24"/>
  <c r="L22" i="24" s="1"/>
  <c r="H52" i="17"/>
  <c r="C18" i="24"/>
  <c r="K7" i="22"/>
  <c r="X16" i="13"/>
  <c r="D21" i="24" s="1"/>
  <c r="F12" i="21"/>
  <c r="F10" i="21"/>
  <c r="F13" i="21"/>
  <c r="F11" i="21"/>
  <c r="T59" i="7"/>
  <c r="E87" i="21"/>
  <c r="AB51" i="17"/>
  <c r="E61" i="21" s="1"/>
  <c r="F61" i="21" s="1"/>
  <c r="H16" i="24"/>
  <c r="E9" i="21"/>
  <c r="F50" i="21"/>
  <c r="E33" i="21"/>
  <c r="F33" i="21" s="1"/>
  <c r="L53" i="15"/>
  <c r="E39" i="21"/>
  <c r="E8" i="21"/>
  <c r="E44" i="21"/>
  <c r="D52" i="16"/>
  <c r="E20" i="21"/>
  <c r="H52" i="13"/>
  <c r="AR15" i="19"/>
  <c r="E38" i="21"/>
  <c r="F38" i="21" s="1"/>
  <c r="AF53" i="15"/>
  <c r="E71" i="21"/>
  <c r="E85" i="21"/>
  <c r="D53" i="20"/>
  <c r="E51" i="21"/>
  <c r="AR19" i="19"/>
  <c r="E25" i="21"/>
  <c r="F25" i="21"/>
  <c r="E49" i="21"/>
  <c r="K23" i="22"/>
  <c r="S23" i="22"/>
  <c r="I23" i="22"/>
  <c r="E23" i="22"/>
  <c r="F82" i="21"/>
  <c r="D52" i="13"/>
  <c r="E19" i="21"/>
  <c r="E40" i="21"/>
  <c r="F40" i="21" s="1"/>
  <c r="E81" i="21"/>
  <c r="T52" i="19"/>
  <c r="AF52" i="17"/>
  <c r="E47" i="21"/>
  <c r="E86" i="21"/>
  <c r="H53" i="20"/>
  <c r="F45" i="21"/>
  <c r="H58" i="18" l="1"/>
  <c r="E43" i="21"/>
  <c r="F11" i="25" s="1"/>
  <c r="G3" i="21"/>
  <c r="AN51" i="17"/>
  <c r="T59" i="22"/>
  <c r="AF59" i="7"/>
  <c r="E23" i="21"/>
  <c r="D11" i="25" s="1"/>
  <c r="AB51" i="14"/>
  <c r="E63" i="24" s="1"/>
  <c r="E64" i="24" s="1"/>
  <c r="P59" i="18"/>
  <c r="E68" i="21"/>
  <c r="H59" i="18"/>
  <c r="C21" i="24"/>
  <c r="H21" i="24"/>
  <c r="F21" i="24"/>
  <c r="H20" i="24"/>
  <c r="L18" i="24"/>
  <c r="E54" i="21"/>
  <c r="E53" i="21" s="1"/>
  <c r="L19" i="24"/>
  <c r="F39" i="21"/>
  <c r="F37" i="21"/>
  <c r="F70" i="21"/>
  <c r="AB52" i="17"/>
  <c r="F46" i="21"/>
  <c r="X52" i="20"/>
  <c r="L52" i="19"/>
  <c r="E78" i="21"/>
  <c r="F78" i="21" s="1"/>
  <c r="J20" i="24"/>
  <c r="J24" i="24"/>
  <c r="L17" i="24"/>
  <c r="C20" i="24"/>
  <c r="E14" i="21"/>
  <c r="D63" i="24"/>
  <c r="D64" i="24" s="1"/>
  <c r="X52" i="13"/>
  <c r="G63" i="24"/>
  <c r="G64" i="24" s="1"/>
  <c r="AJ52" i="16"/>
  <c r="D52" i="15"/>
  <c r="AZ52" i="15" s="1"/>
  <c r="AZ53" i="15" s="1"/>
  <c r="AN52" i="16"/>
  <c r="D3" i="21"/>
  <c r="F67" i="21"/>
  <c r="F87" i="21"/>
  <c r="L16" i="24"/>
  <c r="H51" i="19"/>
  <c r="F9" i="21"/>
  <c r="F47" i="21"/>
  <c r="E18" i="21"/>
  <c r="C11" i="25" s="1"/>
  <c r="F19" i="21"/>
  <c r="E84" i="21"/>
  <c r="J11" i="25" s="1"/>
  <c r="F85" i="21"/>
  <c r="F71" i="21"/>
  <c r="F20" i="21"/>
  <c r="AR16" i="19"/>
  <c r="F44" i="21"/>
  <c r="F86" i="21"/>
  <c r="F81" i="21"/>
  <c r="F51" i="21"/>
  <c r="F49" i="21"/>
  <c r="F8" i="21"/>
  <c r="E66" i="21" l="1"/>
  <c r="AN58" i="18"/>
  <c r="AN59" i="18" s="1"/>
  <c r="E64" i="21"/>
  <c r="H11" i="25" s="1"/>
  <c r="AB52" i="14"/>
  <c r="F63" i="24"/>
  <c r="F64" i="24" s="1"/>
  <c r="F68" i="21"/>
  <c r="D52" i="17"/>
  <c r="AN52" i="17" s="1"/>
  <c r="H63" i="24"/>
  <c r="H64" i="24" s="1"/>
  <c r="X53" i="20"/>
  <c r="K63" i="24"/>
  <c r="K64" i="24" s="1"/>
  <c r="L20" i="24"/>
  <c r="H52" i="19"/>
  <c r="F14" i="21"/>
  <c r="E31" i="21"/>
  <c r="E30" i="21" s="1"/>
  <c r="F30" i="21" s="1"/>
  <c r="D53" i="15"/>
  <c r="J21" i="24"/>
  <c r="L21" i="24" s="1"/>
  <c r="E77" i="21"/>
  <c r="F66" i="21"/>
  <c r="F84" i="21"/>
  <c r="F18" i="21"/>
  <c r="F43" i="21"/>
  <c r="F23" i="21"/>
  <c r="P51" i="19"/>
  <c r="AR51" i="19" s="1"/>
  <c r="G11" i="25"/>
  <c r="F54" i="21"/>
  <c r="I63" i="24" l="1"/>
  <c r="I64" i="24" s="1"/>
  <c r="E11" i="25"/>
  <c r="F31" i="21"/>
  <c r="F77" i="21"/>
  <c r="AR52" i="19"/>
  <c r="J63" i="24"/>
  <c r="F53" i="21"/>
  <c r="F64" i="21"/>
  <c r="E80" i="21"/>
  <c r="E75" i="21" s="1"/>
  <c r="F75" i="21" s="1"/>
  <c r="P52" i="19"/>
  <c r="I11" i="25" l="1"/>
  <c r="J64" i="24"/>
  <c r="F80" i="21"/>
  <c r="D13" i="22" l="1"/>
  <c r="D61" i="22" s="1"/>
  <c r="D21" i="7" s="1"/>
  <c r="AQ21" i="7" l="1"/>
  <c r="D58" i="7"/>
  <c r="AQ58" i="7" s="1"/>
  <c r="AQ59" i="7" s="1"/>
  <c r="D53" i="22"/>
  <c r="T13" i="22"/>
  <c r="T61" i="22" s="1"/>
  <c r="C24" i="24"/>
  <c r="L24" i="24" s="1"/>
  <c r="C25" i="24"/>
  <c r="L25" i="24" s="1"/>
  <c r="T53" i="22" l="1"/>
  <c r="E7" i="21"/>
  <c r="E6" i="21" s="1"/>
  <c r="F6" i="21" s="1"/>
  <c r="D59" i="7" l="1"/>
  <c r="F7" i="21" l="1"/>
  <c r="C63" i="24"/>
  <c r="E3" i="21" l="1"/>
  <c r="B11" i="25"/>
  <c r="K11" i="25" s="1"/>
  <c r="F3" i="21"/>
  <c r="L63" i="24"/>
  <c r="L64" i="24" s="1"/>
  <c r="C64" i="24"/>
  <c r="H6" i="21" l="1"/>
  <c r="H30" i="21"/>
  <c r="H64" i="21"/>
  <c r="H84" i="21"/>
  <c r="H53" i="21"/>
  <c r="H18" i="21"/>
  <c r="H23" i="21"/>
  <c r="H75" i="21"/>
  <c r="H43" i="21"/>
</calcChain>
</file>

<file path=xl/comments1.xml><?xml version="1.0" encoding="utf-8"?>
<comments xmlns="http://schemas.openxmlformats.org/spreadsheetml/2006/main">
  <authors>
    <author>Thode, Bjorn Christian</author>
  </authors>
  <commentList>
    <comment ref="B26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Thode, Bjorn Christian</author>
  </authors>
  <commentList>
    <comment ref="A4" authorId="0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Thode, Bjorn Christian</author>
    <author>Aleksander Nilsen</author>
  </authors>
  <commentList>
    <comment ref="A4" authorId="0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3" authorId="1">
      <text>
        <r>
          <rPr>
            <b/>
            <sz val="9"/>
            <color indexed="81"/>
            <rFont val="Tahoma"/>
            <charset val="1"/>
          </rPr>
          <t>Aleksander Nilsen:</t>
        </r>
        <r>
          <rPr>
            <sz val="9"/>
            <color indexed="81"/>
            <rFont val="Tahoma"/>
            <charset val="1"/>
          </rPr>
          <t xml:space="preserve">
Alek
Bendik
TBK
Sjurd
Noel
Stig
NHH?
</t>
        </r>
      </text>
    </comment>
    <comment ref="L44" authorId="1">
      <text>
        <r>
          <rPr>
            <b/>
            <sz val="9"/>
            <color indexed="81"/>
            <rFont val="Tahoma"/>
            <charset val="1"/>
          </rPr>
          <t>Aleksander Nilsen:</t>
        </r>
        <r>
          <rPr>
            <sz val="9"/>
            <color indexed="81"/>
            <rFont val="Tahoma"/>
            <charset val="1"/>
          </rPr>
          <t xml:space="preserve">
Alek
bendik
TBK
Sjurd
Stig
Noel
Andy
Henrik
Mari
</t>
        </r>
      </text>
    </comment>
  </commentList>
</comments>
</file>

<file path=xl/comments3.xml><?xml version="1.0" encoding="utf-8"?>
<comments xmlns="http://schemas.openxmlformats.org/spreadsheetml/2006/main">
  <authors>
    <author>Thode, Bjorn Christian</author>
  </authors>
  <commentList>
    <comment ref="A4" authorId="0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Thode, Bjorn Christian</author>
    <author>Bjørn Christian Thode</author>
  </authors>
  <commentList>
    <comment ref="A4" authorId="0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6" authorId="1">
      <text>
        <r>
          <rPr>
            <b/>
            <sz val="9"/>
            <color indexed="81"/>
            <rFont val="Tahoma"/>
            <charset val="1"/>
          </rPr>
          <t xml:space="preserve">Resultat CEB/ESF-kongress 2017
</t>
        </r>
        <r>
          <rPr>
            <sz val="9"/>
            <color indexed="81"/>
            <rFont val="Tahoma"/>
            <family val="2"/>
          </rPr>
          <t xml:space="preserve">7100: kr 420,-
7110: kr 9 307,-
7141: kr 4 241,25
7145: kr 1 411,20
</t>
        </r>
        <r>
          <rPr>
            <u/>
            <sz val="9"/>
            <color indexed="81"/>
            <rFont val="Tahoma"/>
            <family val="2"/>
          </rPr>
          <t>7162: kr 511,43</t>
        </r>
        <r>
          <rPr>
            <sz val="9"/>
            <color indexed="81"/>
            <rFont val="Tahoma"/>
            <family val="2"/>
          </rPr>
          <t xml:space="preserve">
Totalt kr 15 890,88</t>
        </r>
      </text>
    </comment>
  </commentList>
</comments>
</file>

<file path=xl/comments5.xml><?xml version="1.0" encoding="utf-8"?>
<comments xmlns="http://schemas.openxmlformats.org/spreadsheetml/2006/main">
  <authors>
    <author>Thode, Bjorn Christian</author>
  </authors>
  <commentList>
    <comment ref="A4" authorId="0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Thode, Bjorn Christian</author>
  </authors>
  <commentList>
    <comment ref="A4" authorId="0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Thode, Bjorn Christian</author>
  </authors>
  <commentList>
    <comment ref="A4" authorId="0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Thode, Bjorn Christian</author>
  </authors>
  <commentList>
    <comment ref="A4" authorId="0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12"/>
            <color indexed="81"/>
            <rFont val="Tahoma"/>
            <family val="2"/>
          </rPr>
          <t>HUSK Å LEGGE TIL FRAKTKOSTNADER VED KJØP AV UTSTYR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Thode, Bjorn Christian</author>
  </authors>
  <commentList>
    <comment ref="A4" authorId="0">
      <text>
        <r>
          <rPr>
            <b/>
            <sz val="12"/>
            <color indexed="81"/>
            <rFont val="Tahoma"/>
            <family val="2"/>
          </rPr>
          <t>INNTEKTER FØRES SOM "MINUS"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</rPr>
          <t>UTGIFTER FØRES SOM "PLUSS"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12"/>
            <color indexed="81"/>
            <rFont val="Tahoma"/>
            <family val="2"/>
          </rPr>
          <t>VED KJØP AV UTSTYR O.L. FRA UTLANDET, HUSK Å BEREGNE TOLL (F.EKS. 10 % PÅ KLÆR), 25 % MVA, OG SPEDISJONSKOSTNAD. HUSK OGSÅ Å BEREGNE 25 % MVA PÅ FRAKTKOSTNADER.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<sst xmlns="http://schemas.openxmlformats.org/spreadsheetml/2006/main" count="1379" uniqueCount="350">
  <si>
    <t>Konto</t>
  </si>
  <si>
    <t>Administrasjon</t>
  </si>
  <si>
    <t>Spillerutstyr</t>
  </si>
  <si>
    <t>Salg utstyr</t>
  </si>
  <si>
    <t>Sponsorinntekter</t>
  </si>
  <si>
    <t>Andre tilskudd</t>
  </si>
  <si>
    <t>Rammetilskudd NIF</t>
  </si>
  <si>
    <t>Seminarer etc</t>
  </si>
  <si>
    <t>Egenandeler</t>
  </si>
  <si>
    <t>Annen inntekt</t>
  </si>
  <si>
    <t>Lønn til ansatte</t>
  </si>
  <si>
    <t>Diverse lønn</t>
  </si>
  <si>
    <t>Honorar inkl. feriepenger</t>
  </si>
  <si>
    <t>Feriepenger beregnet</t>
  </si>
  <si>
    <t>Arbeidsgiveravgift påløpte feriepenger</t>
  </si>
  <si>
    <t>Mobiltelefon (regnskap)</t>
  </si>
  <si>
    <t>Fri telefon</t>
  </si>
  <si>
    <t>Andre personalkostnader</t>
  </si>
  <si>
    <t>Leie lokaler</t>
  </si>
  <si>
    <t>Leie transportmidler</t>
  </si>
  <si>
    <t>Driftsmateriale</t>
  </si>
  <si>
    <t>Rekvisita</t>
  </si>
  <si>
    <t>Kontorrekvisita</t>
  </si>
  <si>
    <t>Kopiering/trykking/trykksaker</t>
  </si>
  <si>
    <t>Aviser og tidsskrifter, bøker o l</t>
  </si>
  <si>
    <t>Møte, kurs, oppdatering o l</t>
  </si>
  <si>
    <t>Internett/IT</t>
  </si>
  <si>
    <t>Drivstoff</t>
  </si>
  <si>
    <t>KM-godtgjørelse, oppgavepliktig</t>
  </si>
  <si>
    <t>Passasjertillegg, oppgavepliktig</t>
  </si>
  <si>
    <t>Flyreiser</t>
  </si>
  <si>
    <t>Hotell</t>
  </si>
  <si>
    <t>Andre reisekostnader</t>
  </si>
  <si>
    <t>Bespisning</t>
  </si>
  <si>
    <t>Markedsføringskostnad</t>
  </si>
  <si>
    <t>Representasjon</t>
  </si>
  <si>
    <t>Kontingenter</t>
  </si>
  <si>
    <t>Deltakeravgift</t>
  </si>
  <si>
    <t>Tilskudd idrettslag</t>
  </si>
  <si>
    <t>Gaver/premier</t>
  </si>
  <si>
    <t>Baneutviklingskostnader</t>
  </si>
  <si>
    <t>Forsikringspremie</t>
  </si>
  <si>
    <t>Øredifferanser*</t>
  </si>
  <si>
    <t>Bank og kortgebyrer</t>
  </si>
  <si>
    <t>Andre gebyrer</t>
  </si>
  <si>
    <t>Inntekter</t>
  </si>
  <si>
    <t>Utgifter</t>
  </si>
  <si>
    <t>Kontonavn</t>
  </si>
  <si>
    <t>Arbeidsgiveravgift 14,1 %</t>
  </si>
  <si>
    <t>Porto/fraktkostnader</t>
  </si>
  <si>
    <t>Toll, MVA og spedisjonskostnad</t>
  </si>
  <si>
    <t>Resultat (+ = underskudd / - = overskudd)</t>
  </si>
  <si>
    <t>TOTALSUM</t>
  </si>
  <si>
    <t>Generelt</t>
  </si>
  <si>
    <t>Styremøter</t>
  </si>
  <si>
    <t>Generalforsamling</t>
  </si>
  <si>
    <t>Markedstiltak</t>
  </si>
  <si>
    <t>Utviklingsrettet styrearbeid</t>
  </si>
  <si>
    <t>Spillerutvikling</t>
  </si>
  <si>
    <t>Trenerutvikling</t>
  </si>
  <si>
    <t>Dommerutvikling</t>
  </si>
  <si>
    <t>Scorekeeperutvikling</t>
  </si>
  <si>
    <t>Støtteordninger</t>
  </si>
  <si>
    <t>Oppstartsstøtte til klubber</t>
  </si>
  <si>
    <t>Søknader fra klubber</t>
  </si>
  <si>
    <t>Baseball camps</t>
  </si>
  <si>
    <t>Reisestøtte</t>
  </si>
  <si>
    <t>Treningssamlinger</t>
  </si>
  <si>
    <t>Turnering</t>
  </si>
  <si>
    <t>Støtte til anlegg</t>
  </si>
  <si>
    <t>Kommentar</t>
  </si>
  <si>
    <t>Busjett2016</t>
  </si>
  <si>
    <t>Resultat 2015</t>
  </si>
  <si>
    <t>SUM INTEKTER</t>
  </si>
  <si>
    <t>SUM UTGIFTER</t>
  </si>
  <si>
    <t xml:space="preserve"> = celler som IKKe skal fylls inn</t>
  </si>
  <si>
    <t xml:space="preserve"> = celler som skal fylles inn</t>
  </si>
  <si>
    <t>Klubb kostnader</t>
  </si>
  <si>
    <t>Barn og Ungdommskomiteen</t>
  </si>
  <si>
    <t>Utstyrsstøtte</t>
  </si>
  <si>
    <t>Skole/SFO besøk</t>
  </si>
  <si>
    <t>Felles konkuransekostnader</t>
  </si>
  <si>
    <t>Norgs Baseball Akademi</t>
  </si>
  <si>
    <t>Generell Landslag</t>
  </si>
  <si>
    <t>1xxxx</t>
  </si>
  <si>
    <t>Generell</t>
  </si>
  <si>
    <t>2xxxx</t>
  </si>
  <si>
    <t>Ekstern kommunikasjon</t>
  </si>
  <si>
    <t>Lagledermøte</t>
  </si>
  <si>
    <t>3xxxx</t>
  </si>
  <si>
    <t>Forbundsutvikling</t>
  </si>
  <si>
    <t>4xxxx</t>
  </si>
  <si>
    <t>Rekruteringstiltk</t>
  </si>
  <si>
    <t>Utviklingstiltak</t>
  </si>
  <si>
    <t>5xxxx</t>
  </si>
  <si>
    <t>Klubbutvikling</t>
  </si>
  <si>
    <t>Klubbkostnader</t>
  </si>
  <si>
    <t>6xxxx</t>
  </si>
  <si>
    <t>Barn og Ungdom</t>
  </si>
  <si>
    <t>Barn og ungdommskomiteen</t>
  </si>
  <si>
    <t>Utstyrsstøte</t>
  </si>
  <si>
    <t>7xxxx</t>
  </si>
  <si>
    <t>Konkuranse</t>
  </si>
  <si>
    <t>8xxxx</t>
  </si>
  <si>
    <t>9xxxx</t>
  </si>
  <si>
    <t>Elite</t>
  </si>
  <si>
    <t xml:space="preserve"> Anlegg og infrastruktur </t>
  </si>
  <si>
    <t>Norges Baseball akaemi</t>
  </si>
  <si>
    <t>Markedtiltakk</t>
  </si>
  <si>
    <t>Prosjekt nr.</t>
  </si>
  <si>
    <t>Prosjekt navn</t>
  </si>
  <si>
    <t xml:space="preserve">Hoved </t>
  </si>
  <si>
    <t>NSBF Total</t>
  </si>
  <si>
    <t>ANSATT</t>
  </si>
  <si>
    <t>THODE, Bjørn Chistian</t>
  </si>
  <si>
    <t>JOHNSON, Andy</t>
  </si>
  <si>
    <t>WEBER, Hans Fabian</t>
  </si>
  <si>
    <t>BACH, Brian</t>
  </si>
  <si>
    <t>SMITH, Noel W.</t>
  </si>
  <si>
    <t>Utvilingstiltak</t>
  </si>
  <si>
    <t>Barn og ung</t>
  </si>
  <si>
    <t>Norges baseball Akademi</t>
  </si>
  <si>
    <t>Landslag generell</t>
  </si>
  <si>
    <t>kr</t>
  </si>
  <si>
    <t>Konto Navn</t>
  </si>
  <si>
    <t>TOTAL Ansatt</t>
  </si>
  <si>
    <t>Prosent ansatt total</t>
  </si>
  <si>
    <t xml:space="preserve">TOTAL PROSJEKT </t>
  </si>
  <si>
    <t>510xx</t>
  </si>
  <si>
    <t>Spesifikk klubbkostnader</t>
  </si>
  <si>
    <t>NMB</t>
  </si>
  <si>
    <t>YBC</t>
  </si>
  <si>
    <t>Little League</t>
  </si>
  <si>
    <t>WBC</t>
  </si>
  <si>
    <t>Little league</t>
  </si>
  <si>
    <t>Konkurranse</t>
  </si>
  <si>
    <t>Total lønn</t>
  </si>
  <si>
    <t>Lotteri- og bingoinnteker</t>
  </si>
  <si>
    <t>VOX-midler</t>
  </si>
  <si>
    <t>Felleskostnader kontor</t>
  </si>
  <si>
    <t>Revisjonshonorar</t>
  </si>
  <si>
    <t>Regnskapshonorar</t>
  </si>
  <si>
    <t>Juridisk bistand</t>
  </si>
  <si>
    <t>Telefon</t>
  </si>
  <si>
    <t>DEB</t>
  </si>
  <si>
    <t>Frakt bat-cage</t>
  </si>
  <si>
    <t>Post 3</t>
  </si>
  <si>
    <t>Lønnsjusteringskonto</t>
  </si>
  <si>
    <t>Klubbkontigenter</t>
  </si>
  <si>
    <t>Serie avgift</t>
  </si>
  <si>
    <t>Spillerlisense</t>
  </si>
  <si>
    <t>Spiller lisens utvidet</t>
  </si>
  <si>
    <t>Utgiftsførte anleggsmidler</t>
  </si>
  <si>
    <t>Kurs BGO/TRD</t>
  </si>
  <si>
    <t>CEB congress og styrets arbeid med langsiktig planlegging</t>
  </si>
  <si>
    <t>Dommerkostnader</t>
  </si>
  <si>
    <t>Andre peronsalkostnader</t>
  </si>
  <si>
    <t>Elektronisk kommunikasjon</t>
  </si>
  <si>
    <t>Hodestøtte for aktive barn og ungdommer</t>
  </si>
  <si>
    <t>Hodestøtte for Softballmedlemmer</t>
  </si>
  <si>
    <t>Hodestøtte aktive barn og ungdommer</t>
  </si>
  <si>
    <t>Hødestøtte Softball medlemmer</t>
  </si>
  <si>
    <t>Reisestøtte konkuranse</t>
  </si>
  <si>
    <t>Resiestøtte konkuranse</t>
  </si>
  <si>
    <t>Diverse søknader</t>
  </si>
  <si>
    <t>Anleggssatsing, kan søkes på</t>
  </si>
  <si>
    <t>school outreach</t>
  </si>
  <si>
    <t>Leie av innedørshall</t>
  </si>
  <si>
    <t>balller</t>
  </si>
  <si>
    <t>Congress</t>
  </si>
  <si>
    <t>5000kr til CEB congress 2000kr til andre tiltak</t>
  </si>
  <si>
    <t>Facebook og internett reklamering</t>
  </si>
  <si>
    <t>Utgift i % av totale Utgifter</t>
  </si>
  <si>
    <t>Generell admin. Det meste av BC sn lønn samt verktøy BC trenger for å gjøre hans jobb.</t>
  </si>
  <si>
    <t>DEB og nettsider.</t>
  </si>
  <si>
    <t>drift av web</t>
  </si>
  <si>
    <t>Oppblåsbar batting cage frakt til arrangement</t>
  </si>
  <si>
    <t>Inn og ut av spillemidler</t>
  </si>
  <si>
    <t>Hodestøtte  for barn og ungdommer: som annonsert på nettsidenen</t>
  </si>
  <si>
    <t>Hodestøtte  for softballmedlemmer. som annonsert på nettsidenen</t>
  </si>
  <si>
    <t>Er dette reelt</t>
  </si>
  <si>
    <t xml:space="preserve">Diverse søknader fra klubber </t>
  </si>
  <si>
    <t xml:space="preserve">Trenere til skole besøk </t>
  </si>
  <si>
    <t>Støtte til klubber til drifting av baseball camps</t>
  </si>
  <si>
    <t>utstyr til barnelag kan søkes gjennom klubbutvikling også.</t>
  </si>
  <si>
    <t>Noel sine utgifter</t>
  </si>
  <si>
    <t>deltagelsesstøtte</t>
  </si>
  <si>
    <t>Administrasjon og inntektsposter</t>
  </si>
  <si>
    <t>Utviklingsorientert barne- og ungdomsidrett</t>
  </si>
  <si>
    <t>Bingo</t>
  </si>
  <si>
    <t>rammentilskudd</t>
  </si>
  <si>
    <t>Rammetilskudd</t>
  </si>
  <si>
    <t>VOX midler</t>
  </si>
  <si>
    <t>NSBF-anlegg</t>
  </si>
  <si>
    <t>Norwegian Coaches Clinic</t>
  </si>
  <si>
    <t>Trener 1 kurs</t>
  </si>
  <si>
    <t>1XXXX</t>
  </si>
  <si>
    <t>2XXXX</t>
  </si>
  <si>
    <t>3XXXX</t>
  </si>
  <si>
    <t>4XXXX</t>
  </si>
  <si>
    <t>5XXXX</t>
  </si>
  <si>
    <t>6XXXX</t>
  </si>
  <si>
    <t>8XXXX</t>
  </si>
  <si>
    <t>9XXXX</t>
  </si>
  <si>
    <t>7XXXX</t>
  </si>
  <si>
    <t>INTEKTER</t>
  </si>
  <si>
    <t>TOTAL</t>
  </si>
  <si>
    <t>BINGO</t>
  </si>
  <si>
    <t>VOX</t>
  </si>
  <si>
    <t>Moms komp</t>
  </si>
  <si>
    <t>Finans</t>
  </si>
  <si>
    <t>sponsor</t>
  </si>
  <si>
    <t>UTGIFTER</t>
  </si>
  <si>
    <t>JA</t>
  </si>
  <si>
    <t>BANK RESERVER</t>
  </si>
  <si>
    <t>Denne oversikt over vise totalt de forskjellige inntektskildene våre</t>
  </si>
  <si>
    <t>Tabellen over viser hvor vi har lov å bruke pengene fra de forskjellige inntektskildene.</t>
  </si>
  <si>
    <t>Busjett2017</t>
  </si>
  <si>
    <t>Resultat 2016</t>
  </si>
  <si>
    <t>10000kr til CEB Congress. 5000kr til andre Styretiltak</t>
  </si>
  <si>
    <t>Kurs BGO/TRD/OSLO?</t>
  </si>
  <si>
    <t>NOEL CAR</t>
  </si>
  <si>
    <t>Noel til Kongsberg og Portugal</t>
  </si>
  <si>
    <t>Noel Portugal</t>
  </si>
  <si>
    <t>Noel på kurs I Portugal, Noel holder kurs I STV og KNSBRG</t>
  </si>
  <si>
    <t>SETTER av penger til umpire kurs</t>
  </si>
  <si>
    <t>Reisestøtte som annonsert på hjemmesiden. Forbundserie får støtte også?</t>
  </si>
  <si>
    <t>Trondheim Kids Camp</t>
  </si>
  <si>
    <t>*hjelmer, hansker og bats      ** Nets, screen and batting tees</t>
  </si>
  <si>
    <t>utstyr som brukes av trener som besøker skoler. Pluss kompentasjon av tid for trenere</t>
  </si>
  <si>
    <t>20 spillere fraktes med fly</t>
  </si>
  <si>
    <t>5 lag a 2500kr</t>
  </si>
  <si>
    <t>Eliteserien</t>
  </si>
  <si>
    <t>Forbundsserien</t>
  </si>
  <si>
    <t>5 lag a 2500kr*</t>
  </si>
  <si>
    <t>* noen lag slipper klubbkontigent og seriekontigent</t>
  </si>
  <si>
    <t>Noenplaner omdette I BUK?</t>
  </si>
  <si>
    <t>Ingen WBC i 2017</t>
  </si>
  <si>
    <t>Planner og kostnader?</t>
  </si>
  <si>
    <t>NBO Trondheim</t>
  </si>
  <si>
    <t>baller</t>
  </si>
  <si>
    <t>Budsjettert Resultat 2017</t>
  </si>
  <si>
    <t>Forbundsserie</t>
  </si>
  <si>
    <t>Eliteserie</t>
  </si>
  <si>
    <t>Kids camp Triondheim</t>
  </si>
  <si>
    <t>MVA kompensasjon</t>
  </si>
  <si>
    <t>Tilskudd- Spillemidler til utstyr</t>
  </si>
  <si>
    <t>Funksjonshemmde</t>
  </si>
  <si>
    <t>NOE PLANLAGT HER?</t>
  </si>
  <si>
    <t>Funksjonshmmende</t>
  </si>
  <si>
    <t>30 nye barn</t>
  </si>
  <si>
    <t>20 nye softball medlemmer</t>
  </si>
  <si>
    <t>2000kr*12 lag</t>
  </si>
  <si>
    <t>Starter-kits</t>
  </si>
  <si>
    <t>Lønn mangler</t>
  </si>
  <si>
    <t>Norges Baseballakademi - treningssamlinger</t>
  </si>
  <si>
    <t>Norges Baseballakademi - turneringer</t>
  </si>
  <si>
    <t>Norges Baseballakademi - generell</t>
  </si>
  <si>
    <t>Landslag baseball - generell</t>
  </si>
  <si>
    <t>Landslag baseball - treningssamlinger</t>
  </si>
  <si>
    <t>Landslag baseball - turneringer</t>
  </si>
  <si>
    <t>Ingen planlagte spiller utviklingstiltak I 20167</t>
  </si>
  <si>
    <t>Dette er den Inputen  fra BUK</t>
  </si>
  <si>
    <t>Post 2 - Grunntilskudd</t>
  </si>
  <si>
    <t>Post 2 - Utviklingsorientert ungdomsidrett</t>
  </si>
  <si>
    <t>Trenerløypa - Trener 1</t>
  </si>
  <si>
    <t>Forbundsgenerelle Sponsorinntekter</t>
  </si>
  <si>
    <t>Rekruteringstiltak</t>
  </si>
  <si>
    <t>Oslo Summer Camp</t>
  </si>
  <si>
    <t>Se under</t>
  </si>
  <si>
    <t>Norgs Baseball Akademi - Treningssamlinger</t>
  </si>
  <si>
    <t>NIF IT</t>
  </si>
  <si>
    <t>Norwegian Coaches clinic: Tall er oppdatert per 28. februar 2017. Vil endres med ca. 10 000,- når flere klubber søker om refusjon av deltakeravgiften. Refusjon av deltakeravgift for NBA og NNT vil bli ført mot 80000</t>
  </si>
  <si>
    <t>Post 2 midler</t>
  </si>
  <si>
    <t>Post 3 Utv. Or barn og ungdom</t>
  </si>
  <si>
    <t>2 biler fra KRS OSL</t>
  </si>
  <si>
    <t>T-bane og flybuss</t>
  </si>
  <si>
    <t>7 deltagere får dekke fly reiser</t>
  </si>
  <si>
    <t>10 deltagere får dekket hotell</t>
  </si>
  <si>
    <t>30 pers a 100 kr</t>
  </si>
  <si>
    <t>8 deltagere får dekke fly reiser</t>
  </si>
  <si>
    <t>10 deltagere får dekket hotel</t>
  </si>
  <si>
    <t>bilerfraKRS</t>
  </si>
  <si>
    <t>Trenerløypa - Trener 2</t>
  </si>
  <si>
    <t>Modul 1 og 2</t>
  </si>
  <si>
    <t>Budsjettert fra BUK</t>
  </si>
  <si>
    <t>Noel car</t>
  </si>
  <si>
    <t xml:space="preserve"> = celler som IKKE skal fylls inn</t>
  </si>
  <si>
    <t>NIF klubbutvilkingskurs</t>
  </si>
  <si>
    <t>domer kur, P&amp;C kurs</t>
  </si>
  <si>
    <t>Kurs holder</t>
  </si>
  <si>
    <t>Kursholdere</t>
  </si>
  <si>
    <t>Kurs deltagelse og utstyr</t>
  </si>
  <si>
    <t>face maskes og baller</t>
  </si>
  <si>
    <t>school outreach equip</t>
  </si>
  <si>
    <t>"Åpenedager"</t>
  </si>
  <si>
    <t>Innkjøp baller</t>
  </si>
  <si>
    <t>Diverse kamper</t>
  </si>
  <si>
    <t>Scorekeeping PW</t>
  </si>
  <si>
    <t>sending av baller I post</t>
  </si>
  <si>
    <t>dommere</t>
  </si>
  <si>
    <t>Oslo summer camp</t>
  </si>
  <si>
    <t>Konkuranse intekter</t>
  </si>
  <si>
    <t>Elite intekter</t>
  </si>
  <si>
    <t>Div. egenandeler</t>
  </si>
  <si>
    <t xml:space="preserve">Post 3 </t>
  </si>
  <si>
    <t>Teknisk Direktør</t>
  </si>
  <si>
    <t>Head Scorekeeper</t>
  </si>
  <si>
    <t>Kommentarer</t>
  </si>
  <si>
    <t>TD for Eliteserien: 6 250,- (1 250 * antall lag)
TD for Forbundsserien: 6500,- (500 * antall lag)</t>
  </si>
  <si>
    <t>3000kr av lønnen er etterbetaling for tilleggsarbeid gjennomført i 2016.
3000kr i grunnlønn for 2017.</t>
  </si>
  <si>
    <t>Konkurranse-kostnader</t>
  </si>
  <si>
    <t>33 % av husleie for 15m2 på Ullevål. Rugbyforbundet betaler 67 %</t>
  </si>
  <si>
    <t>33 % av felleskost for kontorleie på Ullevål. Rugbyforbundet betaler 67 %</t>
  </si>
  <si>
    <t>Lagt inn budsjett for ett "live" styremøte, just in case</t>
  </si>
  <si>
    <t>Tre styremedl. Fly</t>
  </si>
  <si>
    <t>Bespisning ifm et felles live styrmøte</t>
  </si>
  <si>
    <t>Styremiddag, lunsj lørdag, snacks søndag</t>
  </si>
  <si>
    <t>Confluence + Typeform</t>
  </si>
  <si>
    <t>1000kr til CEB congree. 1500kr til andre tiltak</t>
  </si>
  <si>
    <t>Kontingent til CEB, ESF og WSBC</t>
  </si>
  <si>
    <t>NSBF-konferansen</t>
  </si>
  <si>
    <t>Mat til møte og styremiddag og fest</t>
  </si>
  <si>
    <t>Forbundsmøter</t>
  </si>
  <si>
    <t>Andy Johnson NCC 2017</t>
  </si>
  <si>
    <t>Andy Johnson NCC 2017
Brian Bach NCC 2017
Christopher Bach NCC 2017
Nicholas Bach NCC 2017
Bruce Nester NCC 2017</t>
  </si>
  <si>
    <t>Dommerhonorar u.feriepenger</t>
  </si>
  <si>
    <t>Scorekeeperhonorar u.feriepenger</t>
  </si>
  <si>
    <t>5 kamper</t>
  </si>
  <si>
    <t>15 kamper</t>
  </si>
  <si>
    <t>50 kamper, men noe med ubetalte dommere</t>
  </si>
  <si>
    <t>50 kamper</t>
  </si>
  <si>
    <t>15 klubber, 2500,- + 5 klubber, 500,-</t>
  </si>
  <si>
    <t>Styrekostnader</t>
  </si>
  <si>
    <t>Styrehonorar etterbetalt</t>
  </si>
  <si>
    <t>8000 til president, 5000 til VP, 1000 per styremedlem som har deltatt på 10 møter eller mer</t>
  </si>
  <si>
    <t>270 stk a 250kr</t>
  </si>
  <si>
    <t>Grunnforsikring 3000 + 270 lisensforsikringer</t>
  </si>
  <si>
    <t>Forbundserien</t>
  </si>
  <si>
    <t>NSBF konferansen</t>
  </si>
  <si>
    <t xml:space="preserve">KRSND training if needed due to inclement weather. </t>
  </si>
  <si>
    <t xml:space="preserve">3 gatherings transport to/from field taxi worse case:  3 round trips at 800nok per gathering. </t>
  </si>
  <si>
    <t xml:space="preserve">Driving for shorter routes to training samling. </t>
  </si>
  <si>
    <t>Heimtun NCC 2017</t>
  </si>
  <si>
    <t xml:space="preserve">1500 per player over 21 x 15 players.Full roster will be invited to Trondheim.  This covers trondheim and subsidizes NBA indoor training that NLLT players attend.   </t>
  </si>
  <si>
    <t xml:space="preserve">Caps. </t>
  </si>
  <si>
    <t xml:space="preserve">20 flights to TRD. Avg 2200 per flight. Plus 1-2 flights for Fabian or myself for other activities such as clinic, meetings, or tryouts later in year. Estimate is likely high as not all players will fly but this provides a buffer. </t>
  </si>
  <si>
    <t>320 per player per night x 20 players x 8 nights.</t>
  </si>
  <si>
    <t>Reise treningssamling</t>
  </si>
  <si>
    <t>treningssamling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</si>
</sst>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kr-414]\ * #,##0.00_-;\-[$kr-414]\ * #,##0.00_-;_-[$kr-414]\ * &quot;-&quot;??_-;_-@_-"/>
    <numFmt numFmtId="165" formatCode="_ [$kr-414]\ * #,##0.00_ ;_ [$kr-414]\ * \-#,##0.00_ ;_ [$kr-414]\ * &quot;-&quot;??_ ;_ @_ "/>
    <numFmt numFmtId="166" formatCode="_ &quot;kr&quot;\ * #,##0_ ;_ &quot;kr&quot;\ * \-#,##0_ ;_ &quot;kr&quot;\ * &quot;-&quot;??_ ;_ @_ "/>
    <numFmt numFmtId="167" formatCode="&quot;kr&quot;\ #,##0"/>
  </numFmts>
  <fonts count="2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indexed="81"/>
      <name val="Tahoma"/>
      <family val="2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/>
      <top/>
      <bottom style="medium">
        <color indexed="64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3" fillId="8" borderId="48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</cellStyleXfs>
  <cellXfs count="275"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3" fillId="0" borderId="0" xfId="0" applyFont="1" applyFill="1" applyBorder="1" applyAlignment="1" applyProtection="1"/>
    <xf numFmtId="0" fontId="2" fillId="2" borderId="2" xfId="0" applyFont="1" applyFill="1" applyBorder="1" applyProtection="1"/>
    <xf numFmtId="0" fontId="0" fillId="0" borderId="3" xfId="0" applyBorder="1" applyProtection="1"/>
    <xf numFmtId="0" fontId="0" fillId="0" borderId="1" xfId="0" applyBorder="1" applyProtection="1"/>
    <xf numFmtId="0" fontId="0" fillId="0" borderId="0" xfId="0" applyFill="1" applyBorder="1" applyProtection="1"/>
    <xf numFmtId="0" fontId="0" fillId="0" borderId="5" xfId="0" applyBorder="1" applyProtection="1"/>
    <xf numFmtId="0" fontId="0" fillId="0" borderId="11" xfId="0" applyBorder="1" applyProtection="1"/>
    <xf numFmtId="0" fontId="4" fillId="0" borderId="0" xfId="0" applyFont="1" applyAlignment="1" applyProtection="1">
      <alignment horizontal="right"/>
    </xf>
    <xf numFmtId="0" fontId="0" fillId="0" borderId="0" xfId="0" applyFont="1" applyFill="1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4" xfId="0" applyFont="1" applyBorder="1" applyProtection="1"/>
    <xf numFmtId="0" fontId="0" fillId="0" borderId="28" xfId="0" applyFill="1" applyBorder="1" applyProtection="1"/>
    <xf numFmtId="0" fontId="0" fillId="0" borderId="0" xfId="0" applyBorder="1" applyProtection="1"/>
    <xf numFmtId="0" fontId="3" fillId="3" borderId="36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alignment horizontal="left"/>
    </xf>
    <xf numFmtId="0" fontId="0" fillId="0" borderId="37" xfId="0" applyBorder="1" applyProtection="1"/>
    <xf numFmtId="0" fontId="2" fillId="2" borderId="10" xfId="0" applyFont="1" applyFill="1" applyBorder="1" applyProtection="1"/>
    <xf numFmtId="0" fontId="3" fillId="3" borderId="32" xfId="0" applyFont="1" applyFill="1" applyBorder="1" applyAlignment="1" applyProtection="1"/>
    <xf numFmtId="0" fontId="0" fillId="0" borderId="8" xfId="0" applyBorder="1" applyProtection="1"/>
    <xf numFmtId="0" fontId="2" fillId="2" borderId="31" xfId="0" applyFont="1" applyFill="1" applyBorder="1" applyProtection="1"/>
    <xf numFmtId="0" fontId="0" fillId="0" borderId="33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39" xfId="0" applyBorder="1" applyProtection="1"/>
    <xf numFmtId="0" fontId="0" fillId="0" borderId="31" xfId="0" applyBorder="1" applyProtection="1"/>
    <xf numFmtId="0" fontId="0" fillId="0" borderId="16" xfId="0" applyBorder="1" applyProtection="1"/>
    <xf numFmtId="0" fontId="0" fillId="5" borderId="12" xfId="0" applyFont="1" applyFill="1" applyBorder="1" applyProtection="1"/>
    <xf numFmtId="0" fontId="3" fillId="3" borderId="19" xfId="0" applyFont="1" applyFill="1" applyBorder="1" applyAlignment="1" applyProtection="1">
      <protection locked="0"/>
    </xf>
    <xf numFmtId="0" fontId="3" fillId="3" borderId="21" xfId="0" applyFont="1" applyFill="1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0" fillId="2" borderId="18" xfId="0" applyFont="1" applyFill="1" applyBorder="1" applyProtection="1"/>
    <xf numFmtId="0" fontId="0" fillId="4" borderId="2" xfId="0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33" xfId="0" applyBorder="1"/>
    <xf numFmtId="0" fontId="0" fillId="0" borderId="0" xfId="0" applyBorder="1"/>
    <xf numFmtId="0" fontId="0" fillId="0" borderId="12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6" xfId="0" applyBorder="1"/>
    <xf numFmtId="0" fontId="0" fillId="3" borderId="31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40" xfId="0" applyFill="1" applyBorder="1"/>
    <xf numFmtId="0" fontId="0" fillId="0" borderId="0" xfId="0" applyFill="1" applyBorder="1"/>
    <xf numFmtId="0" fontId="0" fillId="0" borderId="19" xfId="0" applyBorder="1"/>
    <xf numFmtId="0" fontId="0" fillId="3" borderId="2" xfId="0" applyFill="1" applyBorder="1"/>
    <xf numFmtId="0" fontId="0" fillId="0" borderId="41" xfId="0" applyBorder="1"/>
    <xf numFmtId="0" fontId="0" fillId="0" borderId="38" xfId="0" applyBorder="1"/>
    <xf numFmtId="0" fontId="0" fillId="0" borderId="42" xfId="0" applyBorder="1"/>
    <xf numFmtId="0" fontId="0" fillId="3" borderId="32" xfId="0" applyFill="1" applyBorder="1"/>
    <xf numFmtId="0" fontId="0" fillId="3" borderId="43" xfId="0" applyFill="1" applyBorder="1"/>
    <xf numFmtId="0" fontId="0" fillId="0" borderId="45" xfId="0" applyBorder="1" applyProtection="1"/>
    <xf numFmtId="0" fontId="0" fillId="0" borderId="0" xfId="0" applyFont="1" applyBorder="1" applyProtection="1"/>
    <xf numFmtId="0" fontId="0" fillId="2" borderId="16" xfId="0" applyFill="1" applyBorder="1"/>
    <xf numFmtId="0" fontId="0" fillId="0" borderId="0" xfId="0" applyFill="1"/>
    <xf numFmtId="0" fontId="0" fillId="6" borderId="31" xfId="0" applyFill="1" applyBorder="1"/>
    <xf numFmtId="0" fontId="0" fillId="0" borderId="38" xfId="0" applyFont="1" applyBorder="1" applyProtection="1"/>
    <xf numFmtId="0" fontId="0" fillId="3" borderId="44" xfId="0" applyFill="1" applyBorder="1"/>
    <xf numFmtId="0" fontId="0" fillId="6" borderId="16" xfId="0" applyFill="1" applyBorder="1"/>
    <xf numFmtId="0" fontId="0" fillId="5" borderId="42" xfId="0" applyFont="1" applyFill="1" applyBorder="1" applyProtection="1"/>
    <xf numFmtId="0" fontId="9" fillId="2" borderId="17" xfId="0" applyFont="1" applyFill="1" applyBorder="1"/>
    <xf numFmtId="9" fontId="0" fillId="2" borderId="12" xfId="1" applyFont="1" applyFill="1" applyBorder="1" applyProtection="1"/>
    <xf numFmtId="0" fontId="0" fillId="2" borderId="2" xfId="0" applyFill="1" applyBorder="1"/>
    <xf numFmtId="0" fontId="0" fillId="5" borderId="30" xfId="0" applyFont="1" applyFill="1" applyBorder="1" applyProtection="1"/>
    <xf numFmtId="0" fontId="0" fillId="0" borderId="27" xfId="0" applyBorder="1"/>
    <xf numFmtId="0" fontId="0" fillId="0" borderId="12" xfId="0" applyFill="1" applyBorder="1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Alignment="1">
      <alignment vertical="center"/>
    </xf>
    <xf numFmtId="0" fontId="2" fillId="0" borderId="0" xfId="0" applyFont="1"/>
    <xf numFmtId="0" fontId="10" fillId="0" borderId="0" xfId="0" applyFont="1" applyProtection="1"/>
    <xf numFmtId="0" fontId="10" fillId="0" borderId="0" xfId="0" applyFont="1" applyFill="1" applyBorder="1" applyProtection="1"/>
    <xf numFmtId="164" fontId="0" fillId="3" borderId="16" xfId="0" applyNumberFormat="1" applyFill="1" applyBorder="1"/>
    <xf numFmtId="164" fontId="0" fillId="3" borderId="40" xfId="0" applyNumberFormat="1" applyFill="1" applyBorder="1"/>
    <xf numFmtId="164" fontId="0" fillId="5" borderId="31" xfId="0" applyNumberFormat="1" applyFill="1" applyBorder="1"/>
    <xf numFmtId="164" fontId="0" fillId="5" borderId="40" xfId="0" applyNumberFormat="1" applyFill="1" applyBorder="1"/>
    <xf numFmtId="164" fontId="0" fillId="5" borderId="15" xfId="0" applyNumberFormat="1" applyFill="1" applyBorder="1"/>
    <xf numFmtId="164" fontId="0" fillId="5" borderId="21" xfId="0" applyNumberFormat="1" applyFill="1" applyBorder="1"/>
    <xf numFmtId="164" fontId="0" fillId="5" borderId="20" xfId="0" applyNumberFormat="1" applyFill="1" applyBorder="1"/>
    <xf numFmtId="164" fontId="0" fillId="5" borderId="0" xfId="0" applyNumberFormat="1" applyFill="1" applyBorder="1"/>
    <xf numFmtId="164" fontId="0" fillId="5" borderId="35" xfId="0" applyNumberFormat="1" applyFill="1" applyBorder="1"/>
    <xf numFmtId="164" fontId="0" fillId="5" borderId="12" xfId="0" applyNumberFormat="1" applyFill="1" applyBorder="1"/>
    <xf numFmtId="164" fontId="0" fillId="5" borderId="29" xfId="0" applyNumberFormat="1" applyFill="1" applyBorder="1"/>
    <xf numFmtId="164" fontId="0" fillId="5" borderId="34" xfId="0" applyNumberFormat="1" applyFill="1" applyBorder="1"/>
    <xf numFmtId="164" fontId="0" fillId="5" borderId="30" xfId="0" applyNumberFormat="1" applyFill="1" applyBorder="1"/>
    <xf numFmtId="0" fontId="3" fillId="3" borderId="15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left"/>
    </xf>
    <xf numFmtId="9" fontId="0" fillId="0" borderId="0" xfId="1" applyFont="1"/>
    <xf numFmtId="9" fontId="0" fillId="0" borderId="0" xfId="0" applyNumberFormat="1"/>
    <xf numFmtId="9" fontId="0" fillId="5" borderId="12" xfId="1" applyFont="1" applyFill="1" applyBorder="1"/>
    <xf numFmtId="9" fontId="0" fillId="5" borderId="30" xfId="1" applyFont="1" applyFill="1" applyBorder="1"/>
    <xf numFmtId="9" fontId="6" fillId="7" borderId="20" xfId="4" applyNumberFormat="1" applyBorder="1"/>
    <xf numFmtId="164" fontId="0" fillId="3" borderId="46" xfId="0" applyNumberFormat="1" applyFill="1" applyBorder="1"/>
    <xf numFmtId="164" fontId="0" fillId="5" borderId="46" xfId="0" applyNumberFormat="1" applyFill="1" applyBorder="1"/>
    <xf numFmtId="0" fontId="0" fillId="0" borderId="2" xfId="0" applyFill="1" applyBorder="1"/>
    <xf numFmtId="164" fontId="0" fillId="0" borderId="0" xfId="0" applyNumberFormat="1"/>
    <xf numFmtId="164" fontId="0" fillId="2" borderId="2" xfId="0" applyNumberFormat="1" applyFill="1" applyBorder="1" applyProtection="1"/>
    <xf numFmtId="164" fontId="0" fillId="0" borderId="0" xfId="0" applyNumberFormat="1" applyFill="1" applyBorder="1" applyProtection="1"/>
    <xf numFmtId="165" fontId="0" fillId="4" borderId="33" xfId="0" applyNumberFormat="1" applyFill="1" applyBorder="1" applyProtection="1">
      <protection locked="0"/>
    </xf>
    <xf numFmtId="165" fontId="0" fillId="5" borderId="35" xfId="0" applyNumberFormat="1" applyFill="1" applyBorder="1" applyProtection="1"/>
    <xf numFmtId="165" fontId="0" fillId="5" borderId="12" xfId="0" applyNumberFormat="1" applyFill="1" applyBorder="1" applyProtection="1"/>
    <xf numFmtId="165" fontId="0" fillId="0" borderId="0" xfId="0" applyNumberFormat="1" applyFill="1" applyBorder="1" applyProtection="1"/>
    <xf numFmtId="165" fontId="0" fillId="4" borderId="28" xfId="0" applyNumberFormat="1" applyFill="1" applyBorder="1" applyProtection="1">
      <protection locked="0"/>
    </xf>
    <xf numFmtId="165" fontId="0" fillId="5" borderId="34" xfId="0" applyNumberFormat="1" applyFill="1" applyBorder="1" applyProtection="1"/>
    <xf numFmtId="165" fontId="0" fillId="5" borderId="30" xfId="0" applyNumberFormat="1" applyFill="1" applyBorder="1" applyProtection="1"/>
    <xf numFmtId="165" fontId="0" fillId="2" borderId="31" xfId="0" applyNumberFormat="1" applyFont="1" applyFill="1" applyBorder="1" applyProtection="1"/>
    <xf numFmtId="165" fontId="0" fillId="5" borderId="40" xfId="0" applyNumberFormat="1" applyFill="1" applyBorder="1" applyProtection="1"/>
    <xf numFmtId="165" fontId="0" fillId="5" borderId="17" xfId="0" applyNumberFormat="1" applyFill="1" applyBorder="1" applyProtection="1"/>
    <xf numFmtId="165" fontId="0" fillId="2" borderId="33" xfId="0" applyNumberFormat="1" applyFill="1" applyBorder="1" applyProtection="1">
      <protection locked="0"/>
    </xf>
    <xf numFmtId="165" fontId="0" fillId="2" borderId="33" xfId="0" applyNumberFormat="1" applyFont="1" applyFill="1" applyBorder="1" applyProtection="1"/>
    <xf numFmtId="165" fontId="0" fillId="5" borderId="35" xfId="0" applyNumberFormat="1" applyFont="1" applyFill="1" applyBorder="1" applyProtection="1"/>
    <xf numFmtId="165" fontId="0" fillId="5" borderId="12" xfId="0" applyNumberFormat="1" applyFont="1" applyFill="1" applyBorder="1" applyProtection="1"/>
    <xf numFmtId="165" fontId="0" fillId="0" borderId="0" xfId="0" applyNumberFormat="1" applyFont="1" applyFill="1" applyBorder="1" applyProtection="1"/>
    <xf numFmtId="165" fontId="0" fillId="4" borderId="33" xfId="0" applyNumberFormat="1" applyFont="1" applyFill="1" applyBorder="1" applyProtection="1">
      <protection locked="0"/>
    </xf>
    <xf numFmtId="165" fontId="0" fillId="2" borderId="2" xfId="0" applyNumberFormat="1" applyFill="1" applyBorder="1" applyProtection="1"/>
    <xf numFmtId="165" fontId="0" fillId="0" borderId="0" xfId="0" applyNumberFormat="1" applyProtection="1"/>
    <xf numFmtId="165" fontId="0" fillId="2" borderId="2" xfId="0" applyNumberFormat="1" applyFont="1" applyFill="1" applyBorder="1" applyProtection="1"/>
    <xf numFmtId="165" fontId="0" fillId="5" borderId="35" xfId="0" applyNumberFormat="1" applyFill="1" applyBorder="1" applyAlignment="1" applyProtection="1">
      <alignment wrapText="1"/>
    </xf>
    <xf numFmtId="0" fontId="3" fillId="3" borderId="22" xfId="0" applyFont="1" applyFill="1" applyBorder="1" applyAlignment="1" applyProtection="1">
      <protection locked="0"/>
    </xf>
    <xf numFmtId="165" fontId="0" fillId="5" borderId="2" xfId="0" applyNumberFormat="1" applyFill="1" applyBorder="1" applyProtection="1"/>
    <xf numFmtId="165" fontId="0" fillId="2" borderId="31" xfId="0" applyNumberFormat="1" applyFill="1" applyBorder="1" applyProtection="1"/>
    <xf numFmtId="165" fontId="0" fillId="2" borderId="18" xfId="0" applyNumberFormat="1" applyFill="1" applyBorder="1" applyProtection="1"/>
    <xf numFmtId="0" fontId="2" fillId="2" borderId="47" xfId="0" applyFont="1" applyFill="1" applyBorder="1" applyProtection="1"/>
    <xf numFmtId="0" fontId="0" fillId="0" borderId="23" xfId="0" applyBorder="1" applyProtection="1"/>
    <xf numFmtId="0" fontId="0" fillId="0" borderId="2" xfId="0" applyBorder="1" applyProtection="1"/>
    <xf numFmtId="0" fontId="0" fillId="0" borderId="25" xfId="0" applyBorder="1" applyProtection="1"/>
    <xf numFmtId="0" fontId="0" fillId="0" borderId="23" xfId="0" applyFont="1" applyBorder="1" applyProtection="1"/>
    <xf numFmtId="0" fontId="0" fillId="0" borderId="24" xfId="0" applyBorder="1" applyProtection="1"/>
    <xf numFmtId="0" fontId="0" fillId="0" borderId="30" xfId="0" applyBorder="1" applyProtection="1"/>
    <xf numFmtId="0" fontId="6" fillId="0" borderId="30" xfId="0" applyFont="1" applyFill="1" applyBorder="1" applyProtection="1"/>
    <xf numFmtId="0" fontId="0" fillId="0" borderId="12" xfId="0" applyBorder="1" applyProtection="1"/>
    <xf numFmtId="0" fontId="0" fillId="0" borderId="27" xfId="0" applyBorder="1" applyProtection="1"/>
    <xf numFmtId="165" fontId="0" fillId="5" borderId="2" xfId="0" applyNumberFormat="1" applyFont="1" applyFill="1" applyBorder="1" applyProtection="1"/>
    <xf numFmtId="165" fontId="0" fillId="5" borderId="47" xfId="0" applyNumberFormat="1" applyFont="1" applyFill="1" applyBorder="1" applyProtection="1"/>
    <xf numFmtId="165" fontId="0" fillId="5" borderId="18" xfId="0" applyNumberFormat="1" applyFont="1" applyFill="1" applyBorder="1" applyProtection="1"/>
    <xf numFmtId="0" fontId="3" fillId="3" borderId="2" xfId="0" applyFont="1" applyFill="1" applyBorder="1" applyAlignment="1" applyProtection="1">
      <protection locked="0"/>
    </xf>
    <xf numFmtId="0" fontId="0" fillId="0" borderId="31" xfId="0" applyFill="1" applyBorder="1" applyProtection="1"/>
    <xf numFmtId="0" fontId="0" fillId="3" borderId="47" xfId="0" applyFill="1" applyBorder="1"/>
    <xf numFmtId="164" fontId="0" fillId="0" borderId="18" xfId="0" applyNumberFormat="1" applyBorder="1"/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0" xfId="0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3" borderId="18" xfId="0" applyFont="1" applyFill="1" applyBorder="1" applyAlignment="1" applyProtection="1">
      <protection locked="0"/>
    </xf>
    <xf numFmtId="164" fontId="13" fillId="8" borderId="49" xfId="5" applyNumberFormat="1" applyBorder="1"/>
    <xf numFmtId="164" fontId="13" fillId="8" borderId="50" xfId="5" applyNumberFormat="1" applyBorder="1"/>
    <xf numFmtId="164" fontId="0" fillId="0" borderId="27" xfId="0" applyNumberFormat="1" applyBorder="1"/>
    <xf numFmtId="0" fontId="3" fillId="3" borderId="28" xfId="0" applyFont="1" applyFill="1" applyBorder="1" applyAlignment="1" applyProtection="1">
      <protection locked="0"/>
    </xf>
    <xf numFmtId="164" fontId="13" fillId="8" borderId="51" xfId="5" applyNumberFormat="1" applyBorder="1"/>
    <xf numFmtId="164" fontId="13" fillId="8" borderId="18" xfId="5" applyNumberFormat="1" applyBorder="1"/>
    <xf numFmtId="164" fontId="18" fillId="9" borderId="27" xfId="6" applyNumberFormat="1" applyBorder="1"/>
    <xf numFmtId="164" fontId="18" fillId="9" borderId="17" xfId="6" applyNumberFormat="1" applyBorder="1"/>
    <xf numFmtId="164" fontId="19" fillId="10" borderId="18" xfId="7" applyNumberFormat="1" applyBorder="1"/>
    <xf numFmtId="166" fontId="0" fillId="4" borderId="33" xfId="0" applyNumberFormat="1" applyFill="1" applyBorder="1" applyProtection="1"/>
    <xf numFmtId="166" fontId="0" fillId="2" borderId="33" xfId="0" applyNumberFormat="1" applyFont="1" applyFill="1" applyBorder="1" applyProtection="1"/>
    <xf numFmtId="166" fontId="0" fillId="2" borderId="41" xfId="0" applyNumberFormat="1" applyFont="1" applyFill="1" applyBorder="1" applyProtection="1"/>
    <xf numFmtId="166" fontId="0" fillId="0" borderId="33" xfId="0" applyNumberFormat="1" applyBorder="1"/>
    <xf numFmtId="167" fontId="0" fillId="4" borderId="33" xfId="0" applyNumberFormat="1" applyFill="1" applyBorder="1" applyProtection="1"/>
    <xf numFmtId="167" fontId="0" fillId="2" borderId="33" xfId="0" applyNumberFormat="1" applyFont="1" applyFill="1" applyBorder="1" applyProtection="1"/>
    <xf numFmtId="167" fontId="0" fillId="2" borderId="41" xfId="0" applyNumberFormat="1" applyFont="1" applyFill="1" applyBorder="1" applyProtection="1"/>
    <xf numFmtId="167" fontId="0" fillId="0" borderId="33" xfId="0" applyNumberFormat="1" applyBorder="1"/>
    <xf numFmtId="167" fontId="0" fillId="2" borderId="28" xfId="0" applyNumberFormat="1" applyFont="1" applyFill="1" applyBorder="1" applyProtection="1"/>
    <xf numFmtId="167" fontId="0" fillId="2" borderId="27" xfId="0" applyNumberFormat="1" applyFill="1" applyBorder="1"/>
    <xf numFmtId="167" fontId="0" fillId="2" borderId="2" xfId="0" applyNumberFormat="1" applyFill="1" applyBorder="1"/>
    <xf numFmtId="0" fontId="0" fillId="0" borderId="33" xfId="0" applyBorder="1" applyAlignment="1"/>
    <xf numFmtId="0" fontId="0" fillId="0" borderId="12" xfId="0" applyBorder="1" applyAlignment="1"/>
    <xf numFmtId="0" fontId="0" fillId="0" borderId="0" xfId="0" applyFill="1" applyAlignment="1">
      <alignment wrapText="1"/>
    </xf>
    <xf numFmtId="0" fontId="0" fillId="3" borderId="28" xfId="0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3" borderId="29" xfId="0" applyFill="1" applyBorder="1" applyAlignment="1">
      <alignment wrapText="1"/>
    </xf>
    <xf numFmtId="0" fontId="3" fillId="3" borderId="13" xfId="0" applyFont="1" applyFill="1" applyBorder="1" applyAlignment="1" applyProtection="1">
      <alignment horizontal="left" wrapText="1"/>
    </xf>
    <xf numFmtId="0" fontId="3" fillId="3" borderId="21" xfId="0" applyFont="1" applyFill="1" applyBorder="1" applyAlignment="1" applyProtection="1">
      <alignment wrapText="1"/>
      <protection locked="0"/>
    </xf>
    <xf numFmtId="165" fontId="0" fillId="2" borderId="31" xfId="0" applyNumberFormat="1" applyFont="1" applyFill="1" applyBorder="1" applyAlignment="1" applyProtection="1">
      <alignment wrapText="1"/>
    </xf>
    <xf numFmtId="165" fontId="0" fillId="5" borderId="34" xfId="0" applyNumberFormat="1" applyFill="1" applyBorder="1" applyAlignment="1" applyProtection="1">
      <alignment wrapText="1"/>
    </xf>
    <xf numFmtId="165" fontId="0" fillId="2" borderId="2" xfId="0" applyNumberFormat="1" applyFill="1" applyBorder="1" applyAlignment="1" applyProtection="1">
      <alignment wrapText="1"/>
    </xf>
    <xf numFmtId="164" fontId="0" fillId="2" borderId="2" xfId="0" applyNumberForma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65" fontId="0" fillId="5" borderId="35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65" fontId="0" fillId="2" borderId="31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166" fontId="0" fillId="0" borderId="0" xfId="0" applyNumberFormat="1"/>
    <xf numFmtId="0" fontId="0" fillId="0" borderId="32" xfId="0" applyBorder="1" applyProtection="1"/>
    <xf numFmtId="0" fontId="0" fillId="0" borderId="33" xfId="0" applyFont="1" applyBorder="1" applyProtection="1"/>
    <xf numFmtId="0" fontId="0" fillId="0" borderId="33" xfId="0" applyFont="1" applyFill="1" applyBorder="1" applyProtection="1"/>
    <xf numFmtId="0" fontId="0" fillId="0" borderId="28" xfId="0" applyFont="1" applyBorder="1" applyProtection="1"/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3" borderId="17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2" xfId="0" applyFill="1" applyBorder="1" applyAlignment="1">
      <alignment wrapText="1"/>
    </xf>
    <xf numFmtId="165" fontId="0" fillId="2" borderId="18" xfId="0" applyNumberFormat="1" applyFill="1" applyBorder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wrapText="1"/>
    </xf>
    <xf numFmtId="0" fontId="0" fillId="2" borderId="31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Font="1" applyBorder="1" applyAlignment="1" applyProtection="1">
      <alignment wrapText="1"/>
    </xf>
    <xf numFmtId="0" fontId="0" fillId="2" borderId="16" xfId="0" applyFill="1" applyBorder="1" applyAlignment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38" xfId="0" applyFont="1" applyBorder="1" applyAlignment="1" applyProtection="1">
      <alignment wrapText="1"/>
    </xf>
    <xf numFmtId="0" fontId="0" fillId="0" borderId="42" xfId="0" applyFont="1" applyBorder="1" applyAlignment="1" applyProtection="1">
      <alignment wrapText="1"/>
    </xf>
    <xf numFmtId="0" fontId="2" fillId="0" borderId="17" xfId="0" applyFont="1" applyFill="1" applyBorder="1" applyAlignment="1">
      <alignment wrapText="1"/>
    </xf>
    <xf numFmtId="0" fontId="20" fillId="0" borderId="32" xfId="0" applyFont="1" applyBorder="1" applyProtection="1"/>
    <xf numFmtId="0" fontId="20" fillId="0" borderId="43" xfId="0" applyFont="1" applyBorder="1" applyAlignment="1" applyProtection="1">
      <alignment wrapText="1"/>
    </xf>
    <xf numFmtId="167" fontId="20" fillId="2" borderId="32" xfId="0" applyNumberFormat="1" applyFont="1" applyFill="1" applyBorder="1"/>
    <xf numFmtId="0" fontId="20" fillId="0" borderId="43" xfId="0" applyFont="1" applyBorder="1"/>
    <xf numFmtId="167" fontId="20" fillId="2" borderId="47" xfId="0" applyNumberFormat="1" applyFont="1" applyFill="1" applyBorder="1"/>
    <xf numFmtId="0" fontId="20" fillId="0" borderId="33" xfId="0" applyFont="1" applyBorder="1" applyProtection="1"/>
    <xf numFmtId="0" fontId="20" fillId="0" borderId="12" xfId="0" applyFont="1" applyBorder="1" applyAlignment="1" applyProtection="1">
      <alignment wrapText="1"/>
    </xf>
    <xf numFmtId="167" fontId="20" fillId="2" borderId="33" xfId="0" applyNumberFormat="1" applyFont="1" applyFill="1" applyBorder="1"/>
    <xf numFmtId="0" fontId="20" fillId="0" borderId="12" xfId="0" applyFont="1" applyBorder="1"/>
    <xf numFmtId="167" fontId="20" fillId="2" borderId="27" xfId="0" applyNumberFormat="1" applyFont="1" applyFill="1" applyBorder="1"/>
    <xf numFmtId="0" fontId="20" fillId="0" borderId="33" xfId="0" applyFont="1" applyFill="1" applyBorder="1" applyProtection="1"/>
    <xf numFmtId="0" fontId="20" fillId="0" borderId="12" xfId="0" applyFont="1" applyFill="1" applyBorder="1" applyAlignment="1" applyProtection="1">
      <alignment wrapText="1"/>
    </xf>
    <xf numFmtId="0" fontId="20" fillId="0" borderId="28" xfId="0" applyFont="1" applyBorder="1" applyProtection="1"/>
    <xf numFmtId="0" fontId="20" fillId="0" borderId="30" xfId="0" applyFont="1" applyBorder="1" applyAlignment="1" applyProtection="1">
      <alignment wrapText="1"/>
    </xf>
    <xf numFmtId="167" fontId="20" fillId="2" borderId="28" xfId="0" applyNumberFormat="1" applyFont="1" applyFill="1" applyBorder="1"/>
    <xf numFmtId="0" fontId="20" fillId="0" borderId="30" xfId="0" applyFont="1" applyBorder="1"/>
    <xf numFmtId="167" fontId="20" fillId="2" borderId="18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5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 wrapText="1"/>
    </xf>
    <xf numFmtId="0" fontId="3" fillId="3" borderId="20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</xf>
    <xf numFmtId="0" fontId="0" fillId="0" borderId="0" xfId="0"/>
  </cellXfs>
  <cellStyles count="8">
    <cellStyle name="Benyttet hyperkobling" xfId="3" builtinId="9" hidden="1"/>
    <cellStyle name="God" xfId="6" builtinId="26"/>
    <cellStyle name="Hyperkobling" xfId="2" builtinId="8" hidden="1"/>
    <cellStyle name="Kontrollcelle" xfId="5" builtinId="23"/>
    <cellStyle name="Normal" xfId="0" builtinId="0"/>
    <cellStyle name="Nøytral" xfId="7" builtinId="28"/>
    <cellStyle name="Prosent" xfId="1" builtinId="5"/>
    <cellStyle name="Uthevingsfarge1" xfId="4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451485</xdr:colOff>
      <xdr:row>1</xdr:row>
      <xdr:rowOff>179070</xdr:rowOff>
    </xdr:from>
    <xdr:to>
      <xdr:col>16</xdr:col>
      <xdr:colOff>480060</xdr:colOff>
      <xdr:row>32</xdr:row>
      <xdr:rowOff>18934</xdr:rowOff>
    </xdr:to>
    <xdr:pic>
      <xdr:nvPicPr>
        <xdr:cNvPr id="2" name="Bild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7805" y="361950"/>
          <a:ext cx="10231755" cy="5524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6"/>
  <sheetViews>
    <sheetView workbookViewId="0">
      <selection activeCell="B19" sqref="B19:C19"/>
    </sheetView>
  </sheetViews>
  <sheetFormatPr baseColWidth="10" defaultColWidth="11.42578125" defaultRowHeight="15" x14ac:dyDescent="0.25"/>
  <cols>
    <col min="1" max="1" width="7.42578125" bestFit="1" customWidth="1"/>
    <col min="2" max="2" width="25.5703125" bestFit="1" customWidth="1"/>
    <col min="3" max="3" width="37.5703125" bestFit="1" customWidth="1"/>
  </cols>
  <sheetData>
    <row r="2" spans="1:3" thickBot="1" x14ac:dyDescent="0.35"/>
    <row r="3" spans="1:3" thickBot="1" x14ac:dyDescent="0.35">
      <c r="A3" s="54" t="s">
        <v>111</v>
      </c>
      <c r="B3" s="55" t="s">
        <v>109</v>
      </c>
      <c r="C3" s="56" t="s">
        <v>110</v>
      </c>
    </row>
    <row r="4" spans="1:3" ht="14.45" x14ac:dyDescent="0.3">
      <c r="A4" s="46" t="s">
        <v>84</v>
      </c>
      <c r="B4" s="240" t="s">
        <v>1</v>
      </c>
      <c r="C4" s="241"/>
    </row>
    <row r="5" spans="1:3" ht="14.45" x14ac:dyDescent="0.3">
      <c r="A5" s="46"/>
      <c r="B5" s="47">
        <v>10000</v>
      </c>
      <c r="C5" s="48" t="s">
        <v>85</v>
      </c>
    </row>
    <row r="6" spans="1:3" x14ac:dyDescent="0.25">
      <c r="A6" s="46"/>
      <c r="B6" s="47">
        <v>11000</v>
      </c>
      <c r="C6" s="48" t="s">
        <v>54</v>
      </c>
    </row>
    <row r="7" spans="1:3" ht="14.45" x14ac:dyDescent="0.3">
      <c r="A7" s="46"/>
      <c r="B7" s="47">
        <v>12000</v>
      </c>
      <c r="C7" s="48" t="s">
        <v>55</v>
      </c>
    </row>
    <row r="8" spans="1:3" x14ac:dyDescent="0.25">
      <c r="A8" s="46"/>
      <c r="B8" s="58">
        <v>19001</v>
      </c>
      <c r="C8" s="80" t="s">
        <v>191</v>
      </c>
    </row>
    <row r="9" spans="1:3" x14ac:dyDescent="0.25">
      <c r="A9" s="46"/>
      <c r="B9" s="58">
        <v>19002</v>
      </c>
      <c r="C9" s="80" t="s">
        <v>146</v>
      </c>
    </row>
    <row r="10" spans="1:3" x14ac:dyDescent="0.25">
      <c r="A10" s="46"/>
      <c r="B10" s="58">
        <v>19003</v>
      </c>
      <c r="C10" s="80" t="s">
        <v>188</v>
      </c>
    </row>
    <row r="11" spans="1:3" x14ac:dyDescent="0.25">
      <c r="A11" s="46"/>
      <c r="B11" s="58">
        <v>19004</v>
      </c>
      <c r="C11" s="80" t="s">
        <v>192</v>
      </c>
    </row>
    <row r="12" spans="1:3" x14ac:dyDescent="0.25">
      <c r="A12" s="46"/>
      <c r="B12" s="58">
        <v>19005</v>
      </c>
      <c r="C12" s="80" t="s">
        <v>189</v>
      </c>
    </row>
    <row r="13" spans="1:3" x14ac:dyDescent="0.25">
      <c r="A13" s="61"/>
      <c r="B13" s="62"/>
      <c r="C13" s="63"/>
    </row>
    <row r="14" spans="1:3" x14ac:dyDescent="0.25">
      <c r="A14" s="46" t="s">
        <v>86</v>
      </c>
      <c r="B14" s="240" t="s">
        <v>87</v>
      </c>
      <c r="C14" s="241"/>
    </row>
    <row r="15" spans="1:3" x14ac:dyDescent="0.25">
      <c r="A15" s="46"/>
      <c r="B15" s="47">
        <v>20000</v>
      </c>
      <c r="C15" s="48" t="s">
        <v>85</v>
      </c>
    </row>
    <row r="16" spans="1:3" x14ac:dyDescent="0.25">
      <c r="A16" s="46"/>
      <c r="B16" s="47">
        <v>21000</v>
      </c>
      <c r="C16" s="48" t="s">
        <v>108</v>
      </c>
    </row>
    <row r="17" spans="1:3" x14ac:dyDescent="0.25">
      <c r="A17" s="46"/>
      <c r="B17" s="47">
        <v>22000</v>
      </c>
      <c r="C17" s="48" t="s">
        <v>4</v>
      </c>
    </row>
    <row r="18" spans="1:3" x14ac:dyDescent="0.25">
      <c r="A18" s="61"/>
      <c r="B18" s="62"/>
      <c r="C18" s="63"/>
    </row>
    <row r="19" spans="1:3" x14ac:dyDescent="0.25">
      <c r="A19" s="46" t="s">
        <v>89</v>
      </c>
      <c r="B19" s="240" t="s">
        <v>90</v>
      </c>
      <c r="C19" s="241"/>
    </row>
    <row r="20" spans="1:3" x14ac:dyDescent="0.25">
      <c r="A20" s="46"/>
      <c r="B20" s="47">
        <v>30000</v>
      </c>
      <c r="C20" s="48" t="s">
        <v>85</v>
      </c>
    </row>
    <row r="21" spans="1:3" x14ac:dyDescent="0.25">
      <c r="A21" s="46"/>
      <c r="B21" s="47">
        <v>31000</v>
      </c>
      <c r="C21" s="48" t="s">
        <v>88</v>
      </c>
    </row>
    <row r="22" spans="1:3" x14ac:dyDescent="0.25">
      <c r="A22" s="46"/>
      <c r="B22" s="47">
        <v>32000</v>
      </c>
      <c r="C22" s="48" t="s">
        <v>57</v>
      </c>
    </row>
    <row r="23" spans="1:3" x14ac:dyDescent="0.25">
      <c r="A23" s="46"/>
      <c r="B23" s="58">
        <v>33000</v>
      </c>
      <c r="C23" s="48" t="s">
        <v>239</v>
      </c>
    </row>
    <row r="24" spans="1:3" x14ac:dyDescent="0.25">
      <c r="A24" s="61"/>
      <c r="B24" s="62"/>
      <c r="C24" s="63"/>
    </row>
    <row r="25" spans="1:3" x14ac:dyDescent="0.25">
      <c r="A25" s="46" t="s">
        <v>91</v>
      </c>
      <c r="B25" s="240" t="s">
        <v>93</v>
      </c>
      <c r="C25" s="241"/>
    </row>
    <row r="26" spans="1:3" x14ac:dyDescent="0.25">
      <c r="A26" s="46"/>
      <c r="B26" s="47">
        <v>40000</v>
      </c>
      <c r="C26" s="48" t="s">
        <v>85</v>
      </c>
    </row>
    <row r="27" spans="1:3" x14ac:dyDescent="0.25">
      <c r="A27" s="46"/>
      <c r="B27" s="47">
        <v>41000</v>
      </c>
      <c r="C27" s="48" t="s">
        <v>58</v>
      </c>
    </row>
    <row r="28" spans="1:3" x14ac:dyDescent="0.25">
      <c r="A28" s="46"/>
      <c r="B28" s="47">
        <v>42000</v>
      </c>
      <c r="C28" s="48" t="s">
        <v>59</v>
      </c>
    </row>
    <row r="29" spans="1:3" x14ac:dyDescent="0.25">
      <c r="A29" s="46"/>
      <c r="B29" s="58">
        <v>42001</v>
      </c>
      <c r="C29" s="48" t="s">
        <v>194</v>
      </c>
    </row>
    <row r="30" spans="1:3" x14ac:dyDescent="0.25">
      <c r="A30" s="46"/>
      <c r="B30" s="58">
        <v>42002</v>
      </c>
      <c r="C30" s="48" t="s">
        <v>195</v>
      </c>
    </row>
    <row r="31" spans="1:3" x14ac:dyDescent="0.25">
      <c r="A31" s="46"/>
      <c r="B31" s="47">
        <v>43000</v>
      </c>
      <c r="C31" s="48" t="s">
        <v>60</v>
      </c>
    </row>
    <row r="32" spans="1:3" x14ac:dyDescent="0.25">
      <c r="A32" s="46"/>
      <c r="B32" s="47">
        <v>44000</v>
      </c>
      <c r="C32" s="48" t="s">
        <v>61</v>
      </c>
    </row>
    <row r="33" spans="1:3" x14ac:dyDescent="0.25">
      <c r="A33" s="46"/>
      <c r="B33" s="47">
        <v>45000</v>
      </c>
      <c r="C33" s="48" t="s">
        <v>92</v>
      </c>
    </row>
    <row r="34" spans="1:3" x14ac:dyDescent="0.25">
      <c r="A34" s="46"/>
      <c r="B34" s="47">
        <v>46000</v>
      </c>
      <c r="C34" s="48" t="s">
        <v>62</v>
      </c>
    </row>
    <row r="35" spans="1:3" x14ac:dyDescent="0.25">
      <c r="A35" s="61"/>
      <c r="B35" s="62"/>
      <c r="C35" s="63"/>
    </row>
    <row r="36" spans="1:3" x14ac:dyDescent="0.25">
      <c r="A36" s="46" t="s">
        <v>94</v>
      </c>
      <c r="B36" s="240" t="s">
        <v>95</v>
      </c>
      <c r="C36" s="241"/>
    </row>
    <row r="37" spans="1:3" x14ac:dyDescent="0.25">
      <c r="A37" s="46"/>
      <c r="B37" s="47">
        <v>50000</v>
      </c>
      <c r="C37" s="48" t="s">
        <v>85</v>
      </c>
    </row>
    <row r="38" spans="1:3" x14ac:dyDescent="0.25">
      <c r="A38" s="46"/>
      <c r="B38" s="47">
        <v>51000</v>
      </c>
      <c r="C38" s="48" t="s">
        <v>96</v>
      </c>
    </row>
    <row r="39" spans="1:3" x14ac:dyDescent="0.25">
      <c r="A39" s="46"/>
      <c r="B39" s="81" t="s">
        <v>128</v>
      </c>
      <c r="C39" s="80" t="s">
        <v>129</v>
      </c>
    </row>
    <row r="40" spans="1:3" x14ac:dyDescent="0.25">
      <c r="A40" s="46"/>
      <c r="B40" s="47">
        <v>52000</v>
      </c>
      <c r="C40" s="48" t="s">
        <v>62</v>
      </c>
    </row>
    <row r="41" spans="1:3" x14ac:dyDescent="0.25">
      <c r="A41" s="46"/>
      <c r="B41" s="58">
        <v>52100</v>
      </c>
      <c r="C41" s="48" t="s">
        <v>160</v>
      </c>
    </row>
    <row r="42" spans="1:3" x14ac:dyDescent="0.25">
      <c r="A42" s="46"/>
      <c r="B42" s="58">
        <v>52200</v>
      </c>
      <c r="C42" s="48" t="s">
        <v>161</v>
      </c>
    </row>
    <row r="43" spans="1:3" x14ac:dyDescent="0.25">
      <c r="A43" s="46"/>
      <c r="B43" s="58">
        <v>52300</v>
      </c>
      <c r="C43" s="48" t="s">
        <v>162</v>
      </c>
    </row>
    <row r="44" spans="1:3" x14ac:dyDescent="0.25">
      <c r="A44" s="46"/>
      <c r="B44" s="47">
        <v>53000</v>
      </c>
      <c r="C44" s="48" t="s">
        <v>63</v>
      </c>
    </row>
    <row r="45" spans="1:3" x14ac:dyDescent="0.25">
      <c r="A45" s="46"/>
      <c r="B45" s="47">
        <v>54000</v>
      </c>
      <c r="C45" s="48" t="s">
        <v>64</v>
      </c>
    </row>
    <row r="46" spans="1:3" x14ac:dyDescent="0.25">
      <c r="A46" s="61"/>
      <c r="B46" s="62"/>
      <c r="C46" s="63"/>
    </row>
    <row r="47" spans="1:3" x14ac:dyDescent="0.25">
      <c r="A47" s="46" t="s">
        <v>97</v>
      </c>
      <c r="B47" s="240" t="s">
        <v>98</v>
      </c>
      <c r="C47" s="241"/>
    </row>
    <row r="48" spans="1:3" x14ac:dyDescent="0.25">
      <c r="A48" s="46"/>
      <c r="B48" s="47">
        <v>60000</v>
      </c>
      <c r="C48" s="48" t="s">
        <v>85</v>
      </c>
    </row>
    <row r="49" spans="1:3" x14ac:dyDescent="0.25">
      <c r="A49" s="46"/>
      <c r="B49" s="47">
        <v>61000</v>
      </c>
      <c r="C49" s="48" t="s">
        <v>99</v>
      </c>
    </row>
    <row r="50" spans="1:3" x14ac:dyDescent="0.25">
      <c r="A50" s="46"/>
      <c r="B50" s="47">
        <v>62000</v>
      </c>
      <c r="C50" s="48" t="s">
        <v>100</v>
      </c>
    </row>
    <row r="51" spans="1:3" x14ac:dyDescent="0.25">
      <c r="A51" s="46"/>
      <c r="B51" s="47">
        <v>63000</v>
      </c>
      <c r="C51" s="48" t="s">
        <v>65</v>
      </c>
    </row>
    <row r="52" spans="1:3" x14ac:dyDescent="0.25">
      <c r="A52" s="46"/>
      <c r="B52" s="47">
        <v>64000</v>
      </c>
      <c r="C52" s="48" t="s">
        <v>80</v>
      </c>
    </row>
    <row r="53" spans="1:3" x14ac:dyDescent="0.25">
      <c r="A53" s="46"/>
      <c r="B53" s="47">
        <v>65000</v>
      </c>
      <c r="C53" s="48" t="s">
        <v>66</v>
      </c>
    </row>
    <row r="54" spans="1:3" x14ac:dyDescent="0.25">
      <c r="A54" s="61"/>
      <c r="B54" s="62"/>
      <c r="C54" s="63"/>
    </row>
    <row r="55" spans="1:3" x14ac:dyDescent="0.25">
      <c r="A55" s="46" t="s">
        <v>101</v>
      </c>
      <c r="B55" s="240" t="s">
        <v>102</v>
      </c>
      <c r="C55" s="241"/>
    </row>
    <row r="56" spans="1:3" x14ac:dyDescent="0.25">
      <c r="A56" s="46"/>
      <c r="B56" s="47">
        <v>70000</v>
      </c>
      <c r="C56" s="48" t="s">
        <v>85</v>
      </c>
    </row>
    <row r="57" spans="1:3" x14ac:dyDescent="0.25">
      <c r="A57" s="46"/>
      <c r="B57" s="47">
        <v>71000</v>
      </c>
      <c r="C57" s="48" t="s">
        <v>81</v>
      </c>
    </row>
    <row r="58" spans="1:3" x14ac:dyDescent="0.25">
      <c r="A58" s="46"/>
      <c r="B58" s="47">
        <v>72100</v>
      </c>
      <c r="C58" s="48" t="s">
        <v>243</v>
      </c>
    </row>
    <row r="59" spans="1:3" x14ac:dyDescent="0.25">
      <c r="A59" s="46"/>
      <c r="B59" s="58">
        <v>72200</v>
      </c>
      <c r="C59" s="80" t="s">
        <v>242</v>
      </c>
    </row>
    <row r="60" spans="1:3" x14ac:dyDescent="0.25">
      <c r="A60" s="46"/>
      <c r="B60" s="58">
        <v>72300</v>
      </c>
      <c r="C60" s="80" t="s">
        <v>130</v>
      </c>
    </row>
    <row r="61" spans="1:3" x14ac:dyDescent="0.25">
      <c r="A61" s="46"/>
      <c r="B61" s="58">
        <v>72400</v>
      </c>
      <c r="C61" s="80" t="s">
        <v>131</v>
      </c>
    </row>
    <row r="62" spans="1:3" x14ac:dyDescent="0.25">
      <c r="A62" s="46"/>
      <c r="B62" s="58">
        <v>72500</v>
      </c>
      <c r="C62" s="80" t="s">
        <v>132</v>
      </c>
    </row>
    <row r="63" spans="1:3" x14ac:dyDescent="0.25">
      <c r="A63" s="46"/>
      <c r="B63" s="58">
        <v>72600</v>
      </c>
      <c r="C63" s="80" t="s">
        <v>133</v>
      </c>
    </row>
    <row r="64" spans="1:3" x14ac:dyDescent="0.25">
      <c r="A64" s="61"/>
      <c r="B64" s="62"/>
      <c r="C64" s="63"/>
    </row>
    <row r="65" spans="1:3" x14ac:dyDescent="0.25">
      <c r="A65" s="46" t="s">
        <v>103</v>
      </c>
      <c r="B65" s="240" t="s">
        <v>105</v>
      </c>
      <c r="C65" s="241"/>
    </row>
    <row r="66" spans="1:3" x14ac:dyDescent="0.25">
      <c r="A66" s="46"/>
      <c r="B66" s="47">
        <v>80000</v>
      </c>
      <c r="C66" s="48" t="s">
        <v>85</v>
      </c>
    </row>
    <row r="67" spans="1:3" x14ac:dyDescent="0.25">
      <c r="A67" s="46"/>
      <c r="B67" s="47">
        <v>81000</v>
      </c>
      <c r="C67" s="48" t="s">
        <v>107</v>
      </c>
    </row>
    <row r="68" spans="1:3" x14ac:dyDescent="0.25">
      <c r="A68" s="46"/>
      <c r="B68" s="47">
        <v>82000</v>
      </c>
      <c r="C68" s="48" t="s">
        <v>83</v>
      </c>
    </row>
    <row r="69" spans="1:3" x14ac:dyDescent="0.25">
      <c r="A69" s="46"/>
      <c r="B69" s="47">
        <v>82100</v>
      </c>
      <c r="C69" s="48" t="s">
        <v>67</v>
      </c>
    </row>
    <row r="70" spans="1:3" x14ac:dyDescent="0.25">
      <c r="A70" s="46"/>
      <c r="B70" s="47">
        <v>82200</v>
      </c>
      <c r="C70" s="48" t="s">
        <v>68</v>
      </c>
    </row>
    <row r="71" spans="1:3" x14ac:dyDescent="0.25">
      <c r="A71" s="61"/>
      <c r="B71" s="62"/>
      <c r="C71" s="63"/>
    </row>
    <row r="72" spans="1:3" x14ac:dyDescent="0.25">
      <c r="A72" s="46" t="s">
        <v>104</v>
      </c>
      <c r="B72" s="240" t="s">
        <v>106</v>
      </c>
      <c r="C72" s="241"/>
    </row>
    <row r="73" spans="1:3" x14ac:dyDescent="0.25">
      <c r="A73" s="46"/>
      <c r="B73" s="47">
        <v>90000</v>
      </c>
      <c r="C73" s="48" t="s">
        <v>85</v>
      </c>
    </row>
    <row r="74" spans="1:3" x14ac:dyDescent="0.25">
      <c r="A74" s="46"/>
      <c r="B74" s="47">
        <v>91000</v>
      </c>
      <c r="C74" s="48" t="s">
        <v>69</v>
      </c>
    </row>
    <row r="75" spans="1:3" x14ac:dyDescent="0.25">
      <c r="A75" s="46"/>
      <c r="B75" s="58">
        <v>92000</v>
      </c>
      <c r="C75" s="48" t="s">
        <v>193</v>
      </c>
    </row>
    <row r="76" spans="1:3" ht="15.75" thickBot="1" x14ac:dyDescent="0.3">
      <c r="A76" s="49"/>
      <c r="B76" s="50"/>
      <c r="C76" s="51"/>
    </row>
  </sheetData>
  <sheetProtection algorithmName="SHA-512" hashValue="SohTctgT7UUpnOe8u4QR3XlRRotQXsS/tIPMMFvt/EV/6o9tw/6lzm2m3s0FsPXPmpjIEgasUoKMyEpkjwhgUg==" saltValue="h0rkZN7n24YG3mLP7dLoeA==" spinCount="100000" sheet="1" objects="1" scenarios="1"/>
  <mergeCells count="9">
    <mergeCell ref="B14:C14"/>
    <mergeCell ref="B65:C65"/>
    <mergeCell ref="B72:C72"/>
    <mergeCell ref="B4:C4"/>
    <mergeCell ref="B55:C55"/>
    <mergeCell ref="B19:C19"/>
    <mergeCell ref="B25:C25"/>
    <mergeCell ref="B36:C36"/>
    <mergeCell ref="B47:C47"/>
  </mergeCells>
  <pageMargins left="0.25" right="0.25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1"/>
  <sheetViews>
    <sheetView zoomScale="70" zoomScaleNormal="70" zoomScalePageLayoutView="90" workbookViewId="0">
      <pane xSplit="3" topLeftCell="D1" activePane="topRight" state="frozen"/>
      <selection pane="topRight" activeCell="D3" sqref="D3"/>
    </sheetView>
  </sheetViews>
  <sheetFormatPr baseColWidth="10" defaultColWidth="11.42578125" defaultRowHeight="15" x14ac:dyDescent="0.25"/>
  <cols>
    <col min="1" max="1" width="9.42578125" style="1" bestFit="1" customWidth="1"/>
    <col min="2" max="2" width="6.42578125" style="1" bestFit="1" customWidth="1"/>
    <col min="3" max="3" width="37.5703125" style="1" bestFit="1" customWidth="1"/>
    <col min="4" max="4" width="17.140625" style="9" bestFit="1" customWidth="1"/>
    <col min="5" max="5" width="16.42578125" style="1" bestFit="1" customWidth="1"/>
    <col min="6" max="6" width="19.140625" style="9" bestFit="1" customWidth="1"/>
    <col min="7" max="7" width="3" style="1" customWidth="1"/>
    <col min="8" max="8" width="17.140625" style="1" bestFit="1" customWidth="1"/>
    <col min="9" max="9" width="16.42578125" style="9" bestFit="1" customWidth="1"/>
    <col min="10" max="10" width="19.140625" style="1" bestFit="1" customWidth="1"/>
    <col min="11" max="11" width="3.42578125" style="1" customWidth="1"/>
    <col min="12" max="12" width="17.140625" style="9" bestFit="1" customWidth="1"/>
    <col min="13" max="13" width="16.42578125" style="1" bestFit="1" customWidth="1"/>
    <col min="14" max="14" width="19.140625" style="1" bestFit="1" customWidth="1"/>
    <col min="15" max="15" width="4.5703125" style="9" customWidth="1"/>
    <col min="16" max="16" width="17.140625" style="1" bestFit="1" customWidth="1"/>
    <col min="17" max="17" width="16.42578125" style="1" bestFit="1" customWidth="1"/>
    <col min="18" max="18" width="19.140625" style="9" bestFit="1" customWidth="1"/>
    <col min="19" max="19" width="3.5703125" style="1" customWidth="1"/>
    <col min="20" max="20" width="17.140625" style="1" bestFit="1" customWidth="1"/>
    <col min="21" max="21" width="27.28515625" style="9" bestFit="1" customWidth="1"/>
    <col min="22" max="22" width="19.140625" style="1" bestFit="1" customWidth="1"/>
    <col min="23" max="23" width="4" style="1" customWidth="1"/>
    <col min="24" max="24" width="17.140625" style="9" bestFit="1" customWidth="1"/>
    <col min="25" max="25" width="16.42578125" style="1" bestFit="1" customWidth="1"/>
    <col min="26" max="26" width="19.140625" style="1" bestFit="1" customWidth="1"/>
    <col min="27" max="27" width="4.5703125" style="9" customWidth="1"/>
    <col min="28" max="28" width="17.140625" style="1" bestFit="1" customWidth="1"/>
    <col min="29" max="29" width="16.42578125" style="1" bestFit="1" customWidth="1"/>
    <col min="30" max="30" width="19.140625" style="9" bestFit="1" customWidth="1"/>
    <col min="31" max="31" width="4" style="1" customWidth="1"/>
    <col min="32" max="32" width="17.140625" style="1" bestFit="1" customWidth="1"/>
    <col min="33" max="33" width="26.28515625" style="9" bestFit="1" customWidth="1"/>
    <col min="34" max="34" width="19.140625" style="1" bestFit="1" customWidth="1"/>
    <col min="35" max="35" width="3.5703125" style="1" customWidth="1"/>
    <col min="36" max="36" width="17.140625" style="9" bestFit="1" customWidth="1"/>
    <col min="37" max="37" width="16.42578125" style="9" bestFit="1" customWidth="1"/>
    <col min="38" max="38" width="19.140625" style="9" bestFit="1" customWidth="1"/>
    <col min="39" max="39" width="4.5703125" style="9" customWidth="1"/>
    <col min="40" max="40" width="16.5703125" style="9" bestFit="1" customWidth="1"/>
    <col min="41" max="41" width="8.5703125" style="9" bestFit="1" customWidth="1"/>
    <col min="42" max="53" width="4.5703125" style="9" customWidth="1"/>
    <col min="54" max="16384" width="11.42578125" style="1"/>
  </cols>
  <sheetData>
    <row r="1" spans="1:53" ht="15.75" thickBot="1" x14ac:dyDescent="0.3">
      <c r="A1" s="39"/>
      <c r="B1" s="260" t="s">
        <v>76</v>
      </c>
      <c r="C1" s="261"/>
      <c r="D1" s="25">
        <v>50000</v>
      </c>
      <c r="E1" s="264" t="s">
        <v>53</v>
      </c>
      <c r="F1" s="265"/>
      <c r="G1" s="2"/>
      <c r="H1" s="25">
        <v>51000</v>
      </c>
      <c r="I1" s="264" t="s">
        <v>77</v>
      </c>
      <c r="J1" s="265" t="s">
        <v>54</v>
      </c>
      <c r="K1" s="2"/>
      <c r="L1" s="25">
        <v>52000</v>
      </c>
      <c r="M1" s="264" t="s">
        <v>62</v>
      </c>
      <c r="N1" s="265"/>
      <c r="O1" s="2"/>
      <c r="P1" s="25">
        <v>52100</v>
      </c>
      <c r="Q1" s="264" t="s">
        <v>158</v>
      </c>
      <c r="R1" s="265"/>
      <c r="T1" s="25">
        <v>52200</v>
      </c>
      <c r="U1" s="264" t="s">
        <v>159</v>
      </c>
      <c r="V1" s="265"/>
      <c r="W1" s="2"/>
      <c r="X1" s="25">
        <v>52300</v>
      </c>
      <c r="Y1" s="264" t="s">
        <v>163</v>
      </c>
      <c r="Z1" s="265"/>
      <c r="AB1" s="25">
        <v>53000</v>
      </c>
      <c r="AC1" s="264" t="s">
        <v>63</v>
      </c>
      <c r="AD1" s="265"/>
      <c r="AE1" s="2"/>
      <c r="AF1" s="25">
        <v>54000</v>
      </c>
      <c r="AG1" s="100" t="s">
        <v>64</v>
      </c>
      <c r="AH1" s="101"/>
      <c r="AJ1" s="25"/>
      <c r="AK1" s="264"/>
      <c r="AL1" s="265"/>
      <c r="AM1" s="1"/>
      <c r="AN1" s="1"/>
      <c r="AO1" s="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thickBot="1" x14ac:dyDescent="0.35">
      <c r="A2" s="38"/>
      <c r="B2" s="260" t="s">
        <v>287</v>
      </c>
      <c r="C2" s="261"/>
      <c r="D2" s="20"/>
      <c r="E2" s="21"/>
      <c r="F2" s="22"/>
      <c r="G2" s="3"/>
      <c r="H2" s="20"/>
      <c r="I2" s="21"/>
      <c r="J2" s="22"/>
      <c r="K2" s="3"/>
      <c r="L2" s="20"/>
      <c r="M2" s="21"/>
      <c r="N2" s="22"/>
      <c r="O2" s="3"/>
      <c r="P2" s="20"/>
      <c r="Q2" s="21"/>
      <c r="R2" s="22"/>
      <c r="T2" s="20"/>
      <c r="U2" s="21"/>
      <c r="V2" s="22"/>
      <c r="W2" s="3"/>
      <c r="X2" s="20"/>
      <c r="Y2" s="21"/>
      <c r="Z2" s="22"/>
      <c r="AB2" s="20"/>
      <c r="AC2" s="21"/>
      <c r="AD2" s="22"/>
      <c r="AE2" s="3"/>
      <c r="AF2" s="20"/>
      <c r="AG2" s="21"/>
      <c r="AH2" s="22"/>
      <c r="AJ2" s="20"/>
      <c r="AK2" s="21"/>
      <c r="AL2" s="22"/>
      <c r="AM2" s="1"/>
      <c r="AN2" s="1"/>
      <c r="AO2" s="1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thickBot="1" x14ac:dyDescent="0.35">
      <c r="B3" s="4" t="s">
        <v>0</v>
      </c>
      <c r="C3" s="24" t="s">
        <v>47</v>
      </c>
      <c r="D3" s="35" t="s">
        <v>217</v>
      </c>
      <c r="E3" s="36" t="s">
        <v>70</v>
      </c>
      <c r="F3" s="37" t="s">
        <v>218</v>
      </c>
      <c r="G3" s="5"/>
      <c r="H3" s="35" t="s">
        <v>217</v>
      </c>
      <c r="I3" s="36" t="s">
        <v>70</v>
      </c>
      <c r="J3" s="37" t="s">
        <v>218</v>
      </c>
      <c r="K3" s="5"/>
      <c r="L3" s="35" t="s">
        <v>217</v>
      </c>
      <c r="M3" s="36" t="s">
        <v>70</v>
      </c>
      <c r="N3" s="37" t="s">
        <v>218</v>
      </c>
      <c r="O3" s="5"/>
      <c r="P3" s="35" t="s">
        <v>217</v>
      </c>
      <c r="Q3" s="36" t="s">
        <v>70</v>
      </c>
      <c r="R3" s="37" t="s">
        <v>218</v>
      </c>
      <c r="T3" s="35" t="s">
        <v>217</v>
      </c>
      <c r="U3" s="36" t="s">
        <v>70</v>
      </c>
      <c r="V3" s="37" t="s">
        <v>218</v>
      </c>
      <c r="W3" s="5"/>
      <c r="X3" s="35" t="s">
        <v>217</v>
      </c>
      <c r="Y3" s="36" t="s">
        <v>70</v>
      </c>
      <c r="Z3" s="37" t="s">
        <v>218</v>
      </c>
      <c r="AB3" s="35" t="s">
        <v>217</v>
      </c>
      <c r="AC3" s="36" t="s">
        <v>70</v>
      </c>
      <c r="AD3" s="37" t="s">
        <v>218</v>
      </c>
      <c r="AE3" s="5"/>
      <c r="AF3" s="35" t="s">
        <v>217</v>
      </c>
      <c r="AG3" s="36" t="s">
        <v>70</v>
      </c>
      <c r="AH3" s="37" t="s">
        <v>218</v>
      </c>
      <c r="AJ3" s="35" t="s">
        <v>217</v>
      </c>
      <c r="AK3" s="36" t="s">
        <v>70</v>
      </c>
      <c r="AL3" s="37" t="s">
        <v>218</v>
      </c>
      <c r="AM3" s="1"/>
      <c r="AN3" s="133" t="s">
        <v>52</v>
      </c>
      <c r="AO3" s="137" t="s">
        <v>0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thickBot="1" x14ac:dyDescent="0.35">
      <c r="A4" s="6" t="s">
        <v>45</v>
      </c>
      <c r="B4" s="7">
        <v>3100</v>
      </c>
      <c r="C4" s="23" t="s">
        <v>3</v>
      </c>
      <c r="D4" s="113"/>
      <c r="E4" s="114"/>
      <c r="F4" s="115"/>
      <c r="G4" s="116"/>
      <c r="H4" s="113"/>
      <c r="I4" s="114"/>
      <c r="J4" s="115"/>
      <c r="K4" s="116"/>
      <c r="L4" s="113"/>
      <c r="M4" s="114"/>
      <c r="N4" s="115"/>
      <c r="O4" s="116"/>
      <c r="P4" s="113"/>
      <c r="Q4" s="114"/>
      <c r="R4" s="115"/>
      <c r="S4" s="116"/>
      <c r="T4" s="113"/>
      <c r="U4" s="114"/>
      <c r="V4" s="115"/>
      <c r="W4" s="116"/>
      <c r="X4" s="113"/>
      <c r="Y4" s="114"/>
      <c r="Z4" s="115"/>
      <c r="AA4" s="116"/>
      <c r="AB4" s="113"/>
      <c r="AC4" s="114"/>
      <c r="AD4" s="115"/>
      <c r="AE4" s="116"/>
      <c r="AF4" s="113"/>
      <c r="AG4" s="114"/>
      <c r="AH4" s="115"/>
      <c r="AI4" s="130"/>
      <c r="AJ4" s="113"/>
      <c r="AK4" s="114"/>
      <c r="AL4" s="115"/>
      <c r="AM4" s="130"/>
      <c r="AN4" s="134">
        <f t="shared" ref="AN4:AN50" si="0">AJ4+AF4+AB4+X4+T4+P4+L4+H4+D4</f>
        <v>0</v>
      </c>
      <c r="AO4" s="138">
        <v>3100</v>
      </c>
    </row>
    <row r="5" spans="1:53" hidden="1" thickBot="1" x14ac:dyDescent="0.35">
      <c r="B5" s="7">
        <v>3120</v>
      </c>
      <c r="C5" s="8" t="s">
        <v>4</v>
      </c>
      <c r="D5" s="113"/>
      <c r="E5" s="114"/>
      <c r="F5" s="115"/>
      <c r="G5" s="116"/>
      <c r="H5" s="113"/>
      <c r="I5" s="114"/>
      <c r="J5" s="115"/>
      <c r="K5" s="116"/>
      <c r="L5" s="113"/>
      <c r="M5" s="114"/>
      <c r="N5" s="115"/>
      <c r="O5" s="116"/>
      <c r="P5" s="113"/>
      <c r="Q5" s="114"/>
      <c r="R5" s="115"/>
      <c r="S5" s="116"/>
      <c r="T5" s="113"/>
      <c r="U5" s="114"/>
      <c r="V5" s="115"/>
      <c r="W5" s="116"/>
      <c r="X5" s="113"/>
      <c r="Y5" s="114"/>
      <c r="Z5" s="115"/>
      <c r="AA5" s="116"/>
      <c r="AB5" s="113"/>
      <c r="AC5" s="114"/>
      <c r="AD5" s="115"/>
      <c r="AE5" s="116"/>
      <c r="AF5" s="113"/>
      <c r="AG5" s="114"/>
      <c r="AH5" s="115"/>
      <c r="AI5" s="130"/>
      <c r="AJ5" s="113"/>
      <c r="AK5" s="114"/>
      <c r="AL5" s="115"/>
      <c r="AM5" s="130"/>
      <c r="AN5" s="134">
        <f t="shared" si="0"/>
        <v>0</v>
      </c>
      <c r="AO5" s="138">
        <v>3120</v>
      </c>
    </row>
    <row r="6" spans="1:53" hidden="1" thickBot="1" x14ac:dyDescent="0.35">
      <c r="B6" s="7">
        <v>3400</v>
      </c>
      <c r="C6" s="8" t="s">
        <v>5</v>
      </c>
      <c r="D6" s="113"/>
      <c r="E6" s="114"/>
      <c r="F6" s="115"/>
      <c r="G6" s="116"/>
      <c r="H6" s="113"/>
      <c r="I6" s="114"/>
      <c r="J6" s="115"/>
      <c r="K6" s="116"/>
      <c r="L6" s="113"/>
      <c r="M6" s="114"/>
      <c r="N6" s="115"/>
      <c r="O6" s="116"/>
      <c r="P6" s="113"/>
      <c r="Q6" s="114"/>
      <c r="R6" s="115"/>
      <c r="S6" s="116"/>
      <c r="T6" s="113"/>
      <c r="U6" s="114"/>
      <c r="V6" s="115"/>
      <c r="W6" s="116"/>
      <c r="X6" s="113"/>
      <c r="Y6" s="114"/>
      <c r="Z6" s="115"/>
      <c r="AA6" s="116"/>
      <c r="AB6" s="113"/>
      <c r="AC6" s="114"/>
      <c r="AD6" s="115"/>
      <c r="AE6" s="116"/>
      <c r="AF6" s="113"/>
      <c r="AG6" s="114"/>
      <c r="AH6" s="115"/>
      <c r="AI6" s="130"/>
      <c r="AJ6" s="113"/>
      <c r="AK6" s="114"/>
      <c r="AL6" s="115"/>
      <c r="AM6" s="130"/>
      <c r="AN6" s="134">
        <f t="shared" si="0"/>
        <v>0</v>
      </c>
      <c r="AO6" s="138">
        <v>3400</v>
      </c>
    </row>
    <row r="7" spans="1:53" hidden="1" thickBot="1" x14ac:dyDescent="0.35">
      <c r="B7" s="7">
        <v>3410</v>
      </c>
      <c r="C7" s="8" t="s">
        <v>6</v>
      </c>
      <c r="D7" s="113"/>
      <c r="E7" s="114"/>
      <c r="F7" s="115"/>
      <c r="G7" s="116"/>
      <c r="H7" s="113"/>
      <c r="I7" s="114"/>
      <c r="J7" s="115"/>
      <c r="K7" s="116"/>
      <c r="L7" s="113"/>
      <c r="M7" s="114"/>
      <c r="N7" s="115"/>
      <c r="O7" s="116"/>
      <c r="P7" s="113"/>
      <c r="Q7" s="114"/>
      <c r="R7" s="115"/>
      <c r="S7" s="116"/>
      <c r="T7" s="113"/>
      <c r="U7" s="114"/>
      <c r="V7" s="115"/>
      <c r="W7" s="116"/>
      <c r="X7" s="113"/>
      <c r="Y7" s="114"/>
      <c r="Z7" s="115"/>
      <c r="AA7" s="116"/>
      <c r="AB7" s="113"/>
      <c r="AC7" s="114"/>
      <c r="AD7" s="115"/>
      <c r="AE7" s="116"/>
      <c r="AF7" s="113"/>
      <c r="AG7" s="114"/>
      <c r="AH7" s="115"/>
      <c r="AI7" s="130"/>
      <c r="AJ7" s="113"/>
      <c r="AK7" s="114"/>
      <c r="AL7" s="115"/>
      <c r="AM7" s="130"/>
      <c r="AN7" s="134">
        <f t="shared" si="0"/>
        <v>0</v>
      </c>
      <c r="AO7" s="138">
        <v>3410</v>
      </c>
    </row>
    <row r="8" spans="1:53" hidden="1" thickBot="1" x14ac:dyDescent="0.35">
      <c r="B8" s="7">
        <v>3900</v>
      </c>
      <c r="C8" s="8" t="s">
        <v>7</v>
      </c>
      <c r="D8" s="113"/>
      <c r="E8" s="114"/>
      <c r="F8" s="115"/>
      <c r="G8" s="116"/>
      <c r="H8" s="113"/>
      <c r="I8" s="114"/>
      <c r="J8" s="115"/>
      <c r="K8" s="116"/>
      <c r="L8" s="113"/>
      <c r="M8" s="114"/>
      <c r="N8" s="115"/>
      <c r="O8" s="116"/>
      <c r="P8" s="113"/>
      <c r="Q8" s="114"/>
      <c r="R8" s="115"/>
      <c r="S8" s="116"/>
      <c r="T8" s="113"/>
      <c r="U8" s="114"/>
      <c r="V8" s="115"/>
      <c r="W8" s="116"/>
      <c r="X8" s="113"/>
      <c r="Y8" s="114"/>
      <c r="Z8" s="115"/>
      <c r="AA8" s="116"/>
      <c r="AB8" s="113"/>
      <c r="AC8" s="114"/>
      <c r="AD8" s="115"/>
      <c r="AE8" s="116"/>
      <c r="AF8" s="113"/>
      <c r="AG8" s="114"/>
      <c r="AH8" s="115"/>
      <c r="AI8" s="130"/>
      <c r="AJ8" s="113"/>
      <c r="AK8" s="114"/>
      <c r="AL8" s="115"/>
      <c r="AM8" s="130"/>
      <c r="AN8" s="134">
        <f t="shared" si="0"/>
        <v>0</v>
      </c>
      <c r="AO8" s="138">
        <v>3900</v>
      </c>
    </row>
    <row r="9" spans="1:53" hidden="1" thickBot="1" x14ac:dyDescent="0.35">
      <c r="B9" s="7">
        <v>3910</v>
      </c>
      <c r="C9" s="8" t="s">
        <v>8</v>
      </c>
      <c r="D9" s="113"/>
      <c r="E9" s="114"/>
      <c r="F9" s="115"/>
      <c r="G9" s="116"/>
      <c r="H9" s="113"/>
      <c r="I9" s="114"/>
      <c r="J9" s="115"/>
      <c r="K9" s="116"/>
      <c r="L9" s="113"/>
      <c r="M9" s="114"/>
      <c r="N9" s="115"/>
      <c r="O9" s="116"/>
      <c r="P9" s="113"/>
      <c r="Q9" s="114"/>
      <c r="R9" s="115"/>
      <c r="S9" s="116"/>
      <c r="T9" s="113"/>
      <c r="U9" s="114"/>
      <c r="V9" s="115"/>
      <c r="W9" s="116"/>
      <c r="X9" s="113"/>
      <c r="Y9" s="114"/>
      <c r="Z9" s="115"/>
      <c r="AA9" s="116"/>
      <c r="AB9" s="113"/>
      <c r="AC9" s="114"/>
      <c r="AD9" s="115"/>
      <c r="AE9" s="116"/>
      <c r="AF9" s="113"/>
      <c r="AG9" s="114"/>
      <c r="AH9" s="115"/>
      <c r="AI9" s="130"/>
      <c r="AJ9" s="113"/>
      <c r="AK9" s="114"/>
      <c r="AL9" s="115"/>
      <c r="AM9" s="130"/>
      <c r="AN9" s="134">
        <f t="shared" si="0"/>
        <v>0</v>
      </c>
      <c r="AO9" s="138">
        <v>3910</v>
      </c>
    </row>
    <row r="10" spans="1:53" hidden="1" thickBot="1" x14ac:dyDescent="0.35">
      <c r="B10" s="10">
        <v>3950</v>
      </c>
      <c r="C10" s="11" t="s">
        <v>9</v>
      </c>
      <c r="D10" s="117"/>
      <c r="E10" s="118"/>
      <c r="F10" s="119"/>
      <c r="G10" s="116"/>
      <c r="H10" s="117"/>
      <c r="I10" s="118"/>
      <c r="J10" s="119"/>
      <c r="K10" s="116"/>
      <c r="L10" s="117"/>
      <c r="M10" s="118"/>
      <c r="N10" s="119"/>
      <c r="O10" s="116"/>
      <c r="P10" s="117"/>
      <c r="Q10" s="118"/>
      <c r="R10" s="119"/>
      <c r="S10" s="116"/>
      <c r="T10" s="117"/>
      <c r="U10" s="118"/>
      <c r="V10" s="119"/>
      <c r="W10" s="116"/>
      <c r="X10" s="117"/>
      <c r="Y10" s="118"/>
      <c r="Z10" s="119"/>
      <c r="AA10" s="116"/>
      <c r="AB10" s="117"/>
      <c r="AC10" s="118"/>
      <c r="AD10" s="119"/>
      <c r="AE10" s="116"/>
      <c r="AF10" s="117"/>
      <c r="AG10" s="118"/>
      <c r="AH10" s="119"/>
      <c r="AI10" s="130"/>
      <c r="AJ10" s="117"/>
      <c r="AK10" s="118"/>
      <c r="AL10" s="119"/>
      <c r="AM10" s="130"/>
      <c r="AN10" s="134">
        <f t="shared" si="0"/>
        <v>0</v>
      </c>
      <c r="AO10" s="142">
        <v>3950</v>
      </c>
    </row>
    <row r="11" spans="1:53" thickBot="1" x14ac:dyDescent="0.35">
      <c r="B11" s="30"/>
      <c r="C11" s="31" t="s">
        <v>73</v>
      </c>
      <c r="D11" s="120">
        <f>SUM(D4:D10)</f>
        <v>0</v>
      </c>
      <c r="E11" s="120"/>
      <c r="F11" s="120">
        <v>850</v>
      </c>
      <c r="G11" s="116"/>
      <c r="H11" s="120">
        <f t="shared" ref="H11:J11" si="1">SUM(H4:H10)</f>
        <v>0</v>
      </c>
      <c r="I11" s="120"/>
      <c r="J11" s="120">
        <f t="shared" si="1"/>
        <v>0</v>
      </c>
      <c r="K11" s="116"/>
      <c r="L11" s="120">
        <f t="shared" ref="L11:N11" si="2">SUM(L4:L10)</f>
        <v>0</v>
      </c>
      <c r="M11" s="120"/>
      <c r="N11" s="120">
        <f t="shared" si="2"/>
        <v>0</v>
      </c>
      <c r="O11" s="116"/>
      <c r="P11" s="120">
        <f t="shared" ref="P11:R11" si="3">SUM(P4:P10)</f>
        <v>0</v>
      </c>
      <c r="Q11" s="120"/>
      <c r="R11" s="120">
        <f t="shared" si="3"/>
        <v>0</v>
      </c>
      <c r="S11" s="116"/>
      <c r="T11" s="120">
        <f t="shared" ref="T11:V11" si="4">SUM(T4:T10)</f>
        <v>0</v>
      </c>
      <c r="U11" s="120"/>
      <c r="V11" s="120">
        <f t="shared" si="4"/>
        <v>0</v>
      </c>
      <c r="W11" s="116"/>
      <c r="X11" s="120">
        <f t="shared" ref="X11" si="5">SUM(X4:X10)</f>
        <v>0</v>
      </c>
      <c r="Y11" s="121"/>
      <c r="Z11" s="122"/>
      <c r="AA11" s="116"/>
      <c r="AB11" s="120">
        <f t="shared" ref="AB11" si="6">SUM(AB4:AB10)</f>
        <v>0</v>
      </c>
      <c r="AC11" s="121"/>
      <c r="AD11" s="122"/>
      <c r="AE11" s="116"/>
      <c r="AF11" s="120">
        <f t="shared" ref="AF11" si="7">SUM(AF4:AF10)</f>
        <v>0</v>
      </c>
      <c r="AG11" s="121"/>
      <c r="AH11" s="122"/>
      <c r="AI11" s="116"/>
      <c r="AJ11" s="120">
        <f t="shared" ref="AJ11" si="8">SUM(AJ4:AJ10)</f>
        <v>0</v>
      </c>
      <c r="AK11" s="121"/>
      <c r="AL11" s="122"/>
      <c r="AM11" s="130"/>
      <c r="AN11" s="134">
        <f t="shared" si="0"/>
        <v>0</v>
      </c>
      <c r="AO11" s="139"/>
    </row>
    <row r="12" spans="1:53" ht="15.75" thickBot="1" x14ac:dyDescent="0.3">
      <c r="A12" s="27" t="s">
        <v>46</v>
      </c>
      <c r="B12" s="26">
        <v>5000</v>
      </c>
      <c r="C12" s="29" t="s">
        <v>10</v>
      </c>
      <c r="D12" s="123"/>
      <c r="E12" s="114"/>
      <c r="F12" s="115"/>
      <c r="G12" s="116"/>
      <c r="H12" s="123"/>
      <c r="I12" s="114"/>
      <c r="J12" s="115"/>
      <c r="K12" s="116"/>
      <c r="L12" s="123"/>
      <c r="M12" s="114"/>
      <c r="N12" s="115"/>
      <c r="O12" s="116"/>
      <c r="P12" s="123"/>
      <c r="Q12" s="114"/>
      <c r="R12" s="115"/>
      <c r="S12" s="116"/>
      <c r="T12" s="123"/>
      <c r="U12" s="114"/>
      <c r="V12" s="115"/>
      <c r="W12" s="116"/>
      <c r="X12" s="123"/>
      <c r="Y12" s="114"/>
      <c r="Z12" s="115"/>
      <c r="AA12" s="116"/>
      <c r="AB12" s="123"/>
      <c r="AC12" s="114"/>
      <c r="AD12" s="115"/>
      <c r="AE12" s="116"/>
      <c r="AF12" s="123"/>
      <c r="AG12" s="114"/>
      <c r="AH12" s="115"/>
      <c r="AI12" s="130"/>
      <c r="AJ12" s="123"/>
      <c r="AK12" s="114"/>
      <c r="AL12" s="115"/>
      <c r="AM12" s="130"/>
      <c r="AN12" s="134">
        <f t="shared" si="0"/>
        <v>0</v>
      </c>
      <c r="AO12" s="140">
        <v>5000</v>
      </c>
    </row>
    <row r="13" spans="1:53" hidden="1" thickBot="1" x14ac:dyDescent="0.35">
      <c r="B13" s="7">
        <v>5001</v>
      </c>
      <c r="C13" s="15" t="s">
        <v>11</v>
      </c>
      <c r="D13" s="123"/>
      <c r="E13" s="114"/>
      <c r="F13" s="115"/>
      <c r="G13" s="116"/>
      <c r="H13" s="123"/>
      <c r="I13" s="114"/>
      <c r="J13" s="115"/>
      <c r="K13" s="116"/>
      <c r="L13" s="123"/>
      <c r="M13" s="114"/>
      <c r="N13" s="115"/>
      <c r="O13" s="116"/>
      <c r="P13" s="123"/>
      <c r="Q13" s="114"/>
      <c r="R13" s="115"/>
      <c r="S13" s="116"/>
      <c r="T13" s="123"/>
      <c r="U13" s="114"/>
      <c r="V13" s="115"/>
      <c r="W13" s="116"/>
      <c r="X13" s="123"/>
      <c r="Y13" s="114"/>
      <c r="Z13" s="115"/>
      <c r="AA13" s="116"/>
      <c r="AB13" s="123"/>
      <c r="AC13" s="114"/>
      <c r="AD13" s="115"/>
      <c r="AE13" s="116"/>
      <c r="AF13" s="123"/>
      <c r="AG13" s="114"/>
      <c r="AH13" s="115"/>
      <c r="AI13" s="130"/>
      <c r="AJ13" s="123"/>
      <c r="AK13" s="114"/>
      <c r="AL13" s="115"/>
      <c r="AM13" s="130"/>
      <c r="AN13" s="134">
        <f t="shared" si="0"/>
        <v>0</v>
      </c>
      <c r="AO13" s="138">
        <v>5001</v>
      </c>
    </row>
    <row r="14" spans="1:53" hidden="1" thickBot="1" x14ac:dyDescent="0.35">
      <c r="B14" s="7">
        <v>5004</v>
      </c>
      <c r="C14" s="15" t="s">
        <v>12</v>
      </c>
      <c r="D14" s="123"/>
      <c r="E14" s="114"/>
      <c r="F14" s="115"/>
      <c r="G14" s="116"/>
      <c r="H14" s="123"/>
      <c r="I14" s="114"/>
      <c r="J14" s="115"/>
      <c r="K14" s="116"/>
      <c r="L14" s="123"/>
      <c r="M14" s="114"/>
      <c r="N14" s="115"/>
      <c r="O14" s="116"/>
      <c r="P14" s="123"/>
      <c r="Q14" s="114"/>
      <c r="R14" s="115"/>
      <c r="S14" s="116"/>
      <c r="T14" s="123"/>
      <c r="U14" s="114"/>
      <c r="V14" s="115"/>
      <c r="W14" s="116"/>
      <c r="X14" s="123"/>
      <c r="Y14" s="114"/>
      <c r="Z14" s="115"/>
      <c r="AA14" s="116"/>
      <c r="AB14" s="123"/>
      <c r="AC14" s="114"/>
      <c r="AD14" s="115"/>
      <c r="AE14" s="116"/>
      <c r="AF14" s="123"/>
      <c r="AG14" s="114"/>
      <c r="AH14" s="115"/>
      <c r="AI14" s="130"/>
      <c r="AJ14" s="123"/>
      <c r="AK14" s="114"/>
      <c r="AL14" s="115"/>
      <c r="AM14" s="130"/>
      <c r="AN14" s="134">
        <f t="shared" si="0"/>
        <v>0</v>
      </c>
      <c r="AO14" s="138">
        <v>5004</v>
      </c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idden="1" thickBot="1" x14ac:dyDescent="0.35">
      <c r="A15" s="12"/>
      <c r="B15" s="14">
        <v>5180</v>
      </c>
      <c r="C15" s="17" t="s">
        <v>13</v>
      </c>
      <c r="D15" s="124">
        <f>SUM(D12*0.12)</f>
        <v>0</v>
      </c>
      <c r="E15" s="125"/>
      <c r="F15" s="126"/>
      <c r="G15" s="127"/>
      <c r="H15" s="124">
        <f>SUM(H12*0.12)</f>
        <v>0</v>
      </c>
      <c r="I15" s="125"/>
      <c r="J15" s="126"/>
      <c r="K15" s="127"/>
      <c r="L15" s="124">
        <f>SUM(L12*0.12)</f>
        <v>0</v>
      </c>
      <c r="M15" s="125"/>
      <c r="N15" s="126"/>
      <c r="O15" s="127"/>
      <c r="P15" s="124">
        <f>SUM(P12*0.12)</f>
        <v>0</v>
      </c>
      <c r="Q15" s="125"/>
      <c r="R15" s="126"/>
      <c r="S15" s="127"/>
      <c r="T15" s="124">
        <f>SUM(T12*0.12)</f>
        <v>0</v>
      </c>
      <c r="U15" s="125"/>
      <c r="V15" s="126"/>
      <c r="W15" s="127"/>
      <c r="X15" s="124">
        <f>SUM(X12*0.12)</f>
        <v>0</v>
      </c>
      <c r="Y15" s="125"/>
      <c r="Z15" s="126"/>
      <c r="AA15" s="127"/>
      <c r="AB15" s="124">
        <f>SUM(AB12*0.12)</f>
        <v>0</v>
      </c>
      <c r="AC15" s="125"/>
      <c r="AD15" s="126"/>
      <c r="AE15" s="127"/>
      <c r="AF15" s="124">
        <f>SUM(AF12*0.12)</f>
        <v>0</v>
      </c>
      <c r="AG15" s="125"/>
      <c r="AH15" s="126"/>
      <c r="AI15" s="130"/>
      <c r="AJ15" s="124">
        <f>SUM(AJ12*0.12)</f>
        <v>0</v>
      </c>
      <c r="AK15" s="125"/>
      <c r="AL15" s="126"/>
      <c r="AM15" s="130"/>
      <c r="AN15" s="134">
        <f t="shared" si="0"/>
        <v>0</v>
      </c>
      <c r="AO15" s="141">
        <v>5180</v>
      </c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idden="1" thickBot="1" x14ac:dyDescent="0.35">
      <c r="A16" s="12"/>
      <c r="B16" s="14">
        <v>5182</v>
      </c>
      <c r="C16" s="17" t="s">
        <v>14</v>
      </c>
      <c r="D16" s="124">
        <f>SUM(D15*0.141)</f>
        <v>0</v>
      </c>
      <c r="E16" s="125"/>
      <c r="F16" s="126"/>
      <c r="G16" s="127"/>
      <c r="H16" s="124">
        <f>SUM(H15*0.141)</f>
        <v>0</v>
      </c>
      <c r="I16" s="125"/>
      <c r="J16" s="126"/>
      <c r="K16" s="127"/>
      <c r="L16" s="124">
        <f>SUM(L15*0.141)</f>
        <v>0</v>
      </c>
      <c r="M16" s="125"/>
      <c r="N16" s="126"/>
      <c r="O16" s="127"/>
      <c r="P16" s="124">
        <f>SUM(P15*0.141)</f>
        <v>0</v>
      </c>
      <c r="Q16" s="125"/>
      <c r="R16" s="126"/>
      <c r="S16" s="127"/>
      <c r="T16" s="124">
        <f>SUM(T15*0.141)</f>
        <v>0</v>
      </c>
      <c r="U16" s="125"/>
      <c r="V16" s="126"/>
      <c r="W16" s="127"/>
      <c r="X16" s="124">
        <f>SUM(X15*0.141)</f>
        <v>0</v>
      </c>
      <c r="Y16" s="125"/>
      <c r="Z16" s="126"/>
      <c r="AA16" s="127"/>
      <c r="AB16" s="124">
        <f>SUM(AB15*0.141)</f>
        <v>0</v>
      </c>
      <c r="AC16" s="125"/>
      <c r="AD16" s="126"/>
      <c r="AE16" s="127"/>
      <c r="AF16" s="124">
        <f>SUM(AF15*0.141)</f>
        <v>0</v>
      </c>
      <c r="AG16" s="125"/>
      <c r="AH16" s="126"/>
      <c r="AI16" s="130"/>
      <c r="AJ16" s="124">
        <f>SUM(AJ15*0.141)</f>
        <v>0</v>
      </c>
      <c r="AK16" s="125"/>
      <c r="AL16" s="126"/>
      <c r="AM16" s="130"/>
      <c r="AN16" s="134">
        <f t="shared" si="0"/>
        <v>0</v>
      </c>
      <c r="AO16" s="141">
        <v>5182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idden="1" thickBot="1" x14ac:dyDescent="0.35">
      <c r="A17" s="12"/>
      <c r="B17" s="14">
        <v>5211</v>
      </c>
      <c r="C17" s="17" t="s">
        <v>15</v>
      </c>
      <c r="D17" s="128"/>
      <c r="E17" s="125"/>
      <c r="F17" s="126"/>
      <c r="G17" s="127"/>
      <c r="H17" s="128"/>
      <c r="I17" s="125"/>
      <c r="J17" s="126"/>
      <c r="K17" s="127"/>
      <c r="L17" s="128"/>
      <c r="M17" s="125"/>
      <c r="N17" s="126"/>
      <c r="O17" s="127"/>
      <c r="P17" s="128"/>
      <c r="Q17" s="125"/>
      <c r="R17" s="126"/>
      <c r="S17" s="127"/>
      <c r="T17" s="128"/>
      <c r="U17" s="125"/>
      <c r="V17" s="126"/>
      <c r="W17" s="127"/>
      <c r="X17" s="128"/>
      <c r="Y17" s="125"/>
      <c r="Z17" s="126"/>
      <c r="AA17" s="127"/>
      <c r="AB17" s="128"/>
      <c r="AC17" s="125"/>
      <c r="AD17" s="126"/>
      <c r="AE17" s="127"/>
      <c r="AF17" s="128"/>
      <c r="AG17" s="125"/>
      <c r="AH17" s="126"/>
      <c r="AI17" s="130"/>
      <c r="AJ17" s="128"/>
      <c r="AK17" s="125"/>
      <c r="AL17" s="126"/>
      <c r="AM17" s="130"/>
      <c r="AN17" s="134">
        <f t="shared" si="0"/>
        <v>0</v>
      </c>
      <c r="AO17" s="141">
        <v>5211</v>
      </c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idden="1" thickBot="1" x14ac:dyDescent="0.35">
      <c r="A18" s="12"/>
      <c r="B18" s="14">
        <v>5230</v>
      </c>
      <c r="C18" s="17" t="s">
        <v>16</v>
      </c>
      <c r="D18" s="128"/>
      <c r="E18" s="125"/>
      <c r="F18" s="126"/>
      <c r="G18" s="127"/>
      <c r="H18" s="128"/>
      <c r="I18" s="125"/>
      <c r="J18" s="126"/>
      <c r="K18" s="127"/>
      <c r="L18" s="128"/>
      <c r="M18" s="125"/>
      <c r="N18" s="126"/>
      <c r="O18" s="127"/>
      <c r="P18" s="128"/>
      <c r="Q18" s="125"/>
      <c r="R18" s="126"/>
      <c r="S18" s="127"/>
      <c r="T18" s="128"/>
      <c r="U18" s="125"/>
      <c r="V18" s="126"/>
      <c r="W18" s="127"/>
      <c r="X18" s="128"/>
      <c r="Y18" s="125"/>
      <c r="Z18" s="126"/>
      <c r="AA18" s="127"/>
      <c r="AB18" s="128"/>
      <c r="AC18" s="125"/>
      <c r="AD18" s="126"/>
      <c r="AE18" s="127"/>
      <c r="AF18" s="128"/>
      <c r="AG18" s="125"/>
      <c r="AH18" s="126"/>
      <c r="AI18" s="130"/>
      <c r="AJ18" s="128"/>
      <c r="AK18" s="125"/>
      <c r="AL18" s="126"/>
      <c r="AM18" s="130"/>
      <c r="AN18" s="134">
        <f t="shared" si="0"/>
        <v>0</v>
      </c>
      <c r="AO18" s="141">
        <v>5230</v>
      </c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idden="1" thickBot="1" x14ac:dyDescent="0.35">
      <c r="A19" s="12"/>
      <c r="B19" s="7">
        <v>5400</v>
      </c>
      <c r="C19" s="15" t="s">
        <v>48</v>
      </c>
      <c r="D19" s="124">
        <f>SUM((D12+D13+D14+D17+D18)*0.141)</f>
        <v>0</v>
      </c>
      <c r="E19" s="125"/>
      <c r="F19" s="126"/>
      <c r="G19" s="127"/>
      <c r="H19" s="124">
        <f>SUM((H12+H13+H14+H17+H18)*0.141)</f>
        <v>0</v>
      </c>
      <c r="I19" s="125"/>
      <c r="J19" s="126"/>
      <c r="K19" s="127"/>
      <c r="L19" s="124">
        <f>SUM((L12+L13+L14+L17+L18)*0.141)</f>
        <v>0</v>
      </c>
      <c r="M19" s="125"/>
      <c r="N19" s="126"/>
      <c r="O19" s="127"/>
      <c r="P19" s="124">
        <f>SUM((P12+P13+P14+P17+P18)*0.141)</f>
        <v>0</v>
      </c>
      <c r="Q19" s="125"/>
      <c r="R19" s="126"/>
      <c r="S19" s="127"/>
      <c r="T19" s="124">
        <f>SUM((T12+T13+T14+T17+T18)*0.141)</f>
        <v>0</v>
      </c>
      <c r="U19" s="125"/>
      <c r="V19" s="126"/>
      <c r="W19" s="127"/>
      <c r="X19" s="124">
        <f>SUM((X12+X13+X14+X17+X18)*0.141)</f>
        <v>0</v>
      </c>
      <c r="Y19" s="125"/>
      <c r="Z19" s="126"/>
      <c r="AA19" s="127"/>
      <c r="AB19" s="124">
        <f>SUM((AB12+AB13+AB14+AB17+AB18)*0.141)</f>
        <v>0</v>
      </c>
      <c r="AC19" s="125"/>
      <c r="AD19" s="126"/>
      <c r="AE19" s="127"/>
      <c r="AF19" s="124">
        <f>SUM((AF12+AF13+AF14+AF17+AF18)*0.141)</f>
        <v>0</v>
      </c>
      <c r="AG19" s="125"/>
      <c r="AH19" s="126"/>
      <c r="AI19" s="130"/>
      <c r="AJ19" s="124">
        <f>SUM((AJ12+AJ13+AJ14+AJ17+AJ18)*0.141)</f>
        <v>0</v>
      </c>
      <c r="AK19" s="125"/>
      <c r="AL19" s="126"/>
      <c r="AM19" s="130"/>
      <c r="AN19" s="134">
        <f t="shared" si="0"/>
        <v>0</v>
      </c>
      <c r="AO19" s="138">
        <v>5400</v>
      </c>
    </row>
    <row r="20" spans="1:53" hidden="1" thickBot="1" x14ac:dyDescent="0.35">
      <c r="B20" s="7">
        <v>5990</v>
      </c>
      <c r="C20" s="15" t="s">
        <v>17</v>
      </c>
      <c r="D20" s="113"/>
      <c r="E20" s="114"/>
      <c r="F20" s="115"/>
      <c r="G20" s="116"/>
      <c r="H20" s="113"/>
      <c r="I20" s="114"/>
      <c r="J20" s="115"/>
      <c r="K20" s="116"/>
      <c r="L20" s="113"/>
      <c r="M20" s="114"/>
      <c r="N20" s="115"/>
      <c r="O20" s="116"/>
      <c r="P20" s="113"/>
      <c r="Q20" s="114"/>
      <c r="R20" s="115"/>
      <c r="S20" s="116"/>
      <c r="T20" s="113"/>
      <c r="U20" s="114"/>
      <c r="V20" s="115"/>
      <c r="W20" s="116"/>
      <c r="X20" s="113"/>
      <c r="Y20" s="114"/>
      <c r="Z20" s="115"/>
      <c r="AA20" s="116"/>
      <c r="AB20" s="113"/>
      <c r="AC20" s="114"/>
      <c r="AD20" s="115"/>
      <c r="AE20" s="116"/>
      <c r="AF20" s="113"/>
      <c r="AG20" s="114"/>
      <c r="AH20" s="115"/>
      <c r="AI20" s="130"/>
      <c r="AJ20" s="113"/>
      <c r="AK20" s="114"/>
      <c r="AL20" s="115"/>
      <c r="AM20" s="130"/>
      <c r="AN20" s="134">
        <f t="shared" si="0"/>
        <v>0</v>
      </c>
      <c r="AO20" s="138">
        <v>5990</v>
      </c>
    </row>
    <row r="21" spans="1:53" hidden="1" thickBot="1" x14ac:dyDescent="0.35">
      <c r="B21" s="7">
        <v>6110</v>
      </c>
      <c r="C21" s="15" t="s">
        <v>50</v>
      </c>
      <c r="D21" s="113"/>
      <c r="E21" s="114"/>
      <c r="F21" s="115"/>
      <c r="G21" s="116"/>
      <c r="H21" s="113"/>
      <c r="I21" s="114"/>
      <c r="J21" s="115"/>
      <c r="K21" s="116"/>
      <c r="L21" s="113"/>
      <c r="M21" s="114"/>
      <c r="N21" s="115"/>
      <c r="O21" s="116"/>
      <c r="P21" s="113"/>
      <c r="Q21" s="114"/>
      <c r="R21" s="115"/>
      <c r="S21" s="116"/>
      <c r="T21" s="113"/>
      <c r="U21" s="114"/>
      <c r="V21" s="115"/>
      <c r="W21" s="116"/>
      <c r="X21" s="113"/>
      <c r="Y21" s="114"/>
      <c r="Z21" s="115"/>
      <c r="AA21" s="116"/>
      <c r="AB21" s="113"/>
      <c r="AC21" s="114"/>
      <c r="AD21" s="115"/>
      <c r="AE21" s="116"/>
      <c r="AF21" s="113"/>
      <c r="AG21" s="114"/>
      <c r="AH21" s="115"/>
      <c r="AI21" s="130"/>
      <c r="AJ21" s="113"/>
      <c r="AK21" s="114"/>
      <c r="AL21" s="115"/>
      <c r="AM21" s="130"/>
      <c r="AN21" s="134">
        <f t="shared" si="0"/>
        <v>0</v>
      </c>
      <c r="AO21" s="138">
        <v>6110</v>
      </c>
    </row>
    <row r="22" spans="1:53" hidden="1" thickBot="1" x14ac:dyDescent="0.35">
      <c r="B22" s="7">
        <v>6300</v>
      </c>
      <c r="C22" s="15" t="s">
        <v>18</v>
      </c>
      <c r="D22" s="113"/>
      <c r="E22" s="114"/>
      <c r="F22" s="115"/>
      <c r="G22" s="116"/>
      <c r="H22" s="113"/>
      <c r="I22" s="114"/>
      <c r="J22" s="115"/>
      <c r="K22" s="116"/>
      <c r="L22" s="113"/>
      <c r="M22" s="114"/>
      <c r="N22" s="115"/>
      <c r="O22" s="116"/>
      <c r="P22" s="113"/>
      <c r="Q22" s="114"/>
      <c r="R22" s="115"/>
      <c r="S22" s="116"/>
      <c r="T22" s="113"/>
      <c r="U22" s="114"/>
      <c r="V22" s="115"/>
      <c r="W22" s="116"/>
      <c r="X22" s="113"/>
      <c r="Y22" s="114"/>
      <c r="Z22" s="115"/>
      <c r="AA22" s="116"/>
      <c r="AB22" s="113"/>
      <c r="AC22" s="114"/>
      <c r="AD22" s="115"/>
      <c r="AE22" s="116"/>
      <c r="AF22" s="113"/>
      <c r="AG22" s="114"/>
      <c r="AH22" s="115"/>
      <c r="AI22" s="130"/>
      <c r="AJ22" s="113"/>
      <c r="AK22" s="114"/>
      <c r="AL22" s="115"/>
      <c r="AM22" s="130"/>
      <c r="AN22" s="134">
        <f t="shared" si="0"/>
        <v>0</v>
      </c>
      <c r="AO22" s="138">
        <v>6300</v>
      </c>
    </row>
    <row r="23" spans="1:53" hidden="1" thickBot="1" x14ac:dyDescent="0.35">
      <c r="B23" s="7">
        <v>6440</v>
      </c>
      <c r="C23" s="15" t="s">
        <v>19</v>
      </c>
      <c r="D23" s="113"/>
      <c r="E23" s="114"/>
      <c r="F23" s="115"/>
      <c r="G23" s="116"/>
      <c r="H23" s="113"/>
      <c r="I23" s="114"/>
      <c r="J23" s="115"/>
      <c r="K23" s="116"/>
      <c r="L23" s="113"/>
      <c r="M23" s="114"/>
      <c r="N23" s="115"/>
      <c r="O23" s="116"/>
      <c r="P23" s="113"/>
      <c r="Q23" s="114"/>
      <c r="R23" s="115"/>
      <c r="S23" s="116"/>
      <c r="T23" s="113"/>
      <c r="U23" s="114"/>
      <c r="V23" s="115"/>
      <c r="W23" s="116"/>
      <c r="X23" s="113"/>
      <c r="Y23" s="114"/>
      <c r="Z23" s="115"/>
      <c r="AA23" s="116"/>
      <c r="AB23" s="113"/>
      <c r="AC23" s="114"/>
      <c r="AD23" s="115"/>
      <c r="AE23" s="116"/>
      <c r="AF23" s="113"/>
      <c r="AG23" s="114"/>
      <c r="AH23" s="115"/>
      <c r="AI23" s="130"/>
      <c r="AJ23" s="113"/>
      <c r="AK23" s="114"/>
      <c r="AL23" s="115"/>
      <c r="AM23" s="130"/>
      <c r="AN23" s="134">
        <f t="shared" si="0"/>
        <v>0</v>
      </c>
      <c r="AO23" s="138">
        <v>6440</v>
      </c>
    </row>
    <row r="24" spans="1:53" hidden="1" thickBot="1" x14ac:dyDescent="0.35">
      <c r="B24" s="7">
        <v>6550</v>
      </c>
      <c r="C24" s="15" t="s">
        <v>20</v>
      </c>
      <c r="D24" s="113"/>
      <c r="E24" s="114"/>
      <c r="F24" s="115"/>
      <c r="G24" s="116"/>
      <c r="H24" s="113"/>
      <c r="I24" s="114"/>
      <c r="J24" s="115"/>
      <c r="K24" s="116"/>
      <c r="L24" s="113"/>
      <c r="M24" s="114"/>
      <c r="N24" s="115"/>
      <c r="O24" s="116"/>
      <c r="P24" s="113"/>
      <c r="Q24" s="114"/>
      <c r="R24" s="115"/>
      <c r="S24" s="116"/>
      <c r="T24" s="113"/>
      <c r="U24" s="114"/>
      <c r="V24" s="115"/>
      <c r="W24" s="116"/>
      <c r="X24" s="113"/>
      <c r="Y24" s="114"/>
      <c r="Z24" s="115"/>
      <c r="AA24" s="116"/>
      <c r="AB24" s="113"/>
      <c r="AC24" s="114"/>
      <c r="AD24" s="115"/>
      <c r="AE24" s="116"/>
      <c r="AF24" s="113"/>
      <c r="AG24" s="114"/>
      <c r="AH24" s="115"/>
      <c r="AI24" s="130"/>
      <c r="AJ24" s="113"/>
      <c r="AK24" s="114"/>
      <c r="AL24" s="115"/>
      <c r="AM24" s="130"/>
      <c r="AN24" s="134">
        <f t="shared" si="0"/>
        <v>0</v>
      </c>
      <c r="AO24" s="138">
        <v>6550</v>
      </c>
    </row>
    <row r="25" spans="1:53" hidden="1" thickBot="1" x14ac:dyDescent="0.35">
      <c r="B25" s="7">
        <v>6560</v>
      </c>
      <c r="C25" s="15" t="s">
        <v>21</v>
      </c>
      <c r="D25" s="113"/>
      <c r="E25" s="114"/>
      <c r="F25" s="115"/>
      <c r="G25" s="116"/>
      <c r="H25" s="113"/>
      <c r="I25" s="114"/>
      <c r="J25" s="115"/>
      <c r="K25" s="116"/>
      <c r="L25" s="113"/>
      <c r="M25" s="114"/>
      <c r="N25" s="115"/>
      <c r="O25" s="116"/>
      <c r="P25" s="113"/>
      <c r="Q25" s="114"/>
      <c r="R25" s="115"/>
      <c r="S25" s="116"/>
      <c r="T25" s="113"/>
      <c r="U25" s="114"/>
      <c r="V25" s="115"/>
      <c r="W25" s="116"/>
      <c r="X25" s="113"/>
      <c r="Y25" s="114"/>
      <c r="Z25" s="115"/>
      <c r="AA25" s="116"/>
      <c r="AB25" s="113"/>
      <c r="AC25" s="114"/>
      <c r="AD25" s="115"/>
      <c r="AE25" s="116"/>
      <c r="AF25" s="113"/>
      <c r="AG25" s="114"/>
      <c r="AH25" s="115"/>
      <c r="AI25" s="130"/>
      <c r="AJ25" s="113"/>
      <c r="AK25" s="114"/>
      <c r="AL25" s="115"/>
      <c r="AM25" s="130"/>
      <c r="AN25" s="134">
        <f t="shared" si="0"/>
        <v>0</v>
      </c>
      <c r="AO25" s="138">
        <v>6560</v>
      </c>
    </row>
    <row r="26" spans="1:53" hidden="1" thickBot="1" x14ac:dyDescent="0.35">
      <c r="B26" s="7">
        <v>6580</v>
      </c>
      <c r="C26" s="15" t="s">
        <v>2</v>
      </c>
      <c r="D26" s="113"/>
      <c r="E26" s="114"/>
      <c r="F26" s="115"/>
      <c r="G26" s="116"/>
      <c r="H26" s="113"/>
      <c r="I26" s="114"/>
      <c r="J26" s="115"/>
      <c r="K26" s="116"/>
      <c r="L26" s="113"/>
      <c r="M26" s="114"/>
      <c r="N26" s="115"/>
      <c r="O26" s="116"/>
      <c r="P26" s="113"/>
      <c r="Q26" s="114"/>
      <c r="R26" s="115"/>
      <c r="S26" s="116"/>
      <c r="T26" s="113"/>
      <c r="U26" s="114"/>
      <c r="V26" s="115"/>
      <c r="W26" s="116"/>
      <c r="X26" s="113"/>
      <c r="Y26" s="114"/>
      <c r="Z26" s="115"/>
      <c r="AA26" s="116"/>
      <c r="AB26" s="113"/>
      <c r="AC26" s="114"/>
      <c r="AD26" s="115"/>
      <c r="AE26" s="116"/>
      <c r="AF26" s="113"/>
      <c r="AG26" s="114"/>
      <c r="AH26" s="115"/>
      <c r="AI26" s="130"/>
      <c r="AJ26" s="113"/>
      <c r="AK26" s="114"/>
      <c r="AL26" s="115"/>
      <c r="AM26" s="130"/>
      <c r="AN26" s="134">
        <f t="shared" si="0"/>
        <v>0</v>
      </c>
      <c r="AO26" s="138">
        <v>6580</v>
      </c>
    </row>
    <row r="27" spans="1:53" hidden="1" thickBot="1" x14ac:dyDescent="0.35">
      <c r="B27" s="7">
        <v>6800</v>
      </c>
      <c r="C27" s="15" t="s">
        <v>22</v>
      </c>
      <c r="D27" s="113"/>
      <c r="E27" s="114"/>
      <c r="F27" s="115"/>
      <c r="G27" s="116"/>
      <c r="H27" s="113"/>
      <c r="I27" s="114"/>
      <c r="J27" s="115"/>
      <c r="K27" s="116"/>
      <c r="L27" s="113"/>
      <c r="M27" s="114"/>
      <c r="N27" s="115"/>
      <c r="O27" s="116"/>
      <c r="P27" s="113"/>
      <c r="Q27" s="114"/>
      <c r="R27" s="115"/>
      <c r="S27" s="116"/>
      <c r="T27" s="113"/>
      <c r="U27" s="114"/>
      <c r="V27" s="115"/>
      <c r="W27" s="116"/>
      <c r="X27" s="113"/>
      <c r="Y27" s="114"/>
      <c r="Z27" s="115"/>
      <c r="AA27" s="116"/>
      <c r="AB27" s="113"/>
      <c r="AC27" s="114"/>
      <c r="AD27" s="115"/>
      <c r="AE27" s="116"/>
      <c r="AF27" s="113"/>
      <c r="AG27" s="114"/>
      <c r="AH27" s="115"/>
      <c r="AI27" s="130"/>
      <c r="AJ27" s="113"/>
      <c r="AK27" s="114"/>
      <c r="AL27" s="115"/>
      <c r="AM27" s="130"/>
      <c r="AN27" s="134">
        <f t="shared" si="0"/>
        <v>0</v>
      </c>
      <c r="AO27" s="138">
        <v>6800</v>
      </c>
    </row>
    <row r="28" spans="1:53" hidden="1" thickBot="1" x14ac:dyDescent="0.35">
      <c r="B28" s="7">
        <v>6820</v>
      </c>
      <c r="C28" s="15" t="s">
        <v>23</v>
      </c>
      <c r="D28" s="113"/>
      <c r="E28" s="114"/>
      <c r="F28" s="115"/>
      <c r="G28" s="116"/>
      <c r="H28" s="113"/>
      <c r="I28" s="114"/>
      <c r="J28" s="115"/>
      <c r="K28" s="116"/>
      <c r="L28" s="113"/>
      <c r="M28" s="114"/>
      <c r="N28" s="115"/>
      <c r="O28" s="116"/>
      <c r="P28" s="113"/>
      <c r="Q28" s="114"/>
      <c r="R28" s="115"/>
      <c r="S28" s="116"/>
      <c r="T28" s="113"/>
      <c r="U28" s="114"/>
      <c r="V28" s="115"/>
      <c r="W28" s="116"/>
      <c r="X28" s="113"/>
      <c r="Y28" s="114"/>
      <c r="Z28" s="115"/>
      <c r="AA28" s="116"/>
      <c r="AB28" s="113"/>
      <c r="AC28" s="114"/>
      <c r="AD28" s="115"/>
      <c r="AE28" s="116"/>
      <c r="AF28" s="113"/>
      <c r="AG28" s="114"/>
      <c r="AH28" s="115"/>
      <c r="AI28" s="130"/>
      <c r="AJ28" s="113"/>
      <c r="AK28" s="114"/>
      <c r="AL28" s="115"/>
      <c r="AM28" s="130"/>
      <c r="AN28" s="134">
        <f t="shared" si="0"/>
        <v>0</v>
      </c>
      <c r="AO28" s="138">
        <v>6820</v>
      </c>
    </row>
    <row r="29" spans="1:53" hidden="1" thickBot="1" x14ac:dyDescent="0.35">
      <c r="B29" s="7">
        <v>6840</v>
      </c>
      <c r="C29" s="15" t="s">
        <v>24</v>
      </c>
      <c r="D29" s="113"/>
      <c r="E29" s="114"/>
      <c r="F29" s="115"/>
      <c r="G29" s="116"/>
      <c r="H29" s="113"/>
      <c r="I29" s="114"/>
      <c r="J29" s="115"/>
      <c r="K29" s="116"/>
      <c r="L29" s="113"/>
      <c r="M29" s="114"/>
      <c r="N29" s="115"/>
      <c r="O29" s="116"/>
      <c r="P29" s="113"/>
      <c r="Q29" s="114"/>
      <c r="R29" s="115"/>
      <c r="S29" s="116"/>
      <c r="T29" s="113"/>
      <c r="U29" s="114"/>
      <c r="V29" s="115"/>
      <c r="W29" s="116"/>
      <c r="X29" s="113"/>
      <c r="Y29" s="114"/>
      <c r="Z29" s="115"/>
      <c r="AA29" s="116"/>
      <c r="AB29" s="113"/>
      <c r="AC29" s="114"/>
      <c r="AD29" s="115"/>
      <c r="AE29" s="116"/>
      <c r="AF29" s="113"/>
      <c r="AG29" s="114"/>
      <c r="AH29" s="115"/>
      <c r="AI29" s="130"/>
      <c r="AJ29" s="113"/>
      <c r="AK29" s="114"/>
      <c r="AL29" s="115"/>
      <c r="AM29" s="130"/>
      <c r="AN29" s="134">
        <f t="shared" si="0"/>
        <v>0</v>
      </c>
      <c r="AO29" s="138">
        <v>6840</v>
      </c>
    </row>
    <row r="30" spans="1:53" hidden="1" thickBot="1" x14ac:dyDescent="0.35">
      <c r="B30" s="7">
        <v>6860</v>
      </c>
      <c r="C30" s="15" t="s">
        <v>25</v>
      </c>
      <c r="D30" s="113"/>
      <c r="E30" s="114"/>
      <c r="F30" s="115"/>
      <c r="G30" s="116"/>
      <c r="H30" s="113"/>
      <c r="I30" s="114"/>
      <c r="J30" s="115"/>
      <c r="K30" s="116"/>
      <c r="L30" s="113"/>
      <c r="M30" s="114"/>
      <c r="N30" s="115"/>
      <c r="O30" s="116"/>
      <c r="P30" s="113"/>
      <c r="Q30" s="114"/>
      <c r="R30" s="115"/>
      <c r="S30" s="116"/>
      <c r="T30" s="113"/>
      <c r="U30" s="114"/>
      <c r="V30" s="115"/>
      <c r="W30" s="116"/>
      <c r="X30" s="113"/>
      <c r="Y30" s="114"/>
      <c r="Z30" s="115"/>
      <c r="AA30" s="116"/>
      <c r="AB30" s="113"/>
      <c r="AC30" s="114"/>
      <c r="AD30" s="115"/>
      <c r="AE30" s="116"/>
      <c r="AF30" s="113"/>
      <c r="AG30" s="114"/>
      <c r="AH30" s="115"/>
      <c r="AI30" s="130"/>
      <c r="AJ30" s="113"/>
      <c r="AK30" s="114"/>
      <c r="AL30" s="115"/>
      <c r="AM30" s="130"/>
      <c r="AN30" s="134">
        <f t="shared" si="0"/>
        <v>0</v>
      </c>
      <c r="AO30" s="138">
        <v>6860</v>
      </c>
    </row>
    <row r="31" spans="1:53" hidden="1" thickBot="1" x14ac:dyDescent="0.35">
      <c r="B31" s="7">
        <v>6910</v>
      </c>
      <c r="C31" s="15" t="s">
        <v>26</v>
      </c>
      <c r="D31" s="113"/>
      <c r="E31" s="114"/>
      <c r="F31" s="115"/>
      <c r="G31" s="116"/>
      <c r="H31" s="113"/>
      <c r="I31" s="114"/>
      <c r="J31" s="115"/>
      <c r="K31" s="116"/>
      <c r="L31" s="113"/>
      <c r="M31" s="114"/>
      <c r="N31" s="115"/>
      <c r="O31" s="116"/>
      <c r="P31" s="113"/>
      <c r="Q31" s="114"/>
      <c r="R31" s="115"/>
      <c r="S31" s="116"/>
      <c r="T31" s="113"/>
      <c r="U31" s="114"/>
      <c r="V31" s="115"/>
      <c r="W31" s="116"/>
      <c r="X31" s="113"/>
      <c r="Y31" s="114"/>
      <c r="Z31" s="115"/>
      <c r="AA31" s="116"/>
      <c r="AB31" s="113"/>
      <c r="AC31" s="114"/>
      <c r="AD31" s="115"/>
      <c r="AE31" s="116"/>
      <c r="AF31" s="113"/>
      <c r="AG31" s="114"/>
      <c r="AH31" s="115"/>
      <c r="AI31" s="130"/>
      <c r="AJ31" s="113"/>
      <c r="AK31" s="114"/>
      <c r="AL31" s="115"/>
      <c r="AM31" s="130"/>
      <c r="AN31" s="134">
        <f t="shared" si="0"/>
        <v>0</v>
      </c>
      <c r="AO31" s="138">
        <v>6910</v>
      </c>
    </row>
    <row r="32" spans="1:53" hidden="1" thickBot="1" x14ac:dyDescent="0.35">
      <c r="B32" s="7">
        <v>6940</v>
      </c>
      <c r="C32" s="15" t="s">
        <v>49</v>
      </c>
      <c r="D32" s="113"/>
      <c r="E32" s="114"/>
      <c r="F32" s="115"/>
      <c r="G32" s="116"/>
      <c r="H32" s="113"/>
      <c r="I32" s="114"/>
      <c r="J32" s="115"/>
      <c r="K32" s="116"/>
      <c r="L32" s="113"/>
      <c r="M32" s="114"/>
      <c r="N32" s="115"/>
      <c r="O32" s="116"/>
      <c r="P32" s="113"/>
      <c r="Q32" s="114"/>
      <c r="R32" s="115"/>
      <c r="S32" s="116"/>
      <c r="T32" s="113"/>
      <c r="U32" s="114"/>
      <c r="V32" s="115"/>
      <c r="W32" s="116"/>
      <c r="X32" s="113"/>
      <c r="Y32" s="114"/>
      <c r="Z32" s="115"/>
      <c r="AA32" s="116"/>
      <c r="AB32" s="113"/>
      <c r="AC32" s="114"/>
      <c r="AD32" s="115"/>
      <c r="AE32" s="116"/>
      <c r="AF32" s="113"/>
      <c r="AG32" s="114"/>
      <c r="AH32" s="115"/>
      <c r="AI32" s="130"/>
      <c r="AJ32" s="113"/>
      <c r="AK32" s="114"/>
      <c r="AL32" s="115"/>
      <c r="AM32" s="130"/>
      <c r="AN32" s="134">
        <f t="shared" si="0"/>
        <v>0</v>
      </c>
      <c r="AO32" s="138">
        <v>6940</v>
      </c>
    </row>
    <row r="33" spans="2:41" hidden="1" thickBot="1" x14ac:dyDescent="0.35">
      <c r="B33" s="7">
        <v>7000</v>
      </c>
      <c r="C33" s="15" t="s">
        <v>27</v>
      </c>
      <c r="D33" s="113"/>
      <c r="E33" s="114"/>
      <c r="F33" s="115"/>
      <c r="G33" s="116"/>
      <c r="H33" s="113"/>
      <c r="I33" s="114"/>
      <c r="J33" s="115"/>
      <c r="K33" s="116"/>
      <c r="L33" s="113"/>
      <c r="M33" s="114"/>
      <c r="N33" s="115"/>
      <c r="O33" s="116"/>
      <c r="P33" s="113"/>
      <c r="Q33" s="114"/>
      <c r="R33" s="115"/>
      <c r="S33" s="116"/>
      <c r="T33" s="113"/>
      <c r="U33" s="114"/>
      <c r="V33" s="115"/>
      <c r="W33" s="116"/>
      <c r="X33" s="113"/>
      <c r="Y33" s="114"/>
      <c r="Z33" s="115"/>
      <c r="AA33" s="116"/>
      <c r="AB33" s="113"/>
      <c r="AC33" s="114"/>
      <c r="AD33" s="115"/>
      <c r="AE33" s="116"/>
      <c r="AF33" s="113"/>
      <c r="AG33" s="114"/>
      <c r="AH33" s="115"/>
      <c r="AI33" s="130"/>
      <c r="AJ33" s="113"/>
      <c r="AK33" s="114"/>
      <c r="AL33" s="115"/>
      <c r="AM33" s="130"/>
      <c r="AN33" s="134">
        <f t="shared" si="0"/>
        <v>0</v>
      </c>
      <c r="AO33" s="138">
        <v>7000</v>
      </c>
    </row>
    <row r="34" spans="2:41" hidden="1" thickBot="1" x14ac:dyDescent="0.35">
      <c r="B34" s="7">
        <v>7100</v>
      </c>
      <c r="C34" s="15" t="s">
        <v>28</v>
      </c>
      <c r="D34" s="113"/>
      <c r="E34" s="114"/>
      <c r="F34" s="115"/>
      <c r="G34" s="116"/>
      <c r="H34" s="113"/>
      <c r="I34" s="114"/>
      <c r="J34" s="115"/>
      <c r="K34" s="116"/>
      <c r="L34" s="113"/>
      <c r="M34" s="114"/>
      <c r="N34" s="115"/>
      <c r="O34" s="116"/>
      <c r="P34" s="113"/>
      <c r="Q34" s="114"/>
      <c r="R34" s="115"/>
      <c r="S34" s="116"/>
      <c r="T34" s="113"/>
      <c r="U34" s="114"/>
      <c r="V34" s="115"/>
      <c r="W34" s="116"/>
      <c r="X34" s="113"/>
      <c r="Y34" s="114"/>
      <c r="Z34" s="115"/>
      <c r="AA34" s="116"/>
      <c r="AB34" s="113"/>
      <c r="AC34" s="114"/>
      <c r="AD34" s="115"/>
      <c r="AE34" s="116"/>
      <c r="AF34" s="113"/>
      <c r="AG34" s="114"/>
      <c r="AH34" s="115"/>
      <c r="AI34" s="130"/>
      <c r="AJ34" s="113"/>
      <c r="AK34" s="114"/>
      <c r="AL34" s="115"/>
      <c r="AM34" s="130"/>
      <c r="AN34" s="134">
        <f t="shared" si="0"/>
        <v>0</v>
      </c>
      <c r="AO34" s="138">
        <v>7100</v>
      </c>
    </row>
    <row r="35" spans="2:41" hidden="1" thickBot="1" x14ac:dyDescent="0.35">
      <c r="B35" s="7">
        <v>7101</v>
      </c>
      <c r="C35" s="15" t="s">
        <v>29</v>
      </c>
      <c r="D35" s="113"/>
      <c r="E35" s="114"/>
      <c r="F35" s="115"/>
      <c r="G35" s="116"/>
      <c r="H35" s="113"/>
      <c r="I35" s="114"/>
      <c r="J35" s="115"/>
      <c r="K35" s="116"/>
      <c r="L35" s="113"/>
      <c r="M35" s="114"/>
      <c r="N35" s="115"/>
      <c r="O35" s="116"/>
      <c r="P35" s="113"/>
      <c r="Q35" s="114"/>
      <c r="R35" s="115"/>
      <c r="S35" s="116"/>
      <c r="T35" s="113"/>
      <c r="U35" s="114"/>
      <c r="V35" s="115"/>
      <c r="W35" s="116"/>
      <c r="X35" s="113"/>
      <c r="Y35" s="114"/>
      <c r="Z35" s="115"/>
      <c r="AA35" s="116"/>
      <c r="AB35" s="113"/>
      <c r="AC35" s="114"/>
      <c r="AD35" s="115"/>
      <c r="AE35" s="116"/>
      <c r="AF35" s="113"/>
      <c r="AG35" s="114"/>
      <c r="AH35" s="115"/>
      <c r="AI35" s="130"/>
      <c r="AJ35" s="113"/>
      <c r="AK35" s="114"/>
      <c r="AL35" s="115"/>
      <c r="AM35" s="130"/>
      <c r="AN35" s="134">
        <f t="shared" si="0"/>
        <v>0</v>
      </c>
      <c r="AO35" s="138">
        <v>7101</v>
      </c>
    </row>
    <row r="36" spans="2:41" hidden="1" thickBot="1" x14ac:dyDescent="0.35">
      <c r="B36" s="7">
        <v>7110</v>
      </c>
      <c r="C36" s="15" t="s">
        <v>30</v>
      </c>
      <c r="D36" s="113"/>
      <c r="E36" s="114"/>
      <c r="F36" s="115"/>
      <c r="G36" s="116"/>
      <c r="H36" s="113"/>
      <c r="I36" s="114"/>
      <c r="J36" s="115"/>
      <c r="K36" s="116"/>
      <c r="L36" s="113"/>
      <c r="M36" s="114"/>
      <c r="N36" s="115"/>
      <c r="O36" s="116"/>
      <c r="P36" s="113"/>
      <c r="Q36" s="114"/>
      <c r="R36" s="115"/>
      <c r="S36" s="116"/>
      <c r="T36" s="113"/>
      <c r="U36" s="114"/>
      <c r="V36" s="115"/>
      <c r="W36" s="116"/>
      <c r="X36" s="113"/>
      <c r="Y36" s="114"/>
      <c r="Z36" s="115"/>
      <c r="AA36" s="116"/>
      <c r="AB36" s="113"/>
      <c r="AC36" s="114"/>
      <c r="AD36" s="115"/>
      <c r="AE36" s="116"/>
      <c r="AF36" s="113"/>
      <c r="AG36" s="114"/>
      <c r="AH36" s="115"/>
      <c r="AI36" s="130"/>
      <c r="AJ36" s="113"/>
      <c r="AK36" s="114"/>
      <c r="AL36" s="115"/>
      <c r="AM36" s="130"/>
      <c r="AN36" s="134">
        <f t="shared" si="0"/>
        <v>0</v>
      </c>
      <c r="AO36" s="138">
        <v>7110</v>
      </c>
    </row>
    <row r="37" spans="2:41" hidden="1" thickBot="1" x14ac:dyDescent="0.35">
      <c r="B37" s="7">
        <v>7141</v>
      </c>
      <c r="C37" s="15" t="s">
        <v>31</v>
      </c>
      <c r="D37" s="113"/>
      <c r="E37" s="114"/>
      <c r="F37" s="115"/>
      <c r="G37" s="116"/>
      <c r="H37" s="113"/>
      <c r="I37" s="114"/>
      <c r="J37" s="115"/>
      <c r="K37" s="116"/>
      <c r="L37" s="113"/>
      <c r="M37" s="114"/>
      <c r="N37" s="115"/>
      <c r="O37" s="116"/>
      <c r="P37" s="113"/>
      <c r="Q37" s="114"/>
      <c r="R37" s="115"/>
      <c r="S37" s="116"/>
      <c r="T37" s="113"/>
      <c r="U37" s="114"/>
      <c r="V37" s="115"/>
      <c r="W37" s="116"/>
      <c r="X37" s="113"/>
      <c r="Y37" s="114"/>
      <c r="Z37" s="115"/>
      <c r="AA37" s="116"/>
      <c r="AB37" s="113"/>
      <c r="AC37" s="114"/>
      <c r="AD37" s="115"/>
      <c r="AE37" s="116"/>
      <c r="AF37" s="113"/>
      <c r="AG37" s="114"/>
      <c r="AH37" s="115"/>
      <c r="AI37" s="130"/>
      <c r="AJ37" s="113"/>
      <c r="AK37" s="114"/>
      <c r="AL37" s="115"/>
      <c r="AM37" s="130"/>
      <c r="AN37" s="134">
        <f t="shared" si="0"/>
        <v>0</v>
      </c>
      <c r="AO37" s="138">
        <v>7141</v>
      </c>
    </row>
    <row r="38" spans="2:41" hidden="1" thickBot="1" x14ac:dyDescent="0.35">
      <c r="B38" s="7">
        <v>7145</v>
      </c>
      <c r="C38" s="15" t="s">
        <v>32</v>
      </c>
      <c r="D38" s="113"/>
      <c r="E38" s="114"/>
      <c r="F38" s="115"/>
      <c r="G38" s="116"/>
      <c r="H38" s="113"/>
      <c r="I38" s="114"/>
      <c r="J38" s="115"/>
      <c r="K38" s="116"/>
      <c r="L38" s="113"/>
      <c r="M38" s="114"/>
      <c r="N38" s="115"/>
      <c r="O38" s="116"/>
      <c r="P38" s="113"/>
      <c r="Q38" s="114"/>
      <c r="R38" s="115"/>
      <c r="S38" s="116"/>
      <c r="T38" s="113"/>
      <c r="U38" s="114"/>
      <c r="V38" s="115"/>
      <c r="W38" s="116"/>
      <c r="X38" s="113"/>
      <c r="Y38" s="114"/>
      <c r="Z38" s="115"/>
      <c r="AA38" s="116"/>
      <c r="AB38" s="113"/>
      <c r="AC38" s="114"/>
      <c r="AD38" s="115"/>
      <c r="AE38" s="116"/>
      <c r="AF38" s="113"/>
      <c r="AG38" s="114"/>
      <c r="AH38" s="115"/>
      <c r="AI38" s="130"/>
      <c r="AJ38" s="113"/>
      <c r="AK38" s="114"/>
      <c r="AL38" s="115"/>
      <c r="AM38" s="130"/>
      <c r="AN38" s="134">
        <f t="shared" si="0"/>
        <v>0</v>
      </c>
      <c r="AO38" s="138">
        <v>7145</v>
      </c>
    </row>
    <row r="39" spans="2:41" hidden="1" thickBot="1" x14ac:dyDescent="0.35">
      <c r="B39" s="7">
        <v>7162</v>
      </c>
      <c r="C39" s="15" t="s">
        <v>33</v>
      </c>
      <c r="D39" s="113"/>
      <c r="E39" s="114"/>
      <c r="F39" s="115"/>
      <c r="G39" s="116"/>
      <c r="H39" s="113"/>
      <c r="I39" s="114"/>
      <c r="J39" s="115"/>
      <c r="K39" s="116"/>
      <c r="L39" s="113"/>
      <c r="M39" s="114"/>
      <c r="N39" s="115"/>
      <c r="O39" s="116"/>
      <c r="P39" s="113"/>
      <c r="Q39" s="114"/>
      <c r="R39" s="115"/>
      <c r="S39" s="116"/>
      <c r="T39" s="113"/>
      <c r="U39" s="114"/>
      <c r="V39" s="115"/>
      <c r="W39" s="116"/>
      <c r="X39" s="113"/>
      <c r="Y39" s="114"/>
      <c r="Z39" s="115"/>
      <c r="AA39" s="116"/>
      <c r="AB39" s="113"/>
      <c r="AC39" s="114"/>
      <c r="AD39" s="115"/>
      <c r="AE39" s="116"/>
      <c r="AF39" s="113"/>
      <c r="AG39" s="114"/>
      <c r="AH39" s="115"/>
      <c r="AI39" s="130"/>
      <c r="AJ39" s="113"/>
      <c r="AK39" s="114"/>
      <c r="AL39" s="115"/>
      <c r="AM39" s="130"/>
      <c r="AN39" s="134">
        <f t="shared" si="0"/>
        <v>0</v>
      </c>
      <c r="AO39" s="138">
        <v>7162</v>
      </c>
    </row>
    <row r="40" spans="2:41" hidden="1" thickBot="1" x14ac:dyDescent="0.35">
      <c r="B40" s="7">
        <v>7320</v>
      </c>
      <c r="C40" s="15" t="s">
        <v>34</v>
      </c>
      <c r="D40" s="113"/>
      <c r="E40" s="114"/>
      <c r="F40" s="115"/>
      <c r="G40" s="116"/>
      <c r="H40" s="113"/>
      <c r="I40" s="114"/>
      <c r="J40" s="115"/>
      <c r="K40" s="116"/>
      <c r="L40" s="113"/>
      <c r="M40" s="114"/>
      <c r="N40" s="115"/>
      <c r="O40" s="116"/>
      <c r="P40" s="113"/>
      <c r="Q40" s="114"/>
      <c r="R40" s="115"/>
      <c r="S40" s="116"/>
      <c r="T40" s="113"/>
      <c r="U40" s="114"/>
      <c r="V40" s="115"/>
      <c r="W40" s="116"/>
      <c r="X40" s="113"/>
      <c r="Y40" s="114"/>
      <c r="Z40" s="115"/>
      <c r="AA40" s="116"/>
      <c r="AB40" s="113"/>
      <c r="AC40" s="114"/>
      <c r="AD40" s="115"/>
      <c r="AE40" s="116"/>
      <c r="AF40" s="113"/>
      <c r="AG40" s="114"/>
      <c r="AH40" s="115"/>
      <c r="AI40" s="130"/>
      <c r="AJ40" s="113"/>
      <c r="AK40" s="114"/>
      <c r="AL40" s="115"/>
      <c r="AM40" s="130"/>
      <c r="AN40" s="134">
        <f t="shared" si="0"/>
        <v>0</v>
      </c>
      <c r="AO40" s="138">
        <v>7320</v>
      </c>
    </row>
    <row r="41" spans="2:41" hidden="1" thickBot="1" x14ac:dyDescent="0.35">
      <c r="B41" s="7">
        <v>7350</v>
      </c>
      <c r="C41" s="15" t="s">
        <v>35</v>
      </c>
      <c r="D41" s="113"/>
      <c r="E41" s="114"/>
      <c r="F41" s="115"/>
      <c r="G41" s="116"/>
      <c r="H41" s="113"/>
      <c r="I41" s="114"/>
      <c r="J41" s="115"/>
      <c r="K41" s="116"/>
      <c r="L41" s="113"/>
      <c r="M41" s="114"/>
      <c r="N41" s="115"/>
      <c r="O41" s="116"/>
      <c r="P41" s="113"/>
      <c r="Q41" s="114"/>
      <c r="R41" s="115"/>
      <c r="S41" s="116"/>
      <c r="T41" s="113"/>
      <c r="U41" s="114"/>
      <c r="V41" s="115"/>
      <c r="W41" s="116"/>
      <c r="X41" s="113"/>
      <c r="Y41" s="114"/>
      <c r="Z41" s="115"/>
      <c r="AA41" s="116"/>
      <c r="AB41" s="113"/>
      <c r="AC41" s="114"/>
      <c r="AD41" s="115"/>
      <c r="AE41" s="116"/>
      <c r="AF41" s="113"/>
      <c r="AG41" s="114"/>
      <c r="AH41" s="115"/>
      <c r="AI41" s="130"/>
      <c r="AJ41" s="113"/>
      <c r="AK41" s="114"/>
      <c r="AL41" s="115"/>
      <c r="AM41" s="130"/>
      <c r="AN41" s="134">
        <f t="shared" si="0"/>
        <v>0</v>
      </c>
      <c r="AO41" s="138">
        <v>7350</v>
      </c>
    </row>
    <row r="42" spans="2:41" hidden="1" thickBot="1" x14ac:dyDescent="0.35">
      <c r="B42" s="7">
        <v>7400</v>
      </c>
      <c r="C42" s="15" t="s">
        <v>36</v>
      </c>
      <c r="D42" s="113"/>
      <c r="E42" s="114"/>
      <c r="F42" s="115"/>
      <c r="G42" s="116"/>
      <c r="H42" s="113"/>
      <c r="I42" s="114"/>
      <c r="J42" s="115"/>
      <c r="K42" s="116"/>
      <c r="L42" s="113"/>
      <c r="M42" s="114"/>
      <c r="N42" s="115"/>
      <c r="O42" s="116"/>
      <c r="P42" s="113"/>
      <c r="Q42" s="114"/>
      <c r="R42" s="115"/>
      <c r="S42" s="116"/>
      <c r="T42" s="113"/>
      <c r="U42" s="114"/>
      <c r="V42" s="115"/>
      <c r="W42" s="116"/>
      <c r="X42" s="113"/>
      <c r="Y42" s="114"/>
      <c r="Z42" s="115"/>
      <c r="AA42" s="116"/>
      <c r="AB42" s="113"/>
      <c r="AC42" s="114"/>
      <c r="AD42" s="115"/>
      <c r="AE42" s="116"/>
      <c r="AF42" s="113"/>
      <c r="AG42" s="114"/>
      <c r="AH42" s="115"/>
      <c r="AI42" s="130"/>
      <c r="AJ42" s="113"/>
      <c r="AK42" s="114"/>
      <c r="AL42" s="115"/>
      <c r="AM42" s="130"/>
      <c r="AN42" s="134">
        <f t="shared" si="0"/>
        <v>0</v>
      </c>
      <c r="AO42" s="138">
        <v>7400</v>
      </c>
    </row>
    <row r="43" spans="2:41" hidden="1" thickBot="1" x14ac:dyDescent="0.35">
      <c r="B43" s="7">
        <v>7411</v>
      </c>
      <c r="C43" s="15" t="s">
        <v>37</v>
      </c>
      <c r="D43" s="113"/>
      <c r="E43" s="114"/>
      <c r="F43" s="115"/>
      <c r="G43" s="116"/>
      <c r="H43" s="113"/>
      <c r="I43" s="114"/>
      <c r="J43" s="115"/>
      <c r="K43" s="116"/>
      <c r="L43" s="113"/>
      <c r="M43" s="114"/>
      <c r="N43" s="115"/>
      <c r="O43" s="116"/>
      <c r="P43" s="113"/>
      <c r="Q43" s="114"/>
      <c r="R43" s="115"/>
      <c r="S43" s="116"/>
      <c r="T43" s="113"/>
      <c r="U43" s="114"/>
      <c r="V43" s="115"/>
      <c r="W43" s="116"/>
      <c r="X43" s="113"/>
      <c r="Y43" s="114"/>
      <c r="Z43" s="115"/>
      <c r="AA43" s="116"/>
      <c r="AB43" s="113"/>
      <c r="AC43" s="114"/>
      <c r="AD43" s="115"/>
      <c r="AE43" s="116"/>
      <c r="AF43" s="113"/>
      <c r="AG43" s="114"/>
      <c r="AH43" s="115"/>
      <c r="AI43" s="130"/>
      <c r="AJ43" s="113"/>
      <c r="AK43" s="114"/>
      <c r="AL43" s="115"/>
      <c r="AM43" s="130"/>
      <c r="AN43" s="134">
        <f t="shared" si="0"/>
        <v>0</v>
      </c>
      <c r="AO43" s="138">
        <v>7411</v>
      </c>
    </row>
    <row r="44" spans="2:41" ht="15.75" thickBot="1" x14ac:dyDescent="0.3">
      <c r="B44" s="7">
        <v>7420</v>
      </c>
      <c r="C44" s="15" t="s">
        <v>38</v>
      </c>
      <c r="D44" s="113"/>
      <c r="E44" s="114"/>
      <c r="F44" s="115"/>
      <c r="G44" s="116"/>
      <c r="H44" s="113"/>
      <c r="I44" s="114"/>
      <c r="J44" s="115"/>
      <c r="K44" s="116"/>
      <c r="L44" s="113"/>
      <c r="M44" s="114"/>
      <c r="N44" s="115"/>
      <c r="O44" s="116"/>
      <c r="P44" s="113">
        <f>200*30</f>
        <v>6000</v>
      </c>
      <c r="Q44" s="114" t="s">
        <v>250</v>
      </c>
      <c r="R44" s="115"/>
      <c r="S44" s="116"/>
      <c r="T44" s="113">
        <f>20*200</f>
        <v>4000</v>
      </c>
      <c r="U44" s="114" t="s">
        <v>251</v>
      </c>
      <c r="V44" s="115"/>
      <c r="W44" s="116"/>
      <c r="X44" s="113">
        <f>2000*12</f>
        <v>24000</v>
      </c>
      <c r="Y44" s="114" t="s">
        <v>252</v>
      </c>
      <c r="Z44" s="115"/>
      <c r="AA44" s="116"/>
      <c r="AB44" s="113">
        <v>5000</v>
      </c>
      <c r="AC44" s="114"/>
      <c r="AD44" s="115"/>
      <c r="AE44" s="116"/>
      <c r="AF44" s="113">
        <v>35000</v>
      </c>
      <c r="AG44" s="114" t="s">
        <v>164</v>
      </c>
      <c r="AH44" s="115"/>
      <c r="AI44" s="130"/>
      <c r="AJ44" s="113"/>
      <c r="AK44" s="114"/>
      <c r="AL44" s="115"/>
      <c r="AM44" s="130"/>
      <c r="AN44" s="134">
        <f t="shared" si="0"/>
        <v>74000</v>
      </c>
      <c r="AO44" s="138">
        <v>7420</v>
      </c>
    </row>
    <row r="45" spans="2:41" hidden="1" thickBot="1" x14ac:dyDescent="0.35">
      <c r="B45" s="7">
        <v>7425</v>
      </c>
      <c r="C45" s="15" t="s">
        <v>39</v>
      </c>
      <c r="D45" s="113"/>
      <c r="E45" s="114"/>
      <c r="F45" s="115"/>
      <c r="G45" s="116"/>
      <c r="H45" s="113"/>
      <c r="I45" s="114"/>
      <c r="J45" s="115"/>
      <c r="K45" s="116"/>
      <c r="L45" s="113"/>
      <c r="M45" s="114"/>
      <c r="N45" s="115"/>
      <c r="O45" s="116"/>
      <c r="P45" s="113"/>
      <c r="Q45" s="114"/>
      <c r="R45" s="115"/>
      <c r="S45" s="116"/>
      <c r="T45" s="113"/>
      <c r="U45" s="114"/>
      <c r="V45" s="115"/>
      <c r="W45" s="116"/>
      <c r="X45" s="113"/>
      <c r="Y45" s="114"/>
      <c r="Z45" s="115"/>
      <c r="AA45" s="116"/>
      <c r="AB45" s="113"/>
      <c r="AC45" s="114"/>
      <c r="AD45" s="115"/>
      <c r="AE45" s="116"/>
      <c r="AF45" s="113"/>
      <c r="AG45" s="114"/>
      <c r="AH45" s="115"/>
      <c r="AI45" s="130"/>
      <c r="AJ45" s="113"/>
      <c r="AK45" s="114"/>
      <c r="AL45" s="115"/>
      <c r="AM45" s="130"/>
      <c r="AN45" s="134">
        <f t="shared" si="0"/>
        <v>0</v>
      </c>
      <c r="AO45" s="138">
        <v>7425</v>
      </c>
    </row>
    <row r="46" spans="2:41" hidden="1" thickBot="1" x14ac:dyDescent="0.35">
      <c r="B46" s="7">
        <v>7430</v>
      </c>
      <c r="C46" s="15" t="s">
        <v>40</v>
      </c>
      <c r="D46" s="113"/>
      <c r="E46" s="114"/>
      <c r="F46" s="115"/>
      <c r="G46" s="116"/>
      <c r="H46" s="113"/>
      <c r="I46" s="114"/>
      <c r="J46" s="115"/>
      <c r="K46" s="116"/>
      <c r="L46" s="113"/>
      <c r="M46" s="114"/>
      <c r="N46" s="115"/>
      <c r="O46" s="116"/>
      <c r="P46" s="113"/>
      <c r="Q46" s="114"/>
      <c r="R46" s="115"/>
      <c r="S46" s="116"/>
      <c r="T46" s="113"/>
      <c r="U46" s="114"/>
      <c r="V46" s="115"/>
      <c r="W46" s="116"/>
      <c r="X46" s="113"/>
      <c r="Y46" s="114"/>
      <c r="Z46" s="115"/>
      <c r="AA46" s="116"/>
      <c r="AB46" s="113"/>
      <c r="AC46" s="114"/>
      <c r="AD46" s="115"/>
      <c r="AE46" s="116"/>
      <c r="AF46" s="113"/>
      <c r="AG46" s="114"/>
      <c r="AH46" s="115"/>
      <c r="AI46" s="130"/>
      <c r="AJ46" s="113"/>
      <c r="AK46" s="114"/>
      <c r="AL46" s="115"/>
      <c r="AM46" s="130"/>
      <c r="AN46" s="134">
        <f t="shared" si="0"/>
        <v>0</v>
      </c>
      <c r="AO46" s="138">
        <v>7430</v>
      </c>
    </row>
    <row r="47" spans="2:41" hidden="1" thickBot="1" x14ac:dyDescent="0.35">
      <c r="B47" s="7">
        <v>7500</v>
      </c>
      <c r="C47" s="15" t="s">
        <v>41</v>
      </c>
      <c r="D47" s="113"/>
      <c r="E47" s="114"/>
      <c r="F47" s="115"/>
      <c r="G47" s="116"/>
      <c r="H47" s="113"/>
      <c r="I47" s="114"/>
      <c r="J47" s="115"/>
      <c r="K47" s="116"/>
      <c r="L47" s="113"/>
      <c r="M47" s="114"/>
      <c r="N47" s="115"/>
      <c r="O47" s="116"/>
      <c r="P47" s="113"/>
      <c r="Q47" s="114"/>
      <c r="R47" s="115"/>
      <c r="S47" s="116"/>
      <c r="T47" s="113"/>
      <c r="U47" s="114"/>
      <c r="V47" s="115"/>
      <c r="W47" s="116"/>
      <c r="X47" s="113"/>
      <c r="Y47" s="114"/>
      <c r="Z47" s="115"/>
      <c r="AA47" s="116"/>
      <c r="AB47" s="113"/>
      <c r="AC47" s="114"/>
      <c r="AD47" s="115"/>
      <c r="AE47" s="116"/>
      <c r="AF47" s="113"/>
      <c r="AG47" s="114"/>
      <c r="AH47" s="115"/>
      <c r="AI47" s="130"/>
      <c r="AJ47" s="113"/>
      <c r="AK47" s="114"/>
      <c r="AL47" s="115"/>
      <c r="AM47" s="130"/>
      <c r="AN47" s="134">
        <f t="shared" si="0"/>
        <v>0</v>
      </c>
      <c r="AO47" s="138">
        <v>7500</v>
      </c>
    </row>
    <row r="48" spans="2:41" hidden="1" thickBot="1" x14ac:dyDescent="0.35">
      <c r="B48" s="7">
        <v>7746</v>
      </c>
      <c r="C48" s="15" t="s">
        <v>42</v>
      </c>
      <c r="D48" s="113"/>
      <c r="E48" s="114"/>
      <c r="F48" s="115"/>
      <c r="G48" s="116"/>
      <c r="H48" s="113"/>
      <c r="I48" s="114"/>
      <c r="J48" s="115"/>
      <c r="K48" s="116"/>
      <c r="L48" s="113"/>
      <c r="M48" s="114"/>
      <c r="N48" s="115"/>
      <c r="O48" s="116"/>
      <c r="P48" s="113"/>
      <c r="Q48" s="114"/>
      <c r="R48" s="115"/>
      <c r="S48" s="116"/>
      <c r="T48" s="113"/>
      <c r="U48" s="114"/>
      <c r="V48" s="115"/>
      <c r="W48" s="116"/>
      <c r="X48" s="113"/>
      <c r="Y48" s="114"/>
      <c r="Z48" s="115"/>
      <c r="AA48" s="116"/>
      <c r="AB48" s="113"/>
      <c r="AC48" s="114"/>
      <c r="AD48" s="115"/>
      <c r="AE48" s="116"/>
      <c r="AF48" s="113"/>
      <c r="AG48" s="114"/>
      <c r="AH48" s="115"/>
      <c r="AI48" s="130"/>
      <c r="AJ48" s="113"/>
      <c r="AK48" s="114"/>
      <c r="AL48" s="115"/>
      <c r="AM48" s="130"/>
      <c r="AN48" s="134">
        <f t="shared" si="0"/>
        <v>0</v>
      </c>
      <c r="AO48" s="138">
        <v>7746</v>
      </c>
    </row>
    <row r="49" spans="2:41" hidden="1" thickBot="1" x14ac:dyDescent="0.35">
      <c r="B49" s="7">
        <v>7770</v>
      </c>
      <c r="C49" s="15" t="s">
        <v>43</v>
      </c>
      <c r="D49" s="113"/>
      <c r="E49" s="114"/>
      <c r="F49" s="115"/>
      <c r="G49" s="116"/>
      <c r="H49" s="113"/>
      <c r="I49" s="114"/>
      <c r="J49" s="115"/>
      <c r="K49" s="116"/>
      <c r="L49" s="113"/>
      <c r="M49" s="114"/>
      <c r="N49" s="115"/>
      <c r="O49" s="116"/>
      <c r="P49" s="113"/>
      <c r="Q49" s="114"/>
      <c r="R49" s="115"/>
      <c r="S49" s="116"/>
      <c r="T49" s="113"/>
      <c r="U49" s="114"/>
      <c r="V49" s="115"/>
      <c r="W49" s="116"/>
      <c r="X49" s="113"/>
      <c r="Y49" s="114"/>
      <c r="Z49" s="115"/>
      <c r="AA49" s="116"/>
      <c r="AB49" s="113"/>
      <c r="AC49" s="114"/>
      <c r="AD49" s="115"/>
      <c r="AE49" s="116"/>
      <c r="AF49" s="113"/>
      <c r="AG49" s="114"/>
      <c r="AH49" s="115"/>
      <c r="AI49" s="130"/>
      <c r="AJ49" s="113"/>
      <c r="AK49" s="114"/>
      <c r="AL49" s="115"/>
      <c r="AM49" s="130"/>
      <c r="AN49" s="134">
        <f t="shared" si="0"/>
        <v>0</v>
      </c>
      <c r="AO49" s="138">
        <v>7770</v>
      </c>
    </row>
    <row r="50" spans="2:41" hidden="1" thickBot="1" x14ac:dyDescent="0.35">
      <c r="B50" s="10">
        <v>7775</v>
      </c>
      <c r="C50" s="16" t="s">
        <v>44</v>
      </c>
      <c r="D50" s="117"/>
      <c r="E50" s="118"/>
      <c r="F50" s="119"/>
      <c r="G50" s="116"/>
      <c r="H50" s="117"/>
      <c r="I50" s="118"/>
      <c r="J50" s="119"/>
      <c r="K50" s="116"/>
      <c r="L50" s="117"/>
      <c r="M50" s="118"/>
      <c r="N50" s="119"/>
      <c r="O50" s="116"/>
      <c r="P50" s="117"/>
      <c r="Q50" s="118"/>
      <c r="R50" s="119"/>
      <c r="S50" s="116"/>
      <c r="T50" s="117"/>
      <c r="U50" s="118"/>
      <c r="V50" s="119"/>
      <c r="W50" s="116"/>
      <c r="X50" s="117"/>
      <c r="Y50" s="118"/>
      <c r="Z50" s="119"/>
      <c r="AA50" s="116"/>
      <c r="AB50" s="117"/>
      <c r="AC50" s="118"/>
      <c r="AD50" s="119"/>
      <c r="AE50" s="116"/>
      <c r="AF50" s="117"/>
      <c r="AG50" s="118"/>
      <c r="AH50" s="119"/>
      <c r="AI50" s="130"/>
      <c r="AJ50" s="117"/>
      <c r="AK50" s="118"/>
      <c r="AL50" s="119"/>
      <c r="AM50" s="130"/>
      <c r="AN50" s="134">
        <f t="shared" si="0"/>
        <v>0</v>
      </c>
      <c r="AO50" s="142">
        <v>7775</v>
      </c>
    </row>
    <row r="51" spans="2:41" thickBot="1" x14ac:dyDescent="0.35">
      <c r="B51" s="32"/>
      <c r="C51" s="33" t="s">
        <v>74</v>
      </c>
      <c r="D51" s="135">
        <f>SUM(D12:D50)</f>
        <v>0</v>
      </c>
      <c r="E51" s="135"/>
      <c r="F51" s="129">
        <v>2033.18</v>
      </c>
      <c r="G51" s="116"/>
      <c r="H51" s="135">
        <f t="shared" ref="H51:J51" si="9">SUM(H12:H50)</f>
        <v>0</v>
      </c>
      <c r="I51" s="135"/>
      <c r="J51" s="129">
        <f t="shared" si="9"/>
        <v>0</v>
      </c>
      <c r="K51" s="116"/>
      <c r="L51" s="135">
        <f t="shared" ref="L51:N51" si="10">SUM(L12:L50)</f>
        <v>0</v>
      </c>
      <c r="M51" s="135"/>
      <c r="N51" s="129">
        <f t="shared" si="10"/>
        <v>0</v>
      </c>
      <c r="O51" s="116"/>
      <c r="P51" s="135">
        <f t="shared" ref="P51" si="11">SUM(P12:P50)</f>
        <v>6000</v>
      </c>
      <c r="Q51" s="135"/>
      <c r="R51" s="129">
        <v>2800</v>
      </c>
      <c r="S51" s="116"/>
      <c r="T51" s="135">
        <f t="shared" ref="T51" si="12">SUM(T12:T50)</f>
        <v>4000</v>
      </c>
      <c r="U51" s="135"/>
      <c r="V51" s="129">
        <v>6000</v>
      </c>
      <c r="W51" s="116"/>
      <c r="X51" s="135">
        <f t="shared" ref="X51" si="13">SUM(X12:X50)</f>
        <v>24000</v>
      </c>
      <c r="Y51" s="135"/>
      <c r="Z51" s="129">
        <v>-16896</v>
      </c>
      <c r="AA51" s="116"/>
      <c r="AB51" s="135">
        <f t="shared" ref="AB51" si="14">SUM(AB12:AB50)</f>
        <v>5000</v>
      </c>
      <c r="AC51" s="135"/>
      <c r="AD51" s="129"/>
      <c r="AE51" s="116"/>
      <c r="AF51" s="135">
        <f t="shared" ref="AF51" si="15">SUM(AF12:AF50)</f>
        <v>35000</v>
      </c>
      <c r="AG51" s="135"/>
      <c r="AH51" s="129">
        <v>21326.75</v>
      </c>
      <c r="AI51" s="116"/>
      <c r="AJ51" s="135">
        <f t="shared" ref="AJ51" si="16">SUM(AJ12:AJ50)</f>
        <v>0</v>
      </c>
      <c r="AK51" s="135"/>
      <c r="AL51" s="129"/>
      <c r="AM51" s="130"/>
      <c r="AN51" s="134">
        <f>AJ51+AF51+AB51+X51+T51+P51+L51+H51+D51</f>
        <v>74000</v>
      </c>
      <c r="AO51" s="139"/>
    </row>
    <row r="52" spans="2:41" thickBot="1" x14ac:dyDescent="0.35">
      <c r="C52" s="18" t="s">
        <v>51</v>
      </c>
      <c r="D52" s="129">
        <f>D11-D51</f>
        <v>0</v>
      </c>
      <c r="E52" s="129"/>
      <c r="F52" s="129">
        <f t="shared" ref="F52" si="17">F11-F51</f>
        <v>-1183.18</v>
      </c>
      <c r="G52" s="116"/>
      <c r="H52" s="129">
        <f t="shared" ref="H52" si="18">H11-H51</f>
        <v>0</v>
      </c>
      <c r="I52" s="129"/>
      <c r="J52" s="129">
        <f t="shared" ref="J52:AL52" si="19">J11-J51</f>
        <v>0</v>
      </c>
      <c r="K52" s="116"/>
      <c r="L52" s="129">
        <f t="shared" ref="L52" si="20">L11-L51</f>
        <v>0</v>
      </c>
      <c r="M52" s="129"/>
      <c r="N52" s="129">
        <f t="shared" si="19"/>
        <v>0</v>
      </c>
      <c r="O52" s="116"/>
      <c r="P52" s="129">
        <f t="shared" ref="P52" si="21">P11-P51</f>
        <v>-6000</v>
      </c>
      <c r="Q52" s="129"/>
      <c r="R52" s="129">
        <f t="shared" si="19"/>
        <v>-2800</v>
      </c>
      <c r="S52" s="116"/>
      <c r="T52" s="129">
        <f t="shared" ref="T52" si="22">T11-T51</f>
        <v>-4000</v>
      </c>
      <c r="U52" s="129"/>
      <c r="V52" s="129">
        <f t="shared" si="19"/>
        <v>-6000</v>
      </c>
      <c r="W52" s="116"/>
      <c r="X52" s="129">
        <f t="shared" ref="X52" si="23">X11-X51</f>
        <v>-24000</v>
      </c>
      <c r="Y52" s="129"/>
      <c r="Z52" s="129">
        <f t="shared" si="19"/>
        <v>16896</v>
      </c>
      <c r="AA52" s="116"/>
      <c r="AB52" s="129">
        <f t="shared" ref="AB52" si="24">AB11-AB51</f>
        <v>-5000</v>
      </c>
      <c r="AC52" s="129"/>
      <c r="AD52" s="129">
        <f t="shared" si="19"/>
        <v>0</v>
      </c>
      <c r="AE52" s="116"/>
      <c r="AF52" s="129">
        <f t="shared" ref="AF52" si="25">AF11-AF51</f>
        <v>-35000</v>
      </c>
      <c r="AG52" s="129"/>
      <c r="AH52" s="129">
        <f t="shared" si="19"/>
        <v>-21326.75</v>
      </c>
      <c r="AI52" s="116"/>
      <c r="AJ52" s="129">
        <f t="shared" ref="AJ52" si="26">AJ11-AJ51</f>
        <v>0</v>
      </c>
      <c r="AK52" s="129"/>
      <c r="AL52" s="129">
        <f t="shared" si="19"/>
        <v>0</v>
      </c>
      <c r="AM52" s="116"/>
      <c r="AN52" s="129">
        <f>AN11-AN51</f>
        <v>-74000</v>
      </c>
      <c r="AO52" s="143"/>
    </row>
    <row r="53" spans="2:41" x14ac:dyDescent="0.25">
      <c r="D53" s="19"/>
      <c r="E53" s="19"/>
      <c r="F53" s="19"/>
      <c r="G53" s="9"/>
      <c r="I53" s="1"/>
      <c r="K53" s="9"/>
      <c r="L53" s="1"/>
      <c r="S53" s="9"/>
      <c r="W53" s="9"/>
      <c r="X53" s="1"/>
      <c r="Y53" s="9"/>
      <c r="AC53" s="9"/>
      <c r="AD53" s="1"/>
      <c r="AE53" s="9"/>
      <c r="AJ53" s="1"/>
      <c r="AL53" s="1"/>
      <c r="AM53" s="1"/>
      <c r="AN53" s="1"/>
      <c r="AO53" s="1"/>
    </row>
    <row r="54" spans="2:41" x14ac:dyDescent="0.25">
      <c r="L54" s="273" t="s">
        <v>177</v>
      </c>
      <c r="M54" s="273"/>
      <c r="N54" s="273"/>
      <c r="P54" s="269" t="s">
        <v>178</v>
      </c>
      <c r="Q54" s="269"/>
      <c r="R54" s="269"/>
      <c r="T54" s="269" t="s">
        <v>179</v>
      </c>
      <c r="U54" s="269"/>
      <c r="V54" s="269"/>
      <c r="X54" s="269" t="s">
        <v>226</v>
      </c>
      <c r="Y54" s="269"/>
      <c r="Z54" s="269"/>
      <c r="AB54" s="273" t="s">
        <v>180</v>
      </c>
      <c r="AC54" s="273"/>
      <c r="AD54" s="273"/>
      <c r="AF54" s="269" t="s">
        <v>181</v>
      </c>
      <c r="AG54" s="269"/>
      <c r="AH54" s="269"/>
    </row>
    <row r="55" spans="2:41" x14ac:dyDescent="0.25">
      <c r="L55" s="273"/>
      <c r="M55" s="273"/>
      <c r="N55" s="273"/>
      <c r="P55" s="269"/>
      <c r="Q55" s="269"/>
      <c r="R55" s="269"/>
      <c r="T55" s="269"/>
      <c r="U55" s="269"/>
      <c r="V55" s="269"/>
      <c r="X55" s="269"/>
      <c r="Y55" s="269"/>
      <c r="Z55" s="269"/>
      <c r="AB55" s="273"/>
      <c r="AC55" s="273"/>
      <c r="AD55" s="273"/>
      <c r="AF55" s="269"/>
      <c r="AG55" s="269"/>
      <c r="AH55" s="269"/>
    </row>
    <row r="56" spans="2:41" x14ac:dyDescent="0.25">
      <c r="L56" s="273"/>
      <c r="M56" s="273"/>
      <c r="N56" s="273"/>
      <c r="P56" s="269"/>
      <c r="Q56" s="269"/>
      <c r="R56" s="269"/>
      <c r="T56" s="269"/>
      <c r="U56" s="269"/>
      <c r="V56" s="269"/>
      <c r="X56" s="269"/>
      <c r="Y56" s="269"/>
      <c r="Z56" s="269"/>
      <c r="AB56" s="273"/>
      <c r="AC56" s="273"/>
      <c r="AD56" s="273"/>
      <c r="AF56" s="269"/>
      <c r="AG56" s="269"/>
      <c r="AH56" s="269"/>
    </row>
    <row r="57" spans="2:41" x14ac:dyDescent="0.25">
      <c r="L57" s="273"/>
      <c r="M57" s="273"/>
      <c r="N57" s="273"/>
      <c r="P57" s="269"/>
      <c r="Q57" s="269"/>
      <c r="R57" s="269"/>
      <c r="T57" s="269"/>
      <c r="U57" s="269"/>
      <c r="V57" s="269"/>
      <c r="X57" s="269"/>
      <c r="Y57" s="269"/>
      <c r="Z57" s="269"/>
      <c r="AB57" s="273"/>
      <c r="AC57" s="273"/>
      <c r="AD57" s="273"/>
      <c r="AF57" s="269"/>
      <c r="AG57" s="269"/>
      <c r="AH57" s="269"/>
    </row>
    <row r="58" spans="2:41" x14ac:dyDescent="0.25">
      <c r="L58" s="273"/>
      <c r="M58" s="273"/>
      <c r="N58" s="273"/>
      <c r="P58" s="269"/>
      <c r="Q58" s="269"/>
      <c r="R58" s="269"/>
      <c r="T58" s="269"/>
      <c r="U58" s="269"/>
      <c r="V58" s="269"/>
      <c r="X58" s="269"/>
      <c r="Y58" s="269"/>
      <c r="Z58" s="269"/>
      <c r="AB58" s="273"/>
      <c r="AC58" s="273"/>
      <c r="AD58" s="273"/>
      <c r="AF58" s="269"/>
      <c r="AG58" s="269"/>
      <c r="AH58" s="269"/>
    </row>
    <row r="59" spans="2:41" x14ac:dyDescent="0.25">
      <c r="L59" s="273"/>
      <c r="M59" s="273"/>
      <c r="N59" s="273"/>
      <c r="P59" s="269"/>
      <c r="Q59" s="269"/>
      <c r="R59" s="269"/>
      <c r="T59" s="269"/>
      <c r="U59" s="269"/>
      <c r="V59" s="269"/>
      <c r="X59" s="269"/>
      <c r="Y59" s="269"/>
      <c r="Z59" s="269"/>
      <c r="AB59" s="273"/>
      <c r="AC59" s="273"/>
      <c r="AD59" s="273"/>
      <c r="AF59" s="269"/>
      <c r="AG59" s="269"/>
      <c r="AH59" s="269"/>
    </row>
    <row r="60" spans="2:41" x14ac:dyDescent="0.25">
      <c r="L60" s="273"/>
      <c r="M60" s="273"/>
      <c r="N60" s="273"/>
      <c r="P60" s="269"/>
      <c r="Q60" s="269"/>
      <c r="R60" s="269"/>
      <c r="T60" s="269"/>
      <c r="U60" s="269"/>
      <c r="V60" s="269"/>
      <c r="X60" s="269"/>
      <c r="Y60" s="269"/>
      <c r="Z60" s="269"/>
      <c r="AB60" s="273"/>
      <c r="AC60" s="273"/>
      <c r="AD60" s="273"/>
      <c r="AF60" s="269"/>
      <c r="AG60" s="269"/>
      <c r="AH60" s="269"/>
    </row>
    <row r="61" spans="2:41" x14ac:dyDescent="0.25">
      <c r="L61" s="273"/>
      <c r="M61" s="273"/>
      <c r="N61" s="273"/>
      <c r="P61" s="269"/>
      <c r="Q61" s="269"/>
      <c r="R61" s="269"/>
      <c r="T61" s="269"/>
      <c r="U61" s="269"/>
      <c r="V61" s="269"/>
      <c r="X61" s="269"/>
      <c r="Y61" s="269"/>
      <c r="Z61" s="269"/>
      <c r="AB61" s="273"/>
      <c r="AC61" s="273"/>
      <c r="AD61" s="273"/>
      <c r="AF61" s="269"/>
      <c r="AG61" s="269"/>
      <c r="AH61" s="269"/>
    </row>
  </sheetData>
  <sheetProtection algorithmName="SHA-512" hashValue="w61NAvMROsvt/1D+YVHQRMc0+K8K7Qvf8z2pP2++WrwM9ybiqaBY5BjO6IxIbFIG2zYqb79RAm5KGqNZltJewg==" saltValue="6j3onCXxleBnqG3HsMt9sA==" spinCount="100000" sheet="1" objects="1" scenarios="1" selectLockedCells="1"/>
  <protectedRanges>
    <protectedRange sqref="D17 H17:I17 L17:M17 P17:Q17 T17:U17 X17:Y17 AB17:AC17 AF17:AG17 AJ17:AK17" name="Område2_2_1"/>
    <protectedRange password="8B3B" sqref="D19 H19:I19 L19:M19 P19:Q19 T19:U19 X19:Y19 AB19:AC19 AF19:AG19 AJ19:AK19" name="Område1_2_1"/>
  </protectedRanges>
  <mergeCells count="16">
    <mergeCell ref="AF54:AH61"/>
    <mergeCell ref="L54:N61"/>
    <mergeCell ref="P54:R61"/>
    <mergeCell ref="T54:V61"/>
    <mergeCell ref="X54:Z61"/>
    <mergeCell ref="AB54:AD61"/>
    <mergeCell ref="AK1:AL1"/>
    <mergeCell ref="B2:C2"/>
    <mergeCell ref="E1:F1"/>
    <mergeCell ref="I1:J1"/>
    <mergeCell ref="AC1:AD1"/>
    <mergeCell ref="B1:C1"/>
    <mergeCell ref="M1:N1"/>
    <mergeCell ref="Y1:Z1"/>
    <mergeCell ref="Q1:R1"/>
    <mergeCell ref="U1:V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4"/>
  <sheetViews>
    <sheetView zoomScale="70" zoomScaleNormal="70" zoomScalePageLayoutView="90" workbookViewId="0">
      <pane xSplit="3" topLeftCell="W1" activePane="topRight" state="frozen"/>
      <selection pane="topRight" activeCell="AB21" sqref="AB21"/>
    </sheetView>
  </sheetViews>
  <sheetFormatPr baseColWidth="10" defaultColWidth="11.42578125" defaultRowHeight="15" x14ac:dyDescent="0.25"/>
  <cols>
    <col min="1" max="1" width="9.42578125" style="1" bestFit="1" customWidth="1"/>
    <col min="2" max="2" width="8.5703125" style="1" bestFit="1" customWidth="1"/>
    <col min="3" max="3" width="37.5703125" style="1" bestFit="1" customWidth="1"/>
    <col min="4" max="4" width="17.140625" style="9" bestFit="1" customWidth="1"/>
    <col min="5" max="5" width="16.42578125" style="1" bestFit="1" customWidth="1"/>
    <col min="6" max="6" width="19.140625" style="9" bestFit="1" customWidth="1"/>
    <col min="7" max="7" width="3" style="1" customWidth="1"/>
    <col min="8" max="8" width="17.140625" style="9" bestFit="1" customWidth="1"/>
    <col min="9" max="9" width="25.28515625" style="1" bestFit="1" customWidth="1"/>
    <col min="10" max="10" width="19.140625" style="9" customWidth="1"/>
    <col min="11" max="11" width="3" style="1" customWidth="1"/>
    <col min="12" max="12" width="17.140625" style="9" bestFit="1" customWidth="1"/>
    <col min="13" max="13" width="22.5703125" style="1" bestFit="1" customWidth="1"/>
    <col min="14" max="14" width="19.140625" style="9" customWidth="1"/>
    <col min="15" max="15" width="3" style="1" customWidth="1"/>
    <col min="16" max="16" width="17.140625" style="9" bestFit="1" customWidth="1"/>
    <col min="17" max="17" width="16.42578125" style="1" bestFit="1" customWidth="1"/>
    <col min="18" max="18" width="19.140625" style="9" customWidth="1"/>
    <col min="19" max="19" width="3" style="1" customWidth="1"/>
    <col min="20" max="20" width="17.140625" style="9" bestFit="1" customWidth="1"/>
    <col min="21" max="21" width="16.42578125" style="1" bestFit="1" customWidth="1"/>
    <col min="22" max="22" width="19.140625" style="9" customWidth="1"/>
    <col min="23" max="23" width="3" style="1" customWidth="1"/>
    <col min="24" max="24" width="17.140625" style="9" bestFit="1" customWidth="1"/>
    <col min="25" max="25" width="16.42578125" style="1" bestFit="1" customWidth="1"/>
    <col min="26" max="26" width="19.140625" style="9" customWidth="1"/>
    <col min="27" max="27" width="3" style="1" customWidth="1"/>
    <col min="28" max="28" width="17.140625" style="9" bestFit="1" customWidth="1"/>
    <col min="29" max="29" width="23.42578125" style="1" bestFit="1" customWidth="1"/>
    <col min="30" max="30" width="19.140625" style="9" customWidth="1"/>
    <col min="31" max="31" width="3" style="1" customWidth="1"/>
    <col min="32" max="32" width="17.140625" style="9" bestFit="1" customWidth="1"/>
    <col min="33" max="33" width="25.42578125" style="1" bestFit="1" customWidth="1"/>
    <col min="34" max="34" width="19.140625" style="9" customWidth="1"/>
    <col min="35" max="35" width="3" style="1" customWidth="1"/>
    <col min="36" max="36" width="17.140625" style="9" bestFit="1" customWidth="1"/>
    <col min="37" max="37" width="16.42578125" style="1" bestFit="1" customWidth="1"/>
    <col min="38" max="38" width="19.140625" style="9" customWidth="1"/>
    <col min="39" max="39" width="4.5703125" style="9" customWidth="1"/>
    <col min="40" max="40" width="16.5703125" style="9" bestFit="1" customWidth="1"/>
    <col min="41" max="41" width="8.5703125" style="9" bestFit="1" customWidth="1"/>
    <col min="42" max="53" width="4.5703125" style="9" customWidth="1"/>
    <col min="54" max="16384" width="11.42578125" style="1"/>
  </cols>
  <sheetData>
    <row r="1" spans="1:53" ht="15.75" thickBot="1" x14ac:dyDescent="0.3">
      <c r="A1" s="39"/>
      <c r="B1" s="260" t="s">
        <v>76</v>
      </c>
      <c r="C1" s="261"/>
      <c r="D1" s="25">
        <v>60000</v>
      </c>
      <c r="E1" s="264" t="s">
        <v>53</v>
      </c>
      <c r="F1" s="265"/>
      <c r="G1" s="2"/>
      <c r="H1" s="25">
        <v>61000</v>
      </c>
      <c r="I1" s="264" t="s">
        <v>78</v>
      </c>
      <c r="J1" s="265" t="s">
        <v>54</v>
      </c>
      <c r="K1" s="2"/>
      <c r="L1" s="25">
        <v>62000</v>
      </c>
      <c r="M1" s="264" t="s">
        <v>79</v>
      </c>
      <c r="N1" s="265"/>
      <c r="O1" s="2"/>
      <c r="P1" s="25">
        <v>63000</v>
      </c>
      <c r="Q1" s="264" t="s">
        <v>65</v>
      </c>
      <c r="R1" s="265"/>
      <c r="S1" s="2"/>
      <c r="T1" s="25">
        <v>63001</v>
      </c>
      <c r="U1" s="264" t="s">
        <v>227</v>
      </c>
      <c r="V1" s="265"/>
      <c r="W1" s="2"/>
      <c r="X1" s="25">
        <v>63002</v>
      </c>
      <c r="Y1" s="264" t="s">
        <v>268</v>
      </c>
      <c r="Z1" s="265"/>
      <c r="AA1" s="2"/>
      <c r="AB1" s="25">
        <v>64000</v>
      </c>
      <c r="AC1" s="264" t="s">
        <v>80</v>
      </c>
      <c r="AD1" s="265"/>
      <c r="AE1" s="2"/>
      <c r="AF1" s="25">
        <v>65000</v>
      </c>
      <c r="AG1" s="264" t="s">
        <v>66</v>
      </c>
      <c r="AH1" s="265"/>
      <c r="AI1" s="2"/>
      <c r="AJ1" s="25"/>
      <c r="AK1" s="264"/>
      <c r="AL1" s="265"/>
      <c r="AM1" s="1"/>
      <c r="AN1" s="1"/>
      <c r="AO1" s="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thickBot="1" x14ac:dyDescent="0.35">
      <c r="A2" s="38"/>
      <c r="B2" s="260" t="s">
        <v>75</v>
      </c>
      <c r="C2" s="261"/>
      <c r="D2" s="20"/>
      <c r="E2" s="21"/>
      <c r="F2" s="22"/>
      <c r="G2" s="3"/>
      <c r="H2" s="20"/>
      <c r="I2" s="21"/>
      <c r="J2" s="22"/>
      <c r="K2" s="3"/>
      <c r="L2" s="20"/>
      <c r="M2" s="21"/>
      <c r="N2" s="22"/>
      <c r="O2" s="3"/>
      <c r="P2" s="20"/>
      <c r="Q2" s="21"/>
      <c r="R2" s="22"/>
      <c r="S2" s="3"/>
      <c r="T2" s="20"/>
      <c r="U2" s="21"/>
      <c r="V2" s="22"/>
      <c r="W2" s="3"/>
      <c r="X2" s="20"/>
      <c r="Y2" s="21"/>
      <c r="Z2" s="22"/>
      <c r="AA2" s="3"/>
      <c r="AB2" s="20"/>
      <c r="AC2" s="21"/>
      <c r="AD2" s="22"/>
      <c r="AE2" s="3"/>
      <c r="AF2" s="20"/>
      <c r="AG2" s="21"/>
      <c r="AH2" s="22"/>
      <c r="AI2" s="3"/>
      <c r="AJ2" s="20"/>
      <c r="AK2" s="21"/>
      <c r="AL2" s="22"/>
      <c r="AM2" s="1"/>
      <c r="AN2" s="1"/>
      <c r="AO2" s="1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thickBot="1" x14ac:dyDescent="0.35">
      <c r="B3" s="4" t="s">
        <v>0</v>
      </c>
      <c r="C3" s="24" t="s">
        <v>47</v>
      </c>
      <c r="D3" s="35" t="s">
        <v>217</v>
      </c>
      <c r="E3" s="36" t="s">
        <v>70</v>
      </c>
      <c r="F3" s="37" t="s">
        <v>218</v>
      </c>
      <c r="G3" s="5"/>
      <c r="H3" s="35" t="s">
        <v>217</v>
      </c>
      <c r="I3" s="36" t="s">
        <v>70</v>
      </c>
      <c r="J3" s="37" t="s">
        <v>218</v>
      </c>
      <c r="K3" s="5"/>
      <c r="L3" s="35" t="s">
        <v>217</v>
      </c>
      <c r="M3" s="36" t="s">
        <v>70</v>
      </c>
      <c r="N3" s="37" t="s">
        <v>218</v>
      </c>
      <c r="O3" s="5"/>
      <c r="P3" s="35" t="s">
        <v>217</v>
      </c>
      <c r="Q3" s="36" t="s">
        <v>70</v>
      </c>
      <c r="R3" s="37" t="s">
        <v>218</v>
      </c>
      <c r="S3" s="5"/>
      <c r="T3" s="35" t="s">
        <v>217</v>
      </c>
      <c r="U3" s="36" t="s">
        <v>70</v>
      </c>
      <c r="V3" s="37" t="s">
        <v>218</v>
      </c>
      <c r="W3" s="5"/>
      <c r="X3" s="35" t="s">
        <v>217</v>
      </c>
      <c r="Y3" s="36" t="s">
        <v>70</v>
      </c>
      <c r="Z3" s="37" t="s">
        <v>218</v>
      </c>
      <c r="AA3" s="5"/>
      <c r="AB3" s="35" t="s">
        <v>217</v>
      </c>
      <c r="AC3" s="36" t="s">
        <v>70</v>
      </c>
      <c r="AD3" s="37" t="s">
        <v>218</v>
      </c>
      <c r="AE3" s="5"/>
      <c r="AF3" s="35" t="s">
        <v>217</v>
      </c>
      <c r="AG3" s="36" t="s">
        <v>70</v>
      </c>
      <c r="AH3" s="37" t="s">
        <v>218</v>
      </c>
      <c r="AI3" s="5"/>
      <c r="AJ3" s="35" t="s">
        <v>217</v>
      </c>
      <c r="AK3" s="36" t="s">
        <v>70</v>
      </c>
      <c r="AL3" s="37" t="s">
        <v>218</v>
      </c>
      <c r="AM3" s="1"/>
      <c r="AN3" s="133" t="s">
        <v>52</v>
      </c>
      <c r="AO3" s="137" t="s">
        <v>0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thickBot="1" x14ac:dyDescent="0.35">
      <c r="A4" s="6" t="s">
        <v>45</v>
      </c>
      <c r="B4" s="7">
        <v>3100</v>
      </c>
      <c r="C4" s="23" t="s">
        <v>3</v>
      </c>
      <c r="D4" s="113"/>
      <c r="E4" s="114"/>
      <c r="F4" s="115"/>
      <c r="G4" s="116"/>
      <c r="H4" s="113"/>
      <c r="I4" s="114"/>
      <c r="J4" s="115"/>
      <c r="K4" s="116"/>
      <c r="L4" s="113"/>
      <c r="M4" s="114"/>
      <c r="N4" s="115"/>
      <c r="O4" s="116"/>
      <c r="P4" s="113"/>
      <c r="Q4" s="114"/>
      <c r="R4" s="115"/>
      <c r="S4" s="116"/>
      <c r="T4" s="113"/>
      <c r="U4" s="114"/>
      <c r="V4" s="115"/>
      <c r="W4" s="116"/>
      <c r="X4" s="113"/>
      <c r="Y4" s="114"/>
      <c r="Z4" s="115"/>
      <c r="AA4" s="116"/>
      <c r="AB4" s="113"/>
      <c r="AC4" s="114"/>
      <c r="AD4" s="115"/>
      <c r="AE4" s="116"/>
      <c r="AF4" s="113"/>
      <c r="AG4" s="114"/>
      <c r="AH4" s="115"/>
      <c r="AI4" s="116"/>
      <c r="AJ4" s="113"/>
      <c r="AK4" s="114"/>
      <c r="AL4" s="115"/>
      <c r="AM4" s="130"/>
      <c r="AN4" s="134">
        <f t="shared" ref="AN4:AN50" si="0">+AJ4+AF4+AB4+P4+L4+H4+D4+X4+T4</f>
        <v>0</v>
      </c>
      <c r="AO4" s="138">
        <v>3100</v>
      </c>
    </row>
    <row r="5" spans="1:53" hidden="1" thickBot="1" x14ac:dyDescent="0.35">
      <c r="B5" s="7">
        <v>3120</v>
      </c>
      <c r="C5" s="8" t="s">
        <v>4</v>
      </c>
      <c r="D5" s="113"/>
      <c r="E5" s="114"/>
      <c r="F5" s="115"/>
      <c r="G5" s="116"/>
      <c r="H5" s="113"/>
      <c r="I5" s="114"/>
      <c r="J5" s="115"/>
      <c r="K5" s="116"/>
      <c r="L5" s="113"/>
      <c r="M5" s="114"/>
      <c r="N5" s="115"/>
      <c r="O5" s="116"/>
      <c r="P5" s="113"/>
      <c r="Q5" s="114"/>
      <c r="R5" s="115"/>
      <c r="S5" s="116"/>
      <c r="T5" s="113"/>
      <c r="U5" s="114"/>
      <c r="V5" s="115"/>
      <c r="W5" s="116"/>
      <c r="X5" s="113"/>
      <c r="Y5" s="114"/>
      <c r="Z5" s="115"/>
      <c r="AA5" s="116"/>
      <c r="AB5" s="113"/>
      <c r="AC5" s="114"/>
      <c r="AD5" s="115"/>
      <c r="AE5" s="116"/>
      <c r="AF5" s="113"/>
      <c r="AG5" s="114"/>
      <c r="AH5" s="115"/>
      <c r="AI5" s="116"/>
      <c r="AJ5" s="113"/>
      <c r="AK5" s="114"/>
      <c r="AL5" s="115"/>
      <c r="AM5" s="130"/>
      <c r="AN5" s="134">
        <f t="shared" si="0"/>
        <v>0</v>
      </c>
      <c r="AO5" s="138">
        <v>3120</v>
      </c>
    </row>
    <row r="6" spans="1:53" hidden="1" thickBot="1" x14ac:dyDescent="0.35">
      <c r="B6" s="7">
        <v>3400</v>
      </c>
      <c r="C6" s="8" t="s">
        <v>5</v>
      </c>
      <c r="D6" s="113"/>
      <c r="E6" s="114"/>
      <c r="F6" s="115"/>
      <c r="G6" s="116"/>
      <c r="H6" s="113"/>
      <c r="I6" s="114"/>
      <c r="J6" s="115"/>
      <c r="K6" s="116"/>
      <c r="L6" s="113"/>
      <c r="M6" s="114"/>
      <c r="N6" s="115"/>
      <c r="O6" s="116"/>
      <c r="P6" s="113"/>
      <c r="Q6" s="114"/>
      <c r="R6" s="115"/>
      <c r="S6" s="116"/>
      <c r="T6" s="113"/>
      <c r="U6" s="114"/>
      <c r="V6" s="115"/>
      <c r="W6" s="116"/>
      <c r="X6" s="113"/>
      <c r="Y6" s="114"/>
      <c r="Z6" s="115"/>
      <c r="AA6" s="116"/>
      <c r="AB6" s="113"/>
      <c r="AC6" s="114"/>
      <c r="AD6" s="115"/>
      <c r="AE6" s="116"/>
      <c r="AF6" s="113"/>
      <c r="AG6" s="114"/>
      <c r="AH6" s="115"/>
      <c r="AI6" s="116"/>
      <c r="AJ6" s="113"/>
      <c r="AK6" s="114"/>
      <c r="AL6" s="115"/>
      <c r="AM6" s="130"/>
      <c r="AN6" s="134">
        <f t="shared" si="0"/>
        <v>0</v>
      </c>
      <c r="AO6" s="138">
        <v>3400</v>
      </c>
    </row>
    <row r="7" spans="1:53" hidden="1" thickBot="1" x14ac:dyDescent="0.35">
      <c r="B7" s="7">
        <v>3410</v>
      </c>
      <c r="C7" s="8" t="s">
        <v>6</v>
      </c>
      <c r="D7" s="113"/>
      <c r="E7" s="114"/>
      <c r="F7" s="115"/>
      <c r="G7" s="116"/>
      <c r="H7" s="113"/>
      <c r="I7" s="114"/>
      <c r="J7" s="115"/>
      <c r="K7" s="116"/>
      <c r="L7" s="113"/>
      <c r="M7" s="114"/>
      <c r="N7" s="115"/>
      <c r="O7" s="116"/>
      <c r="P7" s="113"/>
      <c r="Q7" s="114"/>
      <c r="R7" s="115"/>
      <c r="S7" s="116"/>
      <c r="T7" s="113"/>
      <c r="U7" s="114"/>
      <c r="V7" s="115"/>
      <c r="W7" s="116"/>
      <c r="X7" s="113"/>
      <c r="Y7" s="114"/>
      <c r="Z7" s="115"/>
      <c r="AA7" s="116"/>
      <c r="AB7" s="113"/>
      <c r="AC7" s="114"/>
      <c r="AD7" s="115"/>
      <c r="AE7" s="116"/>
      <c r="AF7" s="113"/>
      <c r="AG7" s="114"/>
      <c r="AH7" s="115"/>
      <c r="AI7" s="116"/>
      <c r="AJ7" s="113"/>
      <c r="AK7" s="114"/>
      <c r="AL7" s="115"/>
      <c r="AM7" s="130"/>
      <c r="AN7" s="134">
        <f t="shared" si="0"/>
        <v>0</v>
      </c>
      <c r="AO7" s="138">
        <v>3410</v>
      </c>
    </row>
    <row r="8" spans="1:53" hidden="1" thickBot="1" x14ac:dyDescent="0.35">
      <c r="B8" s="7">
        <v>3900</v>
      </c>
      <c r="C8" s="8" t="s">
        <v>7</v>
      </c>
      <c r="D8" s="113"/>
      <c r="E8" s="114"/>
      <c r="F8" s="115"/>
      <c r="G8" s="116"/>
      <c r="H8" s="113"/>
      <c r="I8" s="114"/>
      <c r="J8" s="115"/>
      <c r="K8" s="116"/>
      <c r="L8" s="113"/>
      <c r="M8" s="114"/>
      <c r="N8" s="115"/>
      <c r="O8" s="116"/>
      <c r="P8" s="113"/>
      <c r="Q8" s="114"/>
      <c r="R8" s="115"/>
      <c r="S8" s="116"/>
      <c r="T8" s="113"/>
      <c r="U8" s="114"/>
      <c r="V8" s="115"/>
      <c r="W8" s="116"/>
      <c r="X8" s="113"/>
      <c r="Y8" s="114"/>
      <c r="Z8" s="115"/>
      <c r="AA8" s="116"/>
      <c r="AB8" s="113"/>
      <c r="AC8" s="114"/>
      <c r="AD8" s="115"/>
      <c r="AE8" s="116"/>
      <c r="AF8" s="113"/>
      <c r="AG8" s="114"/>
      <c r="AH8" s="115"/>
      <c r="AI8" s="116"/>
      <c r="AJ8" s="113"/>
      <c r="AK8" s="114"/>
      <c r="AL8" s="115"/>
      <c r="AM8" s="130"/>
      <c r="AN8" s="134">
        <f t="shared" si="0"/>
        <v>0</v>
      </c>
      <c r="AO8" s="138">
        <v>3900</v>
      </c>
    </row>
    <row r="9" spans="1:53" hidden="1" thickBot="1" x14ac:dyDescent="0.35">
      <c r="B9" s="7">
        <v>3910</v>
      </c>
      <c r="C9" s="8" t="s">
        <v>8</v>
      </c>
      <c r="D9" s="113"/>
      <c r="E9" s="114"/>
      <c r="F9" s="115"/>
      <c r="G9" s="116"/>
      <c r="H9" s="113"/>
      <c r="I9" s="114"/>
      <c r="J9" s="115"/>
      <c r="K9" s="116"/>
      <c r="L9" s="113"/>
      <c r="M9" s="114"/>
      <c r="N9" s="115"/>
      <c r="O9" s="116"/>
      <c r="P9" s="113"/>
      <c r="Q9" s="114"/>
      <c r="R9" s="115"/>
      <c r="S9" s="116"/>
      <c r="T9" s="113"/>
      <c r="U9" s="114"/>
      <c r="V9" s="115"/>
      <c r="W9" s="116"/>
      <c r="X9" s="113"/>
      <c r="Y9" s="114"/>
      <c r="Z9" s="115"/>
      <c r="AA9" s="116"/>
      <c r="AB9" s="113"/>
      <c r="AC9" s="114"/>
      <c r="AD9" s="115"/>
      <c r="AE9" s="116"/>
      <c r="AF9" s="113"/>
      <c r="AG9" s="114"/>
      <c r="AH9" s="115"/>
      <c r="AI9" s="116"/>
      <c r="AJ9" s="113"/>
      <c r="AK9" s="114"/>
      <c r="AL9" s="115"/>
      <c r="AM9" s="130"/>
      <c r="AN9" s="134">
        <f t="shared" si="0"/>
        <v>0</v>
      </c>
      <c r="AO9" s="138">
        <v>3910</v>
      </c>
    </row>
    <row r="10" spans="1:53" hidden="1" thickBot="1" x14ac:dyDescent="0.35">
      <c r="B10" s="10">
        <v>3950</v>
      </c>
      <c r="C10" s="11" t="s">
        <v>9</v>
      </c>
      <c r="D10" s="117"/>
      <c r="E10" s="118"/>
      <c r="F10" s="119"/>
      <c r="G10" s="116"/>
      <c r="H10" s="117"/>
      <c r="I10" s="118"/>
      <c r="J10" s="119"/>
      <c r="K10" s="116"/>
      <c r="L10" s="117"/>
      <c r="M10" s="118"/>
      <c r="N10" s="119"/>
      <c r="O10" s="116"/>
      <c r="P10" s="117"/>
      <c r="Q10" s="118"/>
      <c r="R10" s="119"/>
      <c r="S10" s="116"/>
      <c r="T10" s="117"/>
      <c r="U10" s="118"/>
      <c r="V10" s="119"/>
      <c r="W10" s="116"/>
      <c r="X10" s="117"/>
      <c r="Y10" s="118"/>
      <c r="Z10" s="119"/>
      <c r="AA10" s="116"/>
      <c r="AB10" s="117"/>
      <c r="AC10" s="118"/>
      <c r="AD10" s="119"/>
      <c r="AE10" s="116"/>
      <c r="AF10" s="117"/>
      <c r="AG10" s="118"/>
      <c r="AH10" s="119"/>
      <c r="AI10" s="116"/>
      <c r="AJ10" s="117"/>
      <c r="AK10" s="118"/>
      <c r="AL10" s="119"/>
      <c r="AM10" s="130"/>
      <c r="AN10" s="134">
        <f t="shared" si="0"/>
        <v>0</v>
      </c>
      <c r="AO10" s="142">
        <v>3950</v>
      </c>
    </row>
    <row r="11" spans="1:53" thickBot="1" x14ac:dyDescent="0.35">
      <c r="B11" s="30"/>
      <c r="C11" s="31" t="s">
        <v>73</v>
      </c>
      <c r="D11" s="120">
        <f>SUM(D4:D10)</f>
        <v>0</v>
      </c>
      <c r="E11" s="120"/>
      <c r="F11" s="120">
        <f t="shared" ref="F11" si="1">SUM(F4:F10)</f>
        <v>0</v>
      </c>
      <c r="G11" s="116"/>
      <c r="H11" s="120">
        <f t="shared" ref="H11:J11" si="2">SUM(H4:H10)</f>
        <v>0</v>
      </c>
      <c r="I11" s="120"/>
      <c r="J11" s="120">
        <f t="shared" si="2"/>
        <v>0</v>
      </c>
      <c r="K11" s="116"/>
      <c r="L11" s="120">
        <f t="shared" ref="L11:N11" si="3">SUM(L4:L10)</f>
        <v>0</v>
      </c>
      <c r="M11" s="120"/>
      <c r="N11" s="120">
        <f t="shared" si="3"/>
        <v>0</v>
      </c>
      <c r="O11" s="116"/>
      <c r="P11" s="120">
        <f t="shared" ref="P11:R11" si="4">SUM(P4:P10)</f>
        <v>0</v>
      </c>
      <c r="Q11" s="120"/>
      <c r="R11" s="120">
        <f t="shared" si="4"/>
        <v>0</v>
      </c>
      <c r="S11" s="116"/>
      <c r="T11" s="120">
        <f t="shared" ref="T11" si="5">SUM(T4:T10)</f>
        <v>0</v>
      </c>
      <c r="U11" s="120"/>
      <c r="V11" s="120"/>
      <c r="W11" s="116"/>
      <c r="X11" s="120">
        <f t="shared" ref="X11" si="6">SUM(X4:X10)</f>
        <v>0</v>
      </c>
      <c r="Y11" s="120"/>
      <c r="Z11" s="120"/>
      <c r="AA11" s="116"/>
      <c r="AB11" s="120">
        <f t="shared" ref="AB11:AD11" si="7">SUM(AB4:AB10)</f>
        <v>0</v>
      </c>
      <c r="AC11" s="120"/>
      <c r="AD11" s="120">
        <f t="shared" si="7"/>
        <v>0</v>
      </c>
      <c r="AE11" s="116"/>
      <c r="AF11" s="120">
        <f t="shared" ref="AF11:AH11" si="8">SUM(AF4:AF10)</f>
        <v>0</v>
      </c>
      <c r="AG11" s="120"/>
      <c r="AH11" s="120">
        <f t="shared" si="8"/>
        <v>0</v>
      </c>
      <c r="AI11" s="116"/>
      <c r="AJ11" s="120">
        <f t="shared" ref="AJ11" si="9">SUM(AJ4:AJ10)</f>
        <v>0</v>
      </c>
      <c r="AK11" s="120"/>
      <c r="AL11" s="120"/>
      <c r="AM11" s="116"/>
      <c r="AN11" s="134">
        <f t="shared" si="0"/>
        <v>0</v>
      </c>
      <c r="AO11" s="139"/>
    </row>
    <row r="12" spans="1:53" ht="15.75" thickBot="1" x14ac:dyDescent="0.3">
      <c r="A12" s="27" t="s">
        <v>46</v>
      </c>
      <c r="B12" s="26">
        <v>5000</v>
      </c>
      <c r="C12" s="29" t="s">
        <v>10</v>
      </c>
      <c r="D12" s="123">
        <f>Lønnsmatrise!H55</f>
        <v>73436.350000000006</v>
      </c>
      <c r="E12" s="114"/>
      <c r="F12" s="115"/>
      <c r="G12" s="116"/>
      <c r="H12" s="123"/>
      <c r="I12" s="114"/>
      <c r="J12" s="115"/>
      <c r="K12" s="116"/>
      <c r="L12" s="123"/>
      <c r="M12" s="114"/>
      <c r="N12" s="115"/>
      <c r="O12" s="116"/>
      <c r="P12" s="123"/>
      <c r="Q12" s="114"/>
      <c r="R12" s="115"/>
      <c r="S12" s="116"/>
      <c r="T12" s="123"/>
      <c r="U12" s="114"/>
      <c r="V12" s="115"/>
      <c r="W12" s="116"/>
      <c r="X12" s="123"/>
      <c r="Y12" s="114"/>
      <c r="Z12" s="115"/>
      <c r="AA12" s="116"/>
      <c r="AB12" s="123"/>
      <c r="AC12" s="114"/>
      <c r="AD12" s="115"/>
      <c r="AE12" s="116"/>
      <c r="AF12" s="123"/>
      <c r="AG12" s="114"/>
      <c r="AH12" s="115"/>
      <c r="AI12" s="116"/>
      <c r="AJ12" s="123"/>
      <c r="AK12" s="114"/>
      <c r="AL12" s="115"/>
      <c r="AM12" s="130"/>
      <c r="AN12" s="134">
        <f t="shared" si="0"/>
        <v>73436.350000000006</v>
      </c>
      <c r="AO12" s="140">
        <v>5000</v>
      </c>
    </row>
    <row r="13" spans="1:53" hidden="1" thickBot="1" x14ac:dyDescent="0.35">
      <c r="B13" s="7">
        <v>5001</v>
      </c>
      <c r="C13" s="15" t="s">
        <v>11</v>
      </c>
      <c r="D13" s="123">
        <f>Lønnsmatrise!H56</f>
        <v>0</v>
      </c>
      <c r="E13" s="114"/>
      <c r="F13" s="115"/>
      <c r="G13" s="116"/>
      <c r="H13" s="123"/>
      <c r="I13" s="114"/>
      <c r="J13" s="115"/>
      <c r="K13" s="116"/>
      <c r="L13" s="123"/>
      <c r="M13" s="114"/>
      <c r="N13" s="115"/>
      <c r="O13" s="116"/>
      <c r="P13" s="123"/>
      <c r="Q13" s="114"/>
      <c r="R13" s="115"/>
      <c r="S13" s="116"/>
      <c r="T13" s="123"/>
      <c r="U13" s="114"/>
      <c r="V13" s="115"/>
      <c r="W13" s="116"/>
      <c r="X13" s="123"/>
      <c r="Y13" s="114"/>
      <c r="Z13" s="115"/>
      <c r="AA13" s="116"/>
      <c r="AB13" s="123"/>
      <c r="AC13" s="114"/>
      <c r="AD13" s="115"/>
      <c r="AE13" s="116"/>
      <c r="AF13" s="123"/>
      <c r="AG13" s="114"/>
      <c r="AH13" s="115"/>
      <c r="AI13" s="116"/>
      <c r="AJ13" s="123"/>
      <c r="AK13" s="114"/>
      <c r="AL13" s="115"/>
      <c r="AM13" s="130"/>
      <c r="AN13" s="134">
        <f t="shared" si="0"/>
        <v>0</v>
      </c>
      <c r="AO13" s="138">
        <v>5001</v>
      </c>
    </row>
    <row r="14" spans="1:53" thickBot="1" x14ac:dyDescent="0.35">
      <c r="B14" s="7">
        <v>5004</v>
      </c>
      <c r="C14" s="15" t="s">
        <v>12</v>
      </c>
      <c r="D14" s="123">
        <f>Lønnsmatrise!H57</f>
        <v>0</v>
      </c>
      <c r="E14" s="114"/>
      <c r="F14" s="115"/>
      <c r="G14" s="116"/>
      <c r="H14" s="123">
        <v>10000</v>
      </c>
      <c r="I14" s="114" t="s">
        <v>290</v>
      </c>
      <c r="J14" s="115"/>
      <c r="K14" s="116"/>
      <c r="L14" s="123"/>
      <c r="M14" s="114"/>
      <c r="N14" s="115"/>
      <c r="O14" s="116"/>
      <c r="P14" s="123"/>
      <c r="Q14" s="114"/>
      <c r="R14" s="115"/>
      <c r="S14" s="116"/>
      <c r="T14" s="123"/>
      <c r="U14" s="114"/>
      <c r="V14" s="115"/>
      <c r="W14" s="116"/>
      <c r="X14" s="123"/>
      <c r="Y14" s="114"/>
      <c r="Z14" s="115"/>
      <c r="AA14" s="116"/>
      <c r="AB14" s="123"/>
      <c r="AC14" s="114"/>
      <c r="AD14" s="115"/>
      <c r="AE14" s="116"/>
      <c r="AF14" s="123"/>
      <c r="AG14" s="114"/>
      <c r="AH14" s="115"/>
      <c r="AI14" s="116"/>
      <c r="AJ14" s="123"/>
      <c r="AK14" s="114"/>
      <c r="AL14" s="115"/>
      <c r="AM14" s="130"/>
      <c r="AN14" s="134">
        <f t="shared" si="0"/>
        <v>10000</v>
      </c>
      <c r="AO14" s="138">
        <v>5004</v>
      </c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thickBot="1" x14ac:dyDescent="0.35">
      <c r="A15" s="12"/>
      <c r="B15" s="14">
        <v>5180</v>
      </c>
      <c r="C15" s="17" t="s">
        <v>13</v>
      </c>
      <c r="D15" s="123">
        <f>Lønnsmatrise!H58</f>
        <v>8812.3619999999992</v>
      </c>
      <c r="E15" s="125"/>
      <c r="F15" s="126"/>
      <c r="G15" s="127"/>
      <c r="H15" s="123">
        <f>SUM(H12*0.12)</f>
        <v>0</v>
      </c>
      <c r="I15" s="125"/>
      <c r="J15" s="126"/>
      <c r="K15" s="127"/>
      <c r="L15" s="123">
        <f>SUM(L12*0.12)</f>
        <v>0</v>
      </c>
      <c r="M15" s="125"/>
      <c r="N15" s="126"/>
      <c r="O15" s="127"/>
      <c r="P15" s="123">
        <f>SUM(P12*0.12)</f>
        <v>0</v>
      </c>
      <c r="Q15" s="125"/>
      <c r="R15" s="126"/>
      <c r="S15" s="127"/>
      <c r="T15" s="123">
        <f>SUM(T12*0.12)</f>
        <v>0</v>
      </c>
      <c r="U15" s="125"/>
      <c r="V15" s="126"/>
      <c r="W15" s="127"/>
      <c r="X15" s="123">
        <f>SUM(X12*0.12)</f>
        <v>0</v>
      </c>
      <c r="Y15" s="125"/>
      <c r="Z15" s="126"/>
      <c r="AA15" s="127"/>
      <c r="AB15" s="123">
        <f>SUM(AB12*0.12)</f>
        <v>0</v>
      </c>
      <c r="AC15" s="125"/>
      <c r="AD15" s="126"/>
      <c r="AE15" s="127"/>
      <c r="AF15" s="123">
        <f>SUM(AF12*0.12)</f>
        <v>0</v>
      </c>
      <c r="AG15" s="125"/>
      <c r="AH15" s="126"/>
      <c r="AI15" s="127"/>
      <c r="AJ15" s="123">
        <f>SUM(AJ12*0.12)</f>
        <v>0</v>
      </c>
      <c r="AK15" s="125"/>
      <c r="AL15" s="126"/>
      <c r="AM15" s="130"/>
      <c r="AN15" s="134">
        <f t="shared" si="0"/>
        <v>8812.3619999999992</v>
      </c>
      <c r="AO15" s="141">
        <v>5180</v>
      </c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5.75" thickBot="1" x14ac:dyDescent="0.3">
      <c r="A16" s="12"/>
      <c r="B16" s="14">
        <v>5182</v>
      </c>
      <c r="C16" s="17" t="s">
        <v>14</v>
      </c>
      <c r="D16" s="123">
        <f>Lønnsmatrise!H59</f>
        <v>1242.5430419999998</v>
      </c>
      <c r="E16" s="125"/>
      <c r="F16" s="126"/>
      <c r="G16" s="127"/>
      <c r="H16" s="123">
        <f>SUM(H15*0.141)</f>
        <v>0</v>
      </c>
      <c r="I16" s="125"/>
      <c r="J16" s="126"/>
      <c r="K16" s="127"/>
      <c r="L16" s="123">
        <f>SUM(L15*0.141)</f>
        <v>0</v>
      </c>
      <c r="M16" s="125"/>
      <c r="N16" s="126"/>
      <c r="O16" s="127"/>
      <c r="P16" s="123">
        <f>SUM(P15*0.141)</f>
        <v>0</v>
      </c>
      <c r="Q16" s="125"/>
      <c r="R16" s="126"/>
      <c r="S16" s="127"/>
      <c r="T16" s="123">
        <f>SUM(T15*0.141)</f>
        <v>0</v>
      </c>
      <c r="U16" s="125"/>
      <c r="V16" s="126"/>
      <c r="W16" s="127"/>
      <c r="X16" s="123">
        <f>SUM(X15*0.141)</f>
        <v>0</v>
      </c>
      <c r="Y16" s="125"/>
      <c r="Z16" s="126"/>
      <c r="AA16" s="127"/>
      <c r="AB16" s="123">
        <f>SUM(AB15*0.141)</f>
        <v>0</v>
      </c>
      <c r="AC16" s="125"/>
      <c r="AD16" s="126"/>
      <c r="AE16" s="127"/>
      <c r="AF16" s="123">
        <f>SUM(AF15*0.141)</f>
        <v>0</v>
      </c>
      <c r="AG16" s="125"/>
      <c r="AH16" s="126"/>
      <c r="AI16" s="127"/>
      <c r="AJ16" s="123">
        <f>SUM(AJ15*0.141)</f>
        <v>0</v>
      </c>
      <c r="AK16" s="125"/>
      <c r="AL16" s="126"/>
      <c r="AM16" s="130"/>
      <c r="AN16" s="134">
        <f t="shared" si="0"/>
        <v>1242.5430419999998</v>
      </c>
      <c r="AO16" s="141">
        <v>5182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idden="1" thickBot="1" x14ac:dyDescent="0.35">
      <c r="A17" s="12"/>
      <c r="B17" s="14">
        <v>5211</v>
      </c>
      <c r="C17" s="17" t="s">
        <v>15</v>
      </c>
      <c r="D17" s="113"/>
      <c r="E17" s="125"/>
      <c r="F17" s="126"/>
      <c r="G17" s="127"/>
      <c r="H17" s="113"/>
      <c r="I17" s="125"/>
      <c r="J17" s="126"/>
      <c r="K17" s="127"/>
      <c r="L17" s="113"/>
      <c r="M17" s="125"/>
      <c r="N17" s="126"/>
      <c r="O17" s="127"/>
      <c r="P17" s="113"/>
      <c r="Q17" s="125"/>
      <c r="R17" s="126"/>
      <c r="S17" s="127"/>
      <c r="T17" s="113"/>
      <c r="U17" s="125"/>
      <c r="V17" s="126"/>
      <c r="W17" s="127"/>
      <c r="X17" s="113"/>
      <c r="Y17" s="125"/>
      <c r="Z17" s="126"/>
      <c r="AA17" s="127"/>
      <c r="AB17" s="113"/>
      <c r="AC17" s="125"/>
      <c r="AD17" s="126"/>
      <c r="AE17" s="127"/>
      <c r="AF17" s="113"/>
      <c r="AG17" s="125"/>
      <c r="AH17" s="126"/>
      <c r="AI17" s="127"/>
      <c r="AJ17" s="113"/>
      <c r="AK17" s="125"/>
      <c r="AL17" s="126"/>
      <c r="AM17" s="130"/>
      <c r="AN17" s="134">
        <f t="shared" si="0"/>
        <v>0</v>
      </c>
      <c r="AO17" s="141">
        <v>5211</v>
      </c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idden="1" thickBot="1" x14ac:dyDescent="0.35">
      <c r="A18" s="12"/>
      <c r="B18" s="14">
        <v>5230</v>
      </c>
      <c r="C18" s="17" t="s">
        <v>16</v>
      </c>
      <c r="D18" s="113"/>
      <c r="E18" s="125"/>
      <c r="F18" s="126"/>
      <c r="G18" s="127"/>
      <c r="H18" s="113"/>
      <c r="I18" s="125"/>
      <c r="J18" s="126"/>
      <c r="K18" s="127"/>
      <c r="L18" s="113"/>
      <c r="M18" s="125"/>
      <c r="N18" s="126"/>
      <c r="O18" s="127"/>
      <c r="P18" s="113"/>
      <c r="Q18" s="125"/>
      <c r="R18" s="126"/>
      <c r="S18" s="127"/>
      <c r="T18" s="113"/>
      <c r="U18" s="125"/>
      <c r="V18" s="126"/>
      <c r="W18" s="127"/>
      <c r="X18" s="113"/>
      <c r="Y18" s="125"/>
      <c r="Z18" s="126"/>
      <c r="AA18" s="127"/>
      <c r="AB18" s="113"/>
      <c r="AC18" s="125"/>
      <c r="AD18" s="126"/>
      <c r="AE18" s="127"/>
      <c r="AF18" s="113"/>
      <c r="AG18" s="125"/>
      <c r="AH18" s="126"/>
      <c r="AI18" s="127"/>
      <c r="AJ18" s="113"/>
      <c r="AK18" s="125"/>
      <c r="AL18" s="126"/>
      <c r="AM18" s="130"/>
      <c r="AN18" s="134">
        <f t="shared" si="0"/>
        <v>0</v>
      </c>
      <c r="AO18" s="141">
        <v>5230</v>
      </c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5.75" thickBot="1" x14ac:dyDescent="0.3">
      <c r="A19" s="12"/>
      <c r="B19" s="7">
        <v>5400</v>
      </c>
      <c r="C19" s="15" t="s">
        <v>48</v>
      </c>
      <c r="D19" s="123">
        <f>Lønnsmatrise!H61</f>
        <v>10354.525349999998</v>
      </c>
      <c r="E19" s="125"/>
      <c r="F19" s="126"/>
      <c r="G19" s="127"/>
      <c r="H19" s="123">
        <f>SUM((H12+H13+H14+H17+H18)*0.141)</f>
        <v>1409.9999999999998</v>
      </c>
      <c r="I19" s="125"/>
      <c r="J19" s="126"/>
      <c r="K19" s="127"/>
      <c r="L19" s="123">
        <f>SUM((L12+L13+L14+L17+L18)*0.141)</f>
        <v>0</v>
      </c>
      <c r="M19" s="125"/>
      <c r="N19" s="126"/>
      <c r="O19" s="127"/>
      <c r="P19" s="123">
        <f>SUM((P12+P13+P14+P17+P18)*0.141)</f>
        <v>0</v>
      </c>
      <c r="Q19" s="125"/>
      <c r="R19" s="126"/>
      <c r="S19" s="127"/>
      <c r="T19" s="123">
        <f>SUM((T12+T13+T14+T17+T18)*0.141)</f>
        <v>0</v>
      </c>
      <c r="U19" s="125"/>
      <c r="V19" s="126"/>
      <c r="W19" s="127"/>
      <c r="X19" s="123">
        <f>SUM((X12+X13+X14+X17+X18)*0.141)</f>
        <v>0</v>
      </c>
      <c r="Y19" s="125"/>
      <c r="Z19" s="126"/>
      <c r="AA19" s="127"/>
      <c r="AB19" s="123">
        <f>SUM((AB12+AB13+AB14+AB17+AB18)*0.141)</f>
        <v>0</v>
      </c>
      <c r="AC19" s="125"/>
      <c r="AD19" s="126"/>
      <c r="AE19" s="127"/>
      <c r="AF19" s="123">
        <f>SUM((AF12+AF13+AF14+AF17+AF18)*0.141)</f>
        <v>0</v>
      </c>
      <c r="AG19" s="125"/>
      <c r="AH19" s="126"/>
      <c r="AI19" s="127"/>
      <c r="AJ19" s="123">
        <f>SUM((AJ12+AJ13+AJ14+AJ17+AJ18)*0.141)</f>
        <v>0</v>
      </c>
      <c r="AK19" s="125"/>
      <c r="AL19" s="126"/>
      <c r="AM19" s="130"/>
      <c r="AN19" s="134">
        <f t="shared" si="0"/>
        <v>11764.525349999998</v>
      </c>
      <c r="AO19" s="138">
        <v>5400</v>
      </c>
    </row>
    <row r="20" spans="1:53" ht="15.75" thickBot="1" x14ac:dyDescent="0.3">
      <c r="B20" s="7">
        <v>5990</v>
      </c>
      <c r="C20" s="15" t="s">
        <v>17</v>
      </c>
      <c r="D20" s="123">
        <f>Lønnsmatrise!H62</f>
        <v>3246.8175000000001</v>
      </c>
      <c r="E20" s="114"/>
      <c r="F20" s="115"/>
      <c r="G20" s="116"/>
      <c r="H20" s="123"/>
      <c r="I20" s="114"/>
      <c r="J20" s="115"/>
      <c r="K20" s="116"/>
      <c r="L20" s="123"/>
      <c r="M20" s="114"/>
      <c r="N20" s="115"/>
      <c r="O20" s="116"/>
      <c r="P20" s="123"/>
      <c r="Q20" s="114"/>
      <c r="R20" s="115"/>
      <c r="S20" s="116"/>
      <c r="T20" s="123"/>
      <c r="U20" s="114"/>
      <c r="V20" s="115"/>
      <c r="W20" s="116"/>
      <c r="X20" s="123"/>
      <c r="Y20" s="114"/>
      <c r="Z20" s="115"/>
      <c r="AA20" s="116"/>
      <c r="AB20" s="123"/>
      <c r="AC20" s="114"/>
      <c r="AD20" s="115"/>
      <c r="AE20" s="116"/>
      <c r="AF20" s="123"/>
      <c r="AG20" s="114"/>
      <c r="AH20" s="115"/>
      <c r="AI20" s="116"/>
      <c r="AJ20" s="123"/>
      <c r="AK20" s="114"/>
      <c r="AL20" s="115"/>
      <c r="AM20" s="130"/>
      <c r="AN20" s="134">
        <f t="shared" si="0"/>
        <v>3246.8175000000001</v>
      </c>
      <c r="AO20" s="138">
        <v>5990</v>
      </c>
    </row>
    <row r="21" spans="1:53" ht="15.75" thickBot="1" x14ac:dyDescent="0.3">
      <c r="B21" s="7">
        <v>6110</v>
      </c>
      <c r="C21" s="15" t="s">
        <v>50</v>
      </c>
      <c r="D21" s="113"/>
      <c r="E21" s="114"/>
      <c r="F21" s="115"/>
      <c r="G21" s="116"/>
      <c r="H21" s="113"/>
      <c r="I21" s="114"/>
      <c r="J21" s="115"/>
      <c r="K21" s="116"/>
      <c r="L21" s="113">
        <v>3000</v>
      </c>
      <c r="M21" s="114"/>
      <c r="N21" s="115"/>
      <c r="O21" s="116"/>
      <c r="P21" s="113"/>
      <c r="Q21" s="114"/>
      <c r="R21" s="115"/>
      <c r="S21" s="116"/>
      <c r="T21" s="113"/>
      <c r="U21" s="114"/>
      <c r="V21" s="115"/>
      <c r="W21" s="116"/>
      <c r="X21" s="113"/>
      <c r="Y21" s="114"/>
      <c r="Z21" s="115"/>
      <c r="AA21" s="116"/>
      <c r="AB21" s="113"/>
      <c r="AC21" s="114"/>
      <c r="AD21" s="115"/>
      <c r="AE21" s="116"/>
      <c r="AF21" s="113"/>
      <c r="AG21" s="114"/>
      <c r="AH21" s="115"/>
      <c r="AI21" s="116"/>
      <c r="AJ21" s="113"/>
      <c r="AK21" s="114"/>
      <c r="AL21" s="115"/>
      <c r="AM21" s="130"/>
      <c r="AN21" s="134">
        <f t="shared" si="0"/>
        <v>3000</v>
      </c>
      <c r="AO21" s="138">
        <v>6110</v>
      </c>
    </row>
    <row r="22" spans="1:53" ht="15.75" thickBot="1" x14ac:dyDescent="0.3">
      <c r="B22" s="7">
        <v>6300</v>
      </c>
      <c r="C22" s="15" t="s">
        <v>18</v>
      </c>
      <c r="D22" s="113"/>
      <c r="E22" s="114"/>
      <c r="F22" s="115"/>
      <c r="G22" s="116"/>
      <c r="H22" s="113">
        <v>30000</v>
      </c>
      <c r="I22" s="114"/>
      <c r="J22" s="115"/>
      <c r="K22" s="116"/>
      <c r="L22" s="113"/>
      <c r="M22" s="114"/>
      <c r="N22" s="115"/>
      <c r="O22" s="116"/>
      <c r="P22" s="113"/>
      <c r="Q22" s="114"/>
      <c r="R22" s="115"/>
      <c r="S22" s="116"/>
      <c r="T22" s="113"/>
      <c r="U22" s="114"/>
      <c r="V22" s="115"/>
      <c r="W22" s="116"/>
      <c r="X22" s="113"/>
      <c r="Y22" s="114"/>
      <c r="Z22" s="115"/>
      <c r="AA22" s="116"/>
      <c r="AB22" s="113"/>
      <c r="AC22" s="114"/>
      <c r="AD22" s="115"/>
      <c r="AE22" s="116"/>
      <c r="AF22" s="113"/>
      <c r="AG22" s="114"/>
      <c r="AH22" s="115"/>
      <c r="AI22" s="116"/>
      <c r="AJ22" s="113"/>
      <c r="AK22" s="114"/>
      <c r="AL22" s="115"/>
      <c r="AM22" s="130"/>
      <c r="AN22" s="134">
        <f t="shared" si="0"/>
        <v>30000</v>
      </c>
      <c r="AO22" s="138">
        <v>6300</v>
      </c>
    </row>
    <row r="23" spans="1:53" hidden="1" thickBot="1" x14ac:dyDescent="0.35">
      <c r="B23" s="7">
        <v>6440</v>
      </c>
      <c r="C23" s="15" t="s">
        <v>19</v>
      </c>
      <c r="D23" s="113"/>
      <c r="E23" s="114"/>
      <c r="F23" s="115"/>
      <c r="G23" s="116"/>
      <c r="H23" s="113"/>
      <c r="I23" s="114"/>
      <c r="J23" s="115"/>
      <c r="K23" s="116"/>
      <c r="L23" s="113"/>
      <c r="M23" s="114"/>
      <c r="N23" s="115"/>
      <c r="O23" s="116"/>
      <c r="P23" s="113"/>
      <c r="Q23" s="114"/>
      <c r="R23" s="115"/>
      <c r="S23" s="116"/>
      <c r="T23" s="113"/>
      <c r="U23" s="114"/>
      <c r="V23" s="115"/>
      <c r="W23" s="116"/>
      <c r="X23" s="113"/>
      <c r="Y23" s="114"/>
      <c r="Z23" s="115"/>
      <c r="AA23" s="116"/>
      <c r="AB23" s="113"/>
      <c r="AC23" s="114"/>
      <c r="AD23" s="115"/>
      <c r="AE23" s="116"/>
      <c r="AF23" s="113"/>
      <c r="AG23" s="114"/>
      <c r="AH23" s="115"/>
      <c r="AI23" s="116"/>
      <c r="AJ23" s="113"/>
      <c r="AK23" s="114"/>
      <c r="AL23" s="115"/>
      <c r="AM23" s="130"/>
      <c r="AN23" s="134">
        <f t="shared" si="0"/>
        <v>0</v>
      </c>
      <c r="AO23" s="138">
        <v>6440</v>
      </c>
    </row>
    <row r="24" spans="1:53" hidden="1" thickBot="1" x14ac:dyDescent="0.35">
      <c r="B24" s="7">
        <v>6550</v>
      </c>
      <c r="C24" s="15" t="s">
        <v>20</v>
      </c>
      <c r="D24" s="113"/>
      <c r="E24" s="114"/>
      <c r="F24" s="115"/>
      <c r="G24" s="116"/>
      <c r="H24" s="113"/>
      <c r="I24" s="114"/>
      <c r="J24" s="115"/>
      <c r="K24" s="116"/>
      <c r="L24" s="113"/>
      <c r="M24" s="114"/>
      <c r="N24" s="115"/>
      <c r="O24" s="116"/>
      <c r="P24" s="113"/>
      <c r="Q24" s="114"/>
      <c r="R24" s="115"/>
      <c r="S24" s="116"/>
      <c r="T24" s="113"/>
      <c r="U24" s="114"/>
      <c r="V24" s="115"/>
      <c r="W24" s="116"/>
      <c r="X24" s="113"/>
      <c r="Y24" s="114"/>
      <c r="Z24" s="115"/>
      <c r="AA24" s="116"/>
      <c r="AB24" s="113"/>
      <c r="AC24" s="114"/>
      <c r="AD24" s="115"/>
      <c r="AE24" s="116"/>
      <c r="AF24" s="113"/>
      <c r="AG24" s="114"/>
      <c r="AH24" s="115"/>
      <c r="AI24" s="116"/>
      <c r="AJ24" s="113"/>
      <c r="AK24" s="114"/>
      <c r="AL24" s="115"/>
      <c r="AM24" s="130"/>
      <c r="AN24" s="134">
        <f t="shared" si="0"/>
        <v>0</v>
      </c>
      <c r="AO24" s="138">
        <v>6550</v>
      </c>
    </row>
    <row r="25" spans="1:53" hidden="1" thickBot="1" x14ac:dyDescent="0.35">
      <c r="B25" s="7">
        <v>6560</v>
      </c>
      <c r="C25" s="15" t="s">
        <v>21</v>
      </c>
      <c r="D25" s="113"/>
      <c r="E25" s="114"/>
      <c r="F25" s="115"/>
      <c r="G25" s="116"/>
      <c r="H25" s="113"/>
      <c r="I25" s="114"/>
      <c r="J25" s="115"/>
      <c r="K25" s="116"/>
      <c r="L25" s="113"/>
      <c r="M25" s="114"/>
      <c r="N25" s="115"/>
      <c r="O25" s="116"/>
      <c r="P25" s="113"/>
      <c r="Q25" s="114"/>
      <c r="R25" s="115"/>
      <c r="S25" s="116"/>
      <c r="T25" s="113"/>
      <c r="U25" s="114"/>
      <c r="V25" s="115"/>
      <c r="W25" s="116"/>
      <c r="X25" s="113"/>
      <c r="Y25" s="114"/>
      <c r="Z25" s="115"/>
      <c r="AA25" s="116"/>
      <c r="AB25" s="113"/>
      <c r="AC25" s="114"/>
      <c r="AD25" s="115"/>
      <c r="AE25" s="116"/>
      <c r="AF25" s="113"/>
      <c r="AG25" s="114"/>
      <c r="AH25" s="115"/>
      <c r="AI25" s="116"/>
      <c r="AJ25" s="113"/>
      <c r="AK25" s="114"/>
      <c r="AL25" s="115"/>
      <c r="AM25" s="130"/>
      <c r="AN25" s="134">
        <f t="shared" si="0"/>
        <v>0</v>
      </c>
      <c r="AO25" s="138">
        <v>6560</v>
      </c>
    </row>
    <row r="26" spans="1:53" ht="15.75" thickBot="1" x14ac:dyDescent="0.3">
      <c r="B26" s="7">
        <v>6580</v>
      </c>
      <c r="C26" s="15" t="s">
        <v>2</v>
      </c>
      <c r="D26" s="113"/>
      <c r="E26" s="114"/>
      <c r="F26" s="115"/>
      <c r="G26" s="116"/>
      <c r="H26" s="113"/>
      <c r="I26" s="114"/>
      <c r="J26" s="115"/>
      <c r="K26" s="116"/>
      <c r="L26" s="113">
        <f>10000+5000</f>
        <v>15000</v>
      </c>
      <c r="M26" s="114" t="s">
        <v>293</v>
      </c>
      <c r="N26" s="115"/>
      <c r="O26" s="116"/>
      <c r="P26" s="113"/>
      <c r="Q26" s="114"/>
      <c r="R26" s="115"/>
      <c r="S26" s="116"/>
      <c r="T26" s="113"/>
      <c r="U26" s="114"/>
      <c r="V26" s="115"/>
      <c r="W26" s="116"/>
      <c r="X26" s="113"/>
      <c r="Y26" s="114"/>
      <c r="Z26" s="115"/>
      <c r="AA26" s="116"/>
      <c r="AB26" s="113">
        <v>10000</v>
      </c>
      <c r="AC26" s="114" t="s">
        <v>294</v>
      </c>
      <c r="AD26" s="115"/>
      <c r="AE26" s="116"/>
      <c r="AF26" s="113"/>
      <c r="AG26" s="114"/>
      <c r="AH26" s="115"/>
      <c r="AI26" s="116"/>
      <c r="AJ26" s="113"/>
      <c r="AK26" s="114"/>
      <c r="AL26" s="115"/>
      <c r="AM26" s="130"/>
      <c r="AN26" s="134">
        <f t="shared" si="0"/>
        <v>25000</v>
      </c>
      <c r="AO26" s="138">
        <v>6580</v>
      </c>
    </row>
    <row r="27" spans="1:53" hidden="1" thickBot="1" x14ac:dyDescent="0.35">
      <c r="B27" s="7">
        <v>6800</v>
      </c>
      <c r="C27" s="15" t="s">
        <v>22</v>
      </c>
      <c r="D27" s="113"/>
      <c r="E27" s="114"/>
      <c r="F27" s="115"/>
      <c r="G27" s="116"/>
      <c r="H27" s="113"/>
      <c r="I27" s="114"/>
      <c r="J27" s="115"/>
      <c r="K27" s="116"/>
      <c r="L27" s="113"/>
      <c r="M27" s="114"/>
      <c r="N27" s="115"/>
      <c r="O27" s="116"/>
      <c r="P27" s="113"/>
      <c r="Q27" s="114"/>
      <c r="R27" s="115"/>
      <c r="S27" s="116"/>
      <c r="T27" s="113"/>
      <c r="U27" s="114"/>
      <c r="V27" s="115"/>
      <c r="W27" s="116"/>
      <c r="X27" s="113"/>
      <c r="Y27" s="114"/>
      <c r="Z27" s="115"/>
      <c r="AA27" s="116"/>
      <c r="AB27" s="113"/>
      <c r="AC27" s="114"/>
      <c r="AD27" s="115"/>
      <c r="AE27" s="116"/>
      <c r="AF27" s="113"/>
      <c r="AG27" s="114"/>
      <c r="AH27" s="115"/>
      <c r="AI27" s="116"/>
      <c r="AJ27" s="113"/>
      <c r="AK27" s="114"/>
      <c r="AL27" s="115"/>
      <c r="AM27" s="130"/>
      <c r="AN27" s="134">
        <f t="shared" si="0"/>
        <v>0</v>
      </c>
      <c r="AO27" s="138">
        <v>6800</v>
      </c>
    </row>
    <row r="28" spans="1:53" hidden="1" thickBot="1" x14ac:dyDescent="0.35">
      <c r="B28" s="7">
        <v>6820</v>
      </c>
      <c r="C28" s="15" t="s">
        <v>23</v>
      </c>
      <c r="D28" s="113"/>
      <c r="E28" s="114"/>
      <c r="F28" s="115"/>
      <c r="G28" s="116"/>
      <c r="H28" s="113"/>
      <c r="I28" s="114"/>
      <c r="J28" s="115"/>
      <c r="K28" s="116"/>
      <c r="L28" s="113"/>
      <c r="M28" s="114"/>
      <c r="N28" s="115"/>
      <c r="O28" s="116"/>
      <c r="P28" s="113"/>
      <c r="Q28" s="114"/>
      <c r="R28" s="115"/>
      <c r="S28" s="116"/>
      <c r="T28" s="113"/>
      <c r="U28" s="114"/>
      <c r="V28" s="115"/>
      <c r="W28" s="116"/>
      <c r="X28" s="113"/>
      <c r="Y28" s="114"/>
      <c r="Z28" s="115"/>
      <c r="AA28" s="116"/>
      <c r="AB28" s="113"/>
      <c r="AC28" s="114"/>
      <c r="AD28" s="115"/>
      <c r="AE28" s="116"/>
      <c r="AF28" s="113"/>
      <c r="AG28" s="114"/>
      <c r="AH28" s="115"/>
      <c r="AI28" s="116"/>
      <c r="AJ28" s="113"/>
      <c r="AK28" s="114"/>
      <c r="AL28" s="115"/>
      <c r="AM28" s="130"/>
      <c r="AN28" s="134">
        <f t="shared" si="0"/>
        <v>0</v>
      </c>
      <c r="AO28" s="138">
        <v>6820</v>
      </c>
    </row>
    <row r="29" spans="1:53" hidden="1" thickBot="1" x14ac:dyDescent="0.35">
      <c r="B29" s="7">
        <v>6840</v>
      </c>
      <c r="C29" s="15" t="s">
        <v>24</v>
      </c>
      <c r="D29" s="113"/>
      <c r="E29" s="114"/>
      <c r="F29" s="115"/>
      <c r="G29" s="116"/>
      <c r="H29" s="113"/>
      <c r="I29" s="114"/>
      <c r="J29" s="115"/>
      <c r="K29" s="116"/>
      <c r="L29" s="113"/>
      <c r="M29" s="114"/>
      <c r="N29" s="115"/>
      <c r="O29" s="116"/>
      <c r="P29" s="113"/>
      <c r="Q29" s="114"/>
      <c r="R29" s="115"/>
      <c r="S29" s="116"/>
      <c r="T29" s="113"/>
      <c r="U29" s="114"/>
      <c r="V29" s="115"/>
      <c r="W29" s="116"/>
      <c r="X29" s="113"/>
      <c r="Y29" s="114"/>
      <c r="Z29" s="115"/>
      <c r="AA29" s="116"/>
      <c r="AB29" s="113"/>
      <c r="AC29" s="114"/>
      <c r="AD29" s="115"/>
      <c r="AE29" s="116"/>
      <c r="AF29" s="113"/>
      <c r="AG29" s="114"/>
      <c r="AH29" s="115"/>
      <c r="AI29" s="116"/>
      <c r="AJ29" s="113"/>
      <c r="AK29" s="114"/>
      <c r="AL29" s="115"/>
      <c r="AM29" s="130"/>
      <c r="AN29" s="134">
        <f t="shared" si="0"/>
        <v>0</v>
      </c>
      <c r="AO29" s="138">
        <v>6840</v>
      </c>
    </row>
    <row r="30" spans="1:53" ht="15.75" thickBot="1" x14ac:dyDescent="0.3">
      <c r="B30" s="7">
        <v>6860</v>
      </c>
      <c r="C30" s="15" t="s">
        <v>25</v>
      </c>
      <c r="D30" s="113"/>
      <c r="E30" s="114"/>
      <c r="F30" s="115"/>
      <c r="G30" s="116"/>
      <c r="H30" s="113">
        <f>10000+8000</f>
        <v>18000</v>
      </c>
      <c r="I30" s="114" t="s">
        <v>289</v>
      </c>
      <c r="J30" s="115"/>
      <c r="K30" s="116"/>
      <c r="L30" s="113"/>
      <c r="M30" s="114"/>
      <c r="N30" s="115"/>
      <c r="O30" s="116"/>
      <c r="P30" s="113"/>
      <c r="Q30" s="114"/>
      <c r="R30" s="115"/>
      <c r="S30" s="116"/>
      <c r="T30" s="113"/>
      <c r="U30" s="114"/>
      <c r="V30" s="115"/>
      <c r="W30" s="116"/>
      <c r="X30" s="113"/>
      <c r="Y30" s="114"/>
      <c r="Z30" s="115"/>
      <c r="AA30" s="116"/>
      <c r="AB30" s="113"/>
      <c r="AC30" s="114"/>
      <c r="AD30" s="115"/>
      <c r="AE30" s="116"/>
      <c r="AF30" s="113"/>
      <c r="AG30" s="114"/>
      <c r="AH30" s="115"/>
      <c r="AI30" s="116"/>
      <c r="AJ30" s="113"/>
      <c r="AK30" s="114"/>
      <c r="AL30" s="115"/>
      <c r="AM30" s="130"/>
      <c r="AN30" s="134">
        <f t="shared" si="0"/>
        <v>18000</v>
      </c>
      <c r="AO30" s="138">
        <v>6860</v>
      </c>
    </row>
    <row r="31" spans="1:53" hidden="1" thickBot="1" x14ac:dyDescent="0.35">
      <c r="B31" s="7">
        <v>6910</v>
      </c>
      <c r="C31" s="15" t="s">
        <v>26</v>
      </c>
      <c r="D31" s="113"/>
      <c r="E31" s="114"/>
      <c r="F31" s="115"/>
      <c r="G31" s="116"/>
      <c r="H31" s="113"/>
      <c r="I31" s="114"/>
      <c r="J31" s="115"/>
      <c r="K31" s="116"/>
      <c r="L31" s="113"/>
      <c r="M31" s="114"/>
      <c r="N31" s="115"/>
      <c r="O31" s="116"/>
      <c r="P31" s="113"/>
      <c r="Q31" s="114"/>
      <c r="R31" s="115"/>
      <c r="S31" s="116"/>
      <c r="T31" s="113"/>
      <c r="U31" s="114"/>
      <c r="V31" s="115"/>
      <c r="W31" s="116"/>
      <c r="X31" s="113"/>
      <c r="Y31" s="114"/>
      <c r="Z31" s="115"/>
      <c r="AA31" s="116"/>
      <c r="AB31" s="113"/>
      <c r="AC31" s="114"/>
      <c r="AD31" s="115"/>
      <c r="AE31" s="116"/>
      <c r="AF31" s="113"/>
      <c r="AG31" s="114"/>
      <c r="AH31" s="115"/>
      <c r="AI31" s="116"/>
      <c r="AJ31" s="113"/>
      <c r="AK31" s="114"/>
      <c r="AL31" s="115"/>
      <c r="AM31" s="130"/>
      <c r="AN31" s="134">
        <f t="shared" si="0"/>
        <v>0</v>
      </c>
      <c r="AO31" s="138">
        <v>6910</v>
      </c>
    </row>
    <row r="32" spans="1:53" hidden="1" thickBot="1" x14ac:dyDescent="0.35">
      <c r="B32" s="7">
        <v>6940</v>
      </c>
      <c r="C32" s="15" t="s">
        <v>49</v>
      </c>
      <c r="D32" s="113"/>
      <c r="E32" s="114"/>
      <c r="F32" s="115"/>
      <c r="G32" s="116"/>
      <c r="H32" s="113"/>
      <c r="I32" s="114"/>
      <c r="J32" s="115"/>
      <c r="K32" s="116"/>
      <c r="L32" s="113"/>
      <c r="M32" s="114"/>
      <c r="N32" s="115"/>
      <c r="O32" s="116"/>
      <c r="P32" s="113"/>
      <c r="Q32" s="114"/>
      <c r="R32" s="115"/>
      <c r="S32" s="116"/>
      <c r="T32" s="113"/>
      <c r="U32" s="114"/>
      <c r="V32" s="115"/>
      <c r="W32" s="116"/>
      <c r="X32" s="113"/>
      <c r="Y32" s="114"/>
      <c r="Z32" s="115"/>
      <c r="AA32" s="116"/>
      <c r="AB32" s="113"/>
      <c r="AC32" s="114"/>
      <c r="AD32" s="115"/>
      <c r="AE32" s="116"/>
      <c r="AF32" s="113"/>
      <c r="AG32" s="114"/>
      <c r="AH32" s="115"/>
      <c r="AI32" s="116"/>
      <c r="AJ32" s="113"/>
      <c r="AK32" s="114"/>
      <c r="AL32" s="115"/>
      <c r="AM32" s="130"/>
      <c r="AN32" s="134">
        <f t="shared" si="0"/>
        <v>0</v>
      </c>
      <c r="AO32" s="138">
        <v>6940</v>
      </c>
    </row>
    <row r="33" spans="2:41" hidden="1" thickBot="1" x14ac:dyDescent="0.35">
      <c r="B33" s="7">
        <v>7000</v>
      </c>
      <c r="C33" s="15" t="s">
        <v>27</v>
      </c>
      <c r="D33" s="113"/>
      <c r="E33" s="114"/>
      <c r="F33" s="115"/>
      <c r="G33" s="116"/>
      <c r="H33" s="113"/>
      <c r="I33" s="114"/>
      <c r="J33" s="115"/>
      <c r="K33" s="116"/>
      <c r="L33" s="113"/>
      <c r="M33" s="114"/>
      <c r="N33" s="115"/>
      <c r="O33" s="116"/>
      <c r="P33" s="113"/>
      <c r="Q33" s="114"/>
      <c r="R33" s="115"/>
      <c r="S33" s="116"/>
      <c r="T33" s="113"/>
      <c r="U33" s="114"/>
      <c r="V33" s="115"/>
      <c r="W33" s="116"/>
      <c r="X33" s="113"/>
      <c r="Y33" s="114"/>
      <c r="Z33" s="115"/>
      <c r="AA33" s="116"/>
      <c r="AB33" s="113"/>
      <c r="AC33" s="114"/>
      <c r="AD33" s="115"/>
      <c r="AE33" s="116"/>
      <c r="AF33" s="113"/>
      <c r="AG33" s="114"/>
      <c r="AH33" s="115"/>
      <c r="AI33" s="116"/>
      <c r="AJ33" s="113"/>
      <c r="AK33" s="114"/>
      <c r="AL33" s="115"/>
      <c r="AM33" s="130"/>
      <c r="AN33" s="134">
        <f t="shared" si="0"/>
        <v>0</v>
      </c>
      <c r="AO33" s="138">
        <v>7000</v>
      </c>
    </row>
    <row r="34" spans="2:41" ht="15.75" thickBot="1" x14ac:dyDescent="0.3">
      <c r="B34" s="7">
        <v>7100</v>
      </c>
      <c r="C34" s="15" t="s">
        <v>28</v>
      </c>
      <c r="D34" s="113"/>
      <c r="E34" s="114"/>
      <c r="F34" s="115"/>
      <c r="G34" s="116"/>
      <c r="H34" s="113"/>
      <c r="I34" s="114"/>
      <c r="J34" s="115"/>
      <c r="K34" s="116"/>
      <c r="L34" s="113"/>
      <c r="M34" s="114"/>
      <c r="N34" s="115"/>
      <c r="O34" s="116"/>
      <c r="P34" s="113"/>
      <c r="Q34" s="114"/>
      <c r="R34" s="115"/>
      <c r="S34" s="116"/>
      <c r="T34" s="113"/>
      <c r="U34" s="114"/>
      <c r="V34" s="115"/>
      <c r="W34" s="116"/>
      <c r="X34" s="113"/>
      <c r="Y34" s="114"/>
      <c r="Z34" s="115"/>
      <c r="AA34" s="116"/>
      <c r="AB34" s="113">
        <v>5000</v>
      </c>
      <c r="AC34" s="114" t="s">
        <v>166</v>
      </c>
      <c r="AD34" s="115"/>
      <c r="AE34" s="116"/>
      <c r="AF34" s="113"/>
      <c r="AG34" s="114"/>
      <c r="AH34" s="115"/>
      <c r="AI34" s="116"/>
      <c r="AJ34" s="113"/>
      <c r="AK34" s="114"/>
      <c r="AL34" s="115"/>
      <c r="AM34" s="130"/>
      <c r="AN34" s="134">
        <f t="shared" si="0"/>
        <v>5000</v>
      </c>
      <c r="AO34" s="138">
        <v>7100</v>
      </c>
    </row>
    <row r="35" spans="2:41" hidden="1" thickBot="1" x14ac:dyDescent="0.35">
      <c r="B35" s="7">
        <v>7101</v>
      </c>
      <c r="C35" s="15" t="s">
        <v>29</v>
      </c>
      <c r="D35" s="113"/>
      <c r="E35" s="114"/>
      <c r="F35" s="115"/>
      <c r="G35" s="116"/>
      <c r="H35" s="113"/>
      <c r="I35" s="114"/>
      <c r="J35" s="115"/>
      <c r="K35" s="116"/>
      <c r="L35" s="113"/>
      <c r="M35" s="114"/>
      <c r="N35" s="115"/>
      <c r="O35" s="116"/>
      <c r="P35" s="113"/>
      <c r="Q35" s="114"/>
      <c r="R35" s="115"/>
      <c r="S35" s="116"/>
      <c r="T35" s="113"/>
      <c r="U35" s="114"/>
      <c r="V35" s="115"/>
      <c r="W35" s="116"/>
      <c r="X35" s="113"/>
      <c r="Y35" s="114"/>
      <c r="Z35" s="115"/>
      <c r="AA35" s="116"/>
      <c r="AB35" s="113"/>
      <c r="AC35" s="114"/>
      <c r="AD35" s="115"/>
      <c r="AE35" s="116"/>
      <c r="AF35" s="113"/>
      <c r="AG35" s="114"/>
      <c r="AH35" s="115"/>
      <c r="AI35" s="116"/>
      <c r="AJ35" s="113"/>
      <c r="AK35" s="114"/>
      <c r="AL35" s="115"/>
      <c r="AM35" s="130"/>
      <c r="AN35" s="134">
        <f t="shared" si="0"/>
        <v>0</v>
      </c>
      <c r="AO35" s="138">
        <v>7101</v>
      </c>
    </row>
    <row r="36" spans="2:41" ht="15.75" thickBot="1" x14ac:dyDescent="0.3">
      <c r="B36" s="7">
        <v>7110</v>
      </c>
      <c r="C36" s="15" t="s">
        <v>30</v>
      </c>
      <c r="D36" s="113"/>
      <c r="E36" s="114"/>
      <c r="F36" s="115"/>
      <c r="G36" s="116"/>
      <c r="H36" s="113">
        <v>10000</v>
      </c>
      <c r="I36" s="114" t="s">
        <v>291</v>
      </c>
      <c r="J36" s="115"/>
      <c r="K36" s="116"/>
      <c r="L36" s="113"/>
      <c r="M36" s="114"/>
      <c r="N36" s="115"/>
      <c r="O36" s="116"/>
      <c r="P36" s="113"/>
      <c r="Q36" s="114"/>
      <c r="R36" s="115"/>
      <c r="S36" s="116"/>
      <c r="T36" s="113"/>
      <c r="U36" s="114"/>
      <c r="V36" s="115"/>
      <c r="W36" s="116"/>
      <c r="X36" s="113"/>
      <c r="Y36" s="114"/>
      <c r="Z36" s="115"/>
      <c r="AA36" s="116"/>
      <c r="AB36" s="113">
        <v>5000</v>
      </c>
      <c r="AC36" s="114" t="s">
        <v>182</v>
      </c>
      <c r="AD36" s="115"/>
      <c r="AE36" s="116"/>
      <c r="AF36" s="113">
        <f>20*1000</f>
        <v>20000</v>
      </c>
      <c r="AG36" s="114" t="s">
        <v>230</v>
      </c>
      <c r="AH36" s="115"/>
      <c r="AI36" s="116"/>
      <c r="AJ36" s="113"/>
      <c r="AK36" s="114"/>
      <c r="AL36" s="115"/>
      <c r="AM36" s="130"/>
      <c r="AN36" s="134">
        <f t="shared" si="0"/>
        <v>35000</v>
      </c>
      <c r="AO36" s="138">
        <v>7110</v>
      </c>
    </row>
    <row r="37" spans="2:41" ht="15.75" thickBot="1" x14ac:dyDescent="0.3">
      <c r="B37" s="7">
        <v>7141</v>
      </c>
      <c r="C37" s="15" t="s">
        <v>31</v>
      </c>
      <c r="D37" s="113"/>
      <c r="E37" s="114"/>
      <c r="F37" s="115"/>
      <c r="G37" s="116"/>
      <c r="H37" s="113"/>
      <c r="I37" s="114"/>
      <c r="J37" s="115"/>
      <c r="K37" s="116"/>
      <c r="L37" s="113"/>
      <c r="M37" s="114"/>
      <c r="N37" s="115"/>
      <c r="O37" s="116"/>
      <c r="P37" s="113"/>
      <c r="Q37" s="114"/>
      <c r="R37" s="115"/>
      <c r="S37" s="116"/>
      <c r="T37" s="113"/>
      <c r="U37" s="114"/>
      <c r="V37" s="115"/>
      <c r="W37" s="116"/>
      <c r="X37" s="113"/>
      <c r="Y37" s="114"/>
      <c r="Z37" s="115"/>
      <c r="AA37" s="116"/>
      <c r="AB37" s="113">
        <v>2500</v>
      </c>
      <c r="AC37" s="114" t="s">
        <v>182</v>
      </c>
      <c r="AD37" s="115"/>
      <c r="AE37" s="116"/>
      <c r="AF37" s="113"/>
      <c r="AG37" s="114"/>
      <c r="AH37" s="115"/>
      <c r="AI37" s="116"/>
      <c r="AJ37" s="113"/>
      <c r="AK37" s="114"/>
      <c r="AL37" s="115"/>
      <c r="AM37" s="130"/>
      <c r="AN37" s="134">
        <f t="shared" si="0"/>
        <v>2500</v>
      </c>
      <c r="AO37" s="138">
        <v>7141</v>
      </c>
    </row>
    <row r="38" spans="2:41" hidden="1" thickBot="1" x14ac:dyDescent="0.35">
      <c r="B38" s="7">
        <v>7145</v>
      </c>
      <c r="C38" s="15" t="s">
        <v>32</v>
      </c>
      <c r="D38" s="113"/>
      <c r="E38" s="114"/>
      <c r="F38" s="115"/>
      <c r="G38" s="116"/>
      <c r="H38" s="113"/>
      <c r="I38" s="114"/>
      <c r="J38" s="115"/>
      <c r="K38" s="116"/>
      <c r="L38" s="113"/>
      <c r="M38" s="114"/>
      <c r="N38" s="115"/>
      <c r="O38" s="116"/>
      <c r="P38" s="113"/>
      <c r="Q38" s="114"/>
      <c r="R38" s="115"/>
      <c r="S38" s="116"/>
      <c r="T38" s="113"/>
      <c r="U38" s="114"/>
      <c r="V38" s="115"/>
      <c r="W38" s="116"/>
      <c r="X38" s="113"/>
      <c r="Y38" s="114"/>
      <c r="Z38" s="115"/>
      <c r="AA38" s="116"/>
      <c r="AB38" s="113"/>
      <c r="AC38" s="114"/>
      <c r="AD38" s="115"/>
      <c r="AE38" s="116"/>
      <c r="AF38" s="113"/>
      <c r="AG38" s="114"/>
      <c r="AH38" s="115"/>
      <c r="AI38" s="116"/>
      <c r="AJ38" s="113"/>
      <c r="AK38" s="114"/>
      <c r="AL38" s="115"/>
      <c r="AM38" s="130"/>
      <c r="AN38" s="134">
        <f t="shared" si="0"/>
        <v>0</v>
      </c>
      <c r="AO38" s="138">
        <v>7145</v>
      </c>
    </row>
    <row r="39" spans="2:41" hidden="1" thickBot="1" x14ac:dyDescent="0.35">
      <c r="B39" s="7">
        <v>7162</v>
      </c>
      <c r="C39" s="15" t="s">
        <v>33</v>
      </c>
      <c r="D39" s="113"/>
      <c r="E39" s="114"/>
      <c r="F39" s="115"/>
      <c r="G39" s="116"/>
      <c r="H39" s="113"/>
      <c r="I39" s="114"/>
      <c r="J39" s="115"/>
      <c r="K39" s="116"/>
      <c r="L39" s="113"/>
      <c r="M39" s="114"/>
      <c r="N39" s="115"/>
      <c r="O39" s="116"/>
      <c r="P39" s="113"/>
      <c r="Q39" s="114"/>
      <c r="R39" s="115"/>
      <c r="S39" s="116"/>
      <c r="T39" s="113"/>
      <c r="U39" s="114"/>
      <c r="V39" s="115"/>
      <c r="W39" s="116"/>
      <c r="X39" s="113"/>
      <c r="Y39" s="114"/>
      <c r="Z39" s="115"/>
      <c r="AA39" s="116"/>
      <c r="AB39" s="113"/>
      <c r="AC39" s="114"/>
      <c r="AD39" s="115"/>
      <c r="AE39" s="116"/>
      <c r="AF39" s="113"/>
      <c r="AG39" s="114"/>
      <c r="AH39" s="115"/>
      <c r="AI39" s="116"/>
      <c r="AJ39" s="113"/>
      <c r="AK39" s="114"/>
      <c r="AL39" s="115"/>
      <c r="AM39" s="130"/>
      <c r="AN39" s="134">
        <f t="shared" si="0"/>
        <v>0</v>
      </c>
      <c r="AO39" s="138">
        <v>7162</v>
      </c>
    </row>
    <row r="40" spans="2:41" hidden="1" thickBot="1" x14ac:dyDescent="0.35">
      <c r="B40" s="7">
        <v>7320</v>
      </c>
      <c r="C40" s="15" t="s">
        <v>34</v>
      </c>
      <c r="D40" s="113"/>
      <c r="E40" s="114"/>
      <c r="F40" s="115"/>
      <c r="G40" s="116"/>
      <c r="H40" s="113"/>
      <c r="I40" s="114"/>
      <c r="J40" s="115"/>
      <c r="K40" s="116"/>
      <c r="L40" s="113"/>
      <c r="M40" s="114"/>
      <c r="N40" s="115"/>
      <c r="O40" s="116"/>
      <c r="P40" s="113"/>
      <c r="Q40" s="114"/>
      <c r="R40" s="115"/>
      <c r="S40" s="116"/>
      <c r="T40" s="113"/>
      <c r="U40" s="114"/>
      <c r="V40" s="115"/>
      <c r="W40" s="116"/>
      <c r="X40" s="113"/>
      <c r="Y40" s="114"/>
      <c r="Z40" s="115"/>
      <c r="AA40" s="116"/>
      <c r="AB40" s="113"/>
      <c r="AC40" s="114"/>
      <c r="AD40" s="115"/>
      <c r="AE40" s="116"/>
      <c r="AF40" s="113"/>
      <c r="AG40" s="114"/>
      <c r="AH40" s="115"/>
      <c r="AI40" s="116"/>
      <c r="AJ40" s="113"/>
      <c r="AK40" s="114"/>
      <c r="AL40" s="115"/>
      <c r="AM40" s="130"/>
      <c r="AN40" s="134">
        <f t="shared" si="0"/>
        <v>0</v>
      </c>
      <c r="AO40" s="138">
        <v>7320</v>
      </c>
    </row>
    <row r="41" spans="2:41" hidden="1" thickBot="1" x14ac:dyDescent="0.35">
      <c r="B41" s="7">
        <v>7350</v>
      </c>
      <c r="C41" s="15" t="s">
        <v>35</v>
      </c>
      <c r="D41" s="113"/>
      <c r="E41" s="114"/>
      <c r="F41" s="115"/>
      <c r="G41" s="116"/>
      <c r="H41" s="113"/>
      <c r="I41" s="114"/>
      <c r="J41" s="115"/>
      <c r="K41" s="116"/>
      <c r="L41" s="113"/>
      <c r="M41" s="114"/>
      <c r="N41" s="115"/>
      <c r="O41" s="116"/>
      <c r="P41" s="113"/>
      <c r="Q41" s="114"/>
      <c r="R41" s="115"/>
      <c r="S41" s="116"/>
      <c r="T41" s="113"/>
      <c r="U41" s="114"/>
      <c r="V41" s="115"/>
      <c r="W41" s="116"/>
      <c r="X41" s="113"/>
      <c r="Y41" s="114"/>
      <c r="Z41" s="115"/>
      <c r="AA41" s="116"/>
      <c r="AB41" s="113"/>
      <c r="AC41" s="114"/>
      <c r="AD41" s="115"/>
      <c r="AE41" s="116"/>
      <c r="AF41" s="113"/>
      <c r="AG41" s="114"/>
      <c r="AH41" s="115"/>
      <c r="AI41" s="116"/>
      <c r="AJ41" s="113"/>
      <c r="AK41" s="114"/>
      <c r="AL41" s="115"/>
      <c r="AM41" s="130"/>
      <c r="AN41" s="134">
        <f t="shared" si="0"/>
        <v>0</v>
      </c>
      <c r="AO41" s="138">
        <v>7350</v>
      </c>
    </row>
    <row r="42" spans="2:41" hidden="1" thickBot="1" x14ac:dyDescent="0.35">
      <c r="B42" s="7">
        <v>7400</v>
      </c>
      <c r="C42" s="15" t="s">
        <v>36</v>
      </c>
      <c r="D42" s="113"/>
      <c r="E42" s="114"/>
      <c r="F42" s="115"/>
      <c r="G42" s="116"/>
      <c r="H42" s="113"/>
      <c r="I42" s="114"/>
      <c r="J42" s="115"/>
      <c r="K42" s="116"/>
      <c r="L42" s="113"/>
      <c r="M42" s="114"/>
      <c r="N42" s="115"/>
      <c r="O42" s="116"/>
      <c r="P42" s="113"/>
      <c r="Q42" s="114"/>
      <c r="R42" s="115"/>
      <c r="S42" s="116"/>
      <c r="T42" s="113"/>
      <c r="U42" s="114"/>
      <c r="V42" s="115"/>
      <c r="W42" s="116"/>
      <c r="X42" s="113"/>
      <c r="Y42" s="114"/>
      <c r="Z42" s="115"/>
      <c r="AA42" s="116"/>
      <c r="AB42" s="113"/>
      <c r="AC42" s="114"/>
      <c r="AD42" s="115"/>
      <c r="AE42" s="116"/>
      <c r="AF42" s="113"/>
      <c r="AG42" s="114"/>
      <c r="AH42" s="115"/>
      <c r="AI42" s="116"/>
      <c r="AJ42" s="113"/>
      <c r="AK42" s="114"/>
      <c r="AL42" s="115"/>
      <c r="AM42" s="130"/>
      <c r="AN42" s="134">
        <f t="shared" si="0"/>
        <v>0</v>
      </c>
      <c r="AO42" s="138">
        <v>7400</v>
      </c>
    </row>
    <row r="43" spans="2:41" hidden="1" thickBot="1" x14ac:dyDescent="0.35">
      <c r="B43" s="7">
        <v>7411</v>
      </c>
      <c r="C43" s="15" t="s">
        <v>37</v>
      </c>
      <c r="D43" s="113"/>
      <c r="E43" s="114"/>
      <c r="F43" s="115"/>
      <c r="G43" s="116"/>
      <c r="H43" s="113"/>
      <c r="I43" s="114"/>
      <c r="J43" s="115"/>
      <c r="K43" s="116"/>
      <c r="L43" s="113"/>
      <c r="M43" s="114"/>
      <c r="N43" s="115"/>
      <c r="O43" s="116"/>
      <c r="P43" s="113"/>
      <c r="Q43" s="114"/>
      <c r="R43" s="115"/>
      <c r="S43" s="116"/>
      <c r="T43" s="113"/>
      <c r="U43" s="114"/>
      <c r="V43" s="115"/>
      <c r="W43" s="116"/>
      <c r="X43" s="113"/>
      <c r="Y43" s="114"/>
      <c r="Z43" s="115"/>
      <c r="AA43" s="116"/>
      <c r="AB43" s="113"/>
      <c r="AC43" s="114"/>
      <c r="AD43" s="115"/>
      <c r="AE43" s="116"/>
      <c r="AF43" s="113"/>
      <c r="AG43" s="114"/>
      <c r="AH43" s="115"/>
      <c r="AI43" s="116"/>
      <c r="AJ43" s="113"/>
      <c r="AK43" s="114"/>
      <c r="AL43" s="115"/>
      <c r="AM43" s="130"/>
      <c r="AN43" s="134">
        <f t="shared" si="0"/>
        <v>0</v>
      </c>
      <c r="AO43" s="138">
        <v>7411</v>
      </c>
    </row>
    <row r="44" spans="2:41" ht="15.75" thickBot="1" x14ac:dyDescent="0.3">
      <c r="B44" s="7">
        <v>7420</v>
      </c>
      <c r="C44" s="15" t="s">
        <v>38</v>
      </c>
      <c r="D44" s="113">
        <v>15000</v>
      </c>
      <c r="E44" s="114" t="s">
        <v>295</v>
      </c>
      <c r="F44" s="115"/>
      <c r="G44" s="116"/>
      <c r="H44" s="113">
        <f>10000+10000</f>
        <v>20000</v>
      </c>
      <c r="I44" s="114" t="s">
        <v>292</v>
      </c>
      <c r="J44" s="115"/>
      <c r="K44" s="116"/>
      <c r="L44" s="113"/>
      <c r="M44" s="114"/>
      <c r="N44" s="115"/>
      <c r="O44" s="116"/>
      <c r="P44" s="113"/>
      <c r="Q44" s="114"/>
      <c r="R44" s="115"/>
      <c r="S44" s="116"/>
      <c r="T44" s="113">
        <v>10000</v>
      </c>
      <c r="U44" s="114"/>
      <c r="V44" s="115"/>
      <c r="W44" s="116"/>
      <c r="X44" s="113">
        <v>10000</v>
      </c>
      <c r="Y44" s="114"/>
      <c r="Z44" s="115"/>
      <c r="AA44" s="116"/>
      <c r="AB44" s="113"/>
      <c r="AC44" s="114"/>
      <c r="AD44" s="115"/>
      <c r="AE44" s="116"/>
      <c r="AF44" s="113"/>
      <c r="AG44" s="114"/>
      <c r="AH44" s="115"/>
      <c r="AI44" s="116"/>
      <c r="AJ44" s="113"/>
      <c r="AK44" s="114"/>
      <c r="AL44" s="115"/>
      <c r="AM44" s="130"/>
      <c r="AN44" s="134">
        <f t="shared" si="0"/>
        <v>55000</v>
      </c>
      <c r="AO44" s="138">
        <v>7420</v>
      </c>
    </row>
    <row r="45" spans="2:41" hidden="1" thickBot="1" x14ac:dyDescent="0.35">
      <c r="B45" s="7">
        <v>7425</v>
      </c>
      <c r="C45" s="15" t="s">
        <v>39</v>
      </c>
      <c r="D45" s="113"/>
      <c r="E45" s="114"/>
      <c r="F45" s="115"/>
      <c r="G45" s="116"/>
      <c r="H45" s="113"/>
      <c r="I45" s="114"/>
      <c r="J45" s="115"/>
      <c r="K45" s="116"/>
      <c r="L45" s="113"/>
      <c r="M45" s="114"/>
      <c r="N45" s="115"/>
      <c r="O45" s="116"/>
      <c r="P45" s="113"/>
      <c r="Q45" s="114"/>
      <c r="R45" s="115"/>
      <c r="S45" s="116"/>
      <c r="T45" s="113"/>
      <c r="U45" s="114"/>
      <c r="V45" s="115"/>
      <c r="W45" s="116"/>
      <c r="X45" s="113"/>
      <c r="Y45" s="114"/>
      <c r="Z45" s="115"/>
      <c r="AA45" s="116"/>
      <c r="AB45" s="113"/>
      <c r="AC45" s="114"/>
      <c r="AD45" s="115"/>
      <c r="AE45" s="116"/>
      <c r="AF45" s="113"/>
      <c r="AG45" s="114"/>
      <c r="AH45" s="115"/>
      <c r="AI45" s="116"/>
      <c r="AJ45" s="113"/>
      <c r="AK45" s="114"/>
      <c r="AL45" s="115"/>
      <c r="AM45" s="130"/>
      <c r="AN45" s="134">
        <f t="shared" si="0"/>
        <v>0</v>
      </c>
      <c r="AO45" s="138">
        <v>7425</v>
      </c>
    </row>
    <row r="46" spans="2:41" hidden="1" thickBot="1" x14ac:dyDescent="0.35">
      <c r="B46" s="7">
        <v>7430</v>
      </c>
      <c r="C46" s="15" t="s">
        <v>40</v>
      </c>
      <c r="D46" s="113">
        <v>0</v>
      </c>
      <c r="E46" s="114"/>
      <c r="F46" s="115"/>
      <c r="G46" s="116"/>
      <c r="H46" s="113"/>
      <c r="I46" s="114"/>
      <c r="J46" s="115"/>
      <c r="K46" s="116"/>
      <c r="L46" s="113"/>
      <c r="M46" s="114"/>
      <c r="N46" s="115"/>
      <c r="O46" s="116"/>
      <c r="P46" s="113"/>
      <c r="Q46" s="114"/>
      <c r="R46" s="115"/>
      <c r="S46" s="116"/>
      <c r="T46" s="113"/>
      <c r="U46" s="114"/>
      <c r="V46" s="115"/>
      <c r="W46" s="116"/>
      <c r="X46" s="113"/>
      <c r="Y46" s="114"/>
      <c r="Z46" s="115"/>
      <c r="AA46" s="116"/>
      <c r="AB46" s="113"/>
      <c r="AC46" s="114"/>
      <c r="AD46" s="115"/>
      <c r="AE46" s="116"/>
      <c r="AF46" s="113"/>
      <c r="AG46" s="114"/>
      <c r="AH46" s="115"/>
      <c r="AI46" s="116"/>
      <c r="AJ46" s="113"/>
      <c r="AK46" s="114"/>
      <c r="AL46" s="115"/>
      <c r="AM46" s="130"/>
      <c r="AN46" s="134">
        <f t="shared" si="0"/>
        <v>0</v>
      </c>
      <c r="AO46" s="138">
        <v>7430</v>
      </c>
    </row>
    <row r="47" spans="2:41" hidden="1" thickBot="1" x14ac:dyDescent="0.35">
      <c r="B47" s="7">
        <v>7500</v>
      </c>
      <c r="C47" s="15" t="s">
        <v>41</v>
      </c>
      <c r="D47" s="113"/>
      <c r="E47" s="114"/>
      <c r="F47" s="115"/>
      <c r="G47" s="116"/>
      <c r="H47" s="113"/>
      <c r="I47" s="114"/>
      <c r="J47" s="115"/>
      <c r="K47" s="116"/>
      <c r="L47" s="113"/>
      <c r="M47" s="114"/>
      <c r="N47" s="115"/>
      <c r="O47" s="116"/>
      <c r="P47" s="113"/>
      <c r="Q47" s="114"/>
      <c r="R47" s="115"/>
      <c r="S47" s="116"/>
      <c r="T47" s="113"/>
      <c r="U47" s="114"/>
      <c r="V47" s="115"/>
      <c r="W47" s="116"/>
      <c r="X47" s="113"/>
      <c r="Y47" s="114"/>
      <c r="Z47" s="115"/>
      <c r="AA47" s="116"/>
      <c r="AB47" s="113"/>
      <c r="AC47" s="114"/>
      <c r="AD47" s="115"/>
      <c r="AE47" s="116"/>
      <c r="AF47" s="113"/>
      <c r="AG47" s="114"/>
      <c r="AH47" s="115"/>
      <c r="AI47" s="116"/>
      <c r="AJ47" s="113"/>
      <c r="AK47" s="114"/>
      <c r="AL47" s="115"/>
      <c r="AM47" s="130"/>
      <c r="AN47" s="134">
        <f t="shared" si="0"/>
        <v>0</v>
      </c>
      <c r="AO47" s="138">
        <v>7500</v>
      </c>
    </row>
    <row r="48" spans="2:41" hidden="1" thickBot="1" x14ac:dyDescent="0.35">
      <c r="B48" s="7">
        <v>7746</v>
      </c>
      <c r="C48" s="15" t="s">
        <v>42</v>
      </c>
      <c r="D48" s="113"/>
      <c r="E48" s="114"/>
      <c r="F48" s="115"/>
      <c r="G48" s="116"/>
      <c r="H48" s="113"/>
      <c r="I48" s="114"/>
      <c r="J48" s="115"/>
      <c r="K48" s="116"/>
      <c r="L48" s="113"/>
      <c r="M48" s="114"/>
      <c r="N48" s="115"/>
      <c r="O48" s="116"/>
      <c r="P48" s="113"/>
      <c r="Q48" s="114"/>
      <c r="R48" s="115"/>
      <c r="S48" s="116"/>
      <c r="T48" s="113"/>
      <c r="U48" s="114"/>
      <c r="V48" s="115"/>
      <c r="W48" s="116"/>
      <c r="X48" s="113"/>
      <c r="Y48" s="114"/>
      <c r="Z48" s="115"/>
      <c r="AA48" s="116"/>
      <c r="AB48" s="113"/>
      <c r="AC48" s="114"/>
      <c r="AD48" s="115"/>
      <c r="AE48" s="116"/>
      <c r="AF48" s="113"/>
      <c r="AG48" s="114"/>
      <c r="AH48" s="115"/>
      <c r="AI48" s="116"/>
      <c r="AJ48" s="113"/>
      <c r="AK48" s="114"/>
      <c r="AL48" s="115"/>
      <c r="AM48" s="130"/>
      <c r="AN48" s="134">
        <f t="shared" si="0"/>
        <v>0</v>
      </c>
      <c r="AO48" s="138">
        <v>7746</v>
      </c>
    </row>
    <row r="49" spans="2:41" hidden="1" thickBot="1" x14ac:dyDescent="0.35">
      <c r="B49" s="7">
        <v>7770</v>
      </c>
      <c r="C49" s="15" t="s">
        <v>43</v>
      </c>
      <c r="D49" s="113"/>
      <c r="E49" s="114"/>
      <c r="F49" s="115"/>
      <c r="G49" s="116"/>
      <c r="H49" s="113"/>
      <c r="I49" s="114"/>
      <c r="J49" s="115"/>
      <c r="K49" s="116"/>
      <c r="L49" s="113"/>
      <c r="M49" s="114"/>
      <c r="N49" s="115"/>
      <c r="O49" s="116"/>
      <c r="P49" s="113"/>
      <c r="Q49" s="114"/>
      <c r="R49" s="115"/>
      <c r="S49" s="116"/>
      <c r="T49" s="113"/>
      <c r="U49" s="114"/>
      <c r="V49" s="115"/>
      <c r="W49" s="116"/>
      <c r="X49" s="113"/>
      <c r="Y49" s="114"/>
      <c r="Z49" s="115"/>
      <c r="AA49" s="116"/>
      <c r="AB49" s="113"/>
      <c r="AC49" s="114"/>
      <c r="AD49" s="115"/>
      <c r="AE49" s="116"/>
      <c r="AF49" s="113"/>
      <c r="AG49" s="114"/>
      <c r="AH49" s="115"/>
      <c r="AI49" s="116"/>
      <c r="AJ49" s="113"/>
      <c r="AK49" s="114"/>
      <c r="AL49" s="115"/>
      <c r="AM49" s="130"/>
      <c r="AN49" s="134">
        <f t="shared" si="0"/>
        <v>0</v>
      </c>
      <c r="AO49" s="138">
        <v>7770</v>
      </c>
    </row>
    <row r="50" spans="2:41" hidden="1" thickBot="1" x14ac:dyDescent="0.35">
      <c r="B50" s="10">
        <v>7775</v>
      </c>
      <c r="C50" s="16" t="s">
        <v>44</v>
      </c>
      <c r="D50" s="117"/>
      <c r="E50" s="118"/>
      <c r="F50" s="119"/>
      <c r="G50" s="116"/>
      <c r="H50" s="117"/>
      <c r="I50" s="118"/>
      <c r="J50" s="119"/>
      <c r="K50" s="116"/>
      <c r="L50" s="117"/>
      <c r="M50" s="118"/>
      <c r="N50" s="119"/>
      <c r="O50" s="116"/>
      <c r="P50" s="117"/>
      <c r="Q50" s="118"/>
      <c r="R50" s="119"/>
      <c r="S50" s="116"/>
      <c r="T50" s="117"/>
      <c r="U50" s="118"/>
      <c r="V50" s="119"/>
      <c r="W50" s="116"/>
      <c r="X50" s="117"/>
      <c r="Y50" s="118"/>
      <c r="Z50" s="119"/>
      <c r="AA50" s="116"/>
      <c r="AB50" s="117"/>
      <c r="AC50" s="118"/>
      <c r="AD50" s="119"/>
      <c r="AE50" s="116"/>
      <c r="AF50" s="117"/>
      <c r="AG50" s="118"/>
      <c r="AH50" s="119"/>
      <c r="AI50" s="116"/>
      <c r="AJ50" s="117"/>
      <c r="AK50" s="118"/>
      <c r="AL50" s="119"/>
      <c r="AM50" s="130"/>
      <c r="AN50" s="134">
        <f t="shared" si="0"/>
        <v>0</v>
      </c>
      <c r="AO50" s="142">
        <v>7775</v>
      </c>
    </row>
    <row r="51" spans="2:41" ht="15.75" thickBot="1" x14ac:dyDescent="0.3">
      <c r="B51" s="32"/>
      <c r="C51" s="33" t="s">
        <v>74</v>
      </c>
      <c r="D51" s="135">
        <f>SUM(D12:D50)</f>
        <v>112092.59789200001</v>
      </c>
      <c r="E51" s="135"/>
      <c r="F51" s="129">
        <v>109533.9</v>
      </c>
      <c r="G51" s="116"/>
      <c r="H51" s="135">
        <f t="shared" ref="H51:J51" si="10">SUM(H12:H50)</f>
        <v>89410</v>
      </c>
      <c r="I51" s="135"/>
      <c r="J51" s="129">
        <f t="shared" si="10"/>
        <v>0</v>
      </c>
      <c r="K51" s="116"/>
      <c r="L51" s="135">
        <f t="shared" ref="L51:N51" si="11">SUM(L12:L50)</f>
        <v>18000</v>
      </c>
      <c r="M51" s="135"/>
      <c r="N51" s="129">
        <f t="shared" si="11"/>
        <v>0</v>
      </c>
      <c r="O51" s="116"/>
      <c r="P51" s="135">
        <f t="shared" ref="P51:R51" si="12">SUM(P12:P50)</f>
        <v>0</v>
      </c>
      <c r="Q51" s="135"/>
      <c r="R51" s="129">
        <f t="shared" si="12"/>
        <v>0</v>
      </c>
      <c r="S51" s="116"/>
      <c r="T51" s="135">
        <f>SUM(T12:T50)</f>
        <v>10000</v>
      </c>
      <c r="U51" s="135"/>
      <c r="V51" s="129"/>
      <c r="W51" s="116"/>
      <c r="X51" s="135">
        <f t="shared" ref="X51" si="13">SUM(X12:X50)</f>
        <v>10000</v>
      </c>
      <c r="Y51" s="135"/>
      <c r="Z51" s="129"/>
      <c r="AA51" s="116"/>
      <c r="AB51" s="135">
        <f t="shared" ref="AB51" si="14">SUM(AB12:AB50)</f>
        <v>22500</v>
      </c>
      <c r="AC51" s="135"/>
      <c r="AD51" s="129">
        <v>9013</v>
      </c>
      <c r="AE51" s="116"/>
      <c r="AF51" s="135">
        <f t="shared" ref="AF51:AH51" si="15">SUM(AF12:AF50)</f>
        <v>20000</v>
      </c>
      <c r="AG51" s="135"/>
      <c r="AH51" s="129">
        <f t="shared" si="15"/>
        <v>0</v>
      </c>
      <c r="AI51" s="116"/>
      <c r="AJ51" s="135">
        <f t="shared" ref="AJ51" si="16">SUM(AJ12:AJ50)</f>
        <v>0</v>
      </c>
      <c r="AK51" s="135"/>
      <c r="AL51" s="129"/>
      <c r="AM51" s="130"/>
      <c r="AN51" s="134">
        <f>+AJ51+AF51+AB51+P51+L51+H51+D51+X51+T51</f>
        <v>282002.59789199999</v>
      </c>
      <c r="AO51" s="139"/>
    </row>
    <row r="52" spans="2:41" ht="15.75" thickBot="1" x14ac:dyDescent="0.3">
      <c r="C52" s="18" t="s">
        <v>51</v>
      </c>
      <c r="D52" s="129">
        <f>D11-D51</f>
        <v>-112092.59789200001</v>
      </c>
      <c r="E52" s="129"/>
      <c r="F52" s="129">
        <f t="shared" ref="F52" si="17">F11-F51</f>
        <v>-109533.9</v>
      </c>
      <c r="G52" s="116"/>
      <c r="H52" s="129">
        <f>H11-H51</f>
        <v>-89410</v>
      </c>
      <c r="I52" s="129"/>
      <c r="J52" s="129">
        <f t="shared" ref="J52" si="18">J11-J51</f>
        <v>0</v>
      </c>
      <c r="K52" s="116"/>
      <c r="L52" s="129">
        <f>L11-L51</f>
        <v>-18000</v>
      </c>
      <c r="M52" s="129"/>
      <c r="N52" s="129">
        <f t="shared" ref="N52" si="19">N11-N51</f>
        <v>0</v>
      </c>
      <c r="O52" s="116"/>
      <c r="P52" s="129">
        <f>P11-P51</f>
        <v>0</v>
      </c>
      <c r="Q52" s="129"/>
      <c r="R52" s="129">
        <f t="shared" ref="R52" si="20">R11-R51</f>
        <v>0</v>
      </c>
      <c r="S52" s="116"/>
      <c r="T52" s="129">
        <f>T11-T51</f>
        <v>-10000</v>
      </c>
      <c r="U52" s="129"/>
      <c r="V52" s="129"/>
      <c r="W52" s="116"/>
      <c r="X52" s="129">
        <f>X11-X51</f>
        <v>-10000</v>
      </c>
      <c r="Y52" s="129"/>
      <c r="Z52" s="129"/>
      <c r="AA52" s="116"/>
      <c r="AB52" s="129">
        <f>AB11-AB51</f>
        <v>-22500</v>
      </c>
      <c r="AC52" s="129"/>
      <c r="AD52" s="129">
        <f t="shared" ref="AD52" si="21">AD11-AD51</f>
        <v>-9013</v>
      </c>
      <c r="AE52" s="116"/>
      <c r="AF52" s="129">
        <f>AF11-AF51</f>
        <v>-20000</v>
      </c>
      <c r="AG52" s="129"/>
      <c r="AH52" s="129">
        <f t="shared" ref="AH52" si="22">AH11-AH51</f>
        <v>0</v>
      </c>
      <c r="AI52" s="116"/>
      <c r="AJ52" s="129">
        <f>AJ11-AJ51</f>
        <v>0</v>
      </c>
      <c r="AK52" s="129"/>
      <c r="AL52" s="129"/>
      <c r="AM52" s="130"/>
      <c r="AN52" s="134">
        <f t="shared" ref="AN52" si="23">+AJ52+AF52+AB52+P52+L52+H52+D52+X52+T52</f>
        <v>-282002.59789199999</v>
      </c>
      <c r="AO52" s="143"/>
    </row>
    <row r="53" spans="2:41" x14ac:dyDescent="0.25">
      <c r="D53" s="19"/>
      <c r="E53" s="19"/>
      <c r="F53" s="19"/>
      <c r="G53" s="9"/>
      <c r="H53" s="19"/>
      <c r="I53" s="19"/>
      <c r="J53" s="19"/>
      <c r="K53" s="9"/>
      <c r="L53" s="19"/>
      <c r="M53" s="19"/>
      <c r="N53" s="19"/>
      <c r="O53" s="9"/>
      <c r="P53" s="19"/>
      <c r="Q53" s="19"/>
      <c r="R53" s="19"/>
      <c r="S53" s="9"/>
      <c r="T53" s="19"/>
      <c r="U53" s="19"/>
      <c r="V53" s="19"/>
      <c r="W53" s="9"/>
      <c r="X53" s="19"/>
      <c r="Y53" s="19"/>
      <c r="Z53" s="19"/>
      <c r="AA53" s="9"/>
      <c r="AB53" s="19"/>
      <c r="AC53" s="19"/>
      <c r="AD53" s="19"/>
      <c r="AE53" s="9"/>
      <c r="AF53" s="19"/>
      <c r="AG53" s="19"/>
      <c r="AH53" s="19"/>
      <c r="AI53" s="9"/>
      <c r="AJ53" s="19"/>
      <c r="AK53" s="19"/>
      <c r="AL53" s="19"/>
      <c r="AM53" s="1"/>
      <c r="AN53" s="1"/>
      <c r="AO53" s="1"/>
    </row>
    <row r="54" spans="2:41" ht="14.45" customHeight="1" x14ac:dyDescent="0.25">
      <c r="D54" s="269"/>
      <c r="E54" s="269"/>
      <c r="F54" s="269"/>
      <c r="H54" s="269" t="s">
        <v>262</v>
      </c>
      <c r="I54" s="269"/>
      <c r="J54" s="269"/>
      <c r="L54" s="269" t="s">
        <v>184</v>
      </c>
      <c r="M54" s="269"/>
      <c r="N54" s="269"/>
      <c r="P54" s="269" t="s">
        <v>183</v>
      </c>
      <c r="Q54" s="269"/>
      <c r="R54" s="269"/>
      <c r="T54" s="269" t="s">
        <v>228</v>
      </c>
      <c r="U54" s="269"/>
      <c r="V54" s="269"/>
      <c r="X54" s="269"/>
      <c r="Y54" s="269"/>
      <c r="Z54" s="269"/>
      <c r="AB54" s="269" t="s">
        <v>229</v>
      </c>
      <c r="AC54" s="269"/>
      <c r="AD54" s="269"/>
      <c r="AF54" s="269"/>
      <c r="AG54" s="269"/>
      <c r="AH54" s="269"/>
      <c r="AJ54" s="269"/>
      <c r="AK54" s="269"/>
      <c r="AL54" s="269"/>
    </row>
    <row r="55" spans="2:41" x14ac:dyDescent="0.25">
      <c r="D55" s="269"/>
      <c r="E55" s="269"/>
      <c r="F55" s="269"/>
      <c r="H55" s="269"/>
      <c r="I55" s="269"/>
      <c r="J55" s="269"/>
      <c r="L55" s="269"/>
      <c r="M55" s="269"/>
      <c r="N55" s="269"/>
      <c r="P55" s="269"/>
      <c r="Q55" s="269"/>
      <c r="R55" s="269"/>
      <c r="T55" s="269"/>
      <c r="U55" s="269"/>
      <c r="V55" s="269"/>
      <c r="X55" s="269"/>
      <c r="Y55" s="269"/>
      <c r="Z55" s="269"/>
      <c r="AB55" s="269"/>
      <c r="AC55" s="269"/>
      <c r="AD55" s="269"/>
      <c r="AF55" s="269"/>
      <c r="AG55" s="269"/>
      <c r="AH55" s="269"/>
      <c r="AJ55" s="269"/>
      <c r="AK55" s="269"/>
      <c r="AL55" s="269"/>
    </row>
    <row r="56" spans="2:41" x14ac:dyDescent="0.25">
      <c r="D56" s="269"/>
      <c r="E56" s="269"/>
      <c r="F56" s="269"/>
      <c r="H56" s="269"/>
      <c r="I56" s="269"/>
      <c r="J56" s="269"/>
      <c r="L56" s="269"/>
      <c r="M56" s="269"/>
      <c r="N56" s="269"/>
      <c r="P56" s="269"/>
      <c r="Q56" s="269"/>
      <c r="R56" s="269"/>
      <c r="T56" s="269"/>
      <c r="U56" s="269"/>
      <c r="V56" s="269"/>
      <c r="X56" s="269"/>
      <c r="Y56" s="269"/>
      <c r="Z56" s="269"/>
      <c r="AB56" s="269"/>
      <c r="AC56" s="269"/>
      <c r="AD56" s="269"/>
      <c r="AF56" s="269"/>
      <c r="AG56" s="269"/>
      <c r="AH56" s="269"/>
      <c r="AJ56" s="269"/>
      <c r="AK56" s="269"/>
      <c r="AL56" s="269"/>
    </row>
    <row r="57" spans="2:41" x14ac:dyDescent="0.25">
      <c r="D57" s="269"/>
      <c r="E57" s="269"/>
      <c r="F57" s="269"/>
      <c r="H57" s="269"/>
      <c r="I57" s="269"/>
      <c r="J57" s="269"/>
      <c r="L57" s="269"/>
      <c r="M57" s="269"/>
      <c r="N57" s="269"/>
      <c r="P57" s="269"/>
      <c r="Q57" s="269"/>
      <c r="R57" s="269"/>
      <c r="T57" s="269"/>
      <c r="U57" s="269"/>
      <c r="V57" s="269"/>
      <c r="X57" s="269"/>
      <c r="Y57" s="269"/>
      <c r="Z57" s="269"/>
      <c r="AB57" s="269"/>
      <c r="AC57" s="269"/>
      <c r="AD57" s="269"/>
      <c r="AF57" s="269"/>
      <c r="AG57" s="269"/>
      <c r="AH57" s="269"/>
      <c r="AJ57" s="269"/>
      <c r="AK57" s="269"/>
      <c r="AL57" s="269"/>
    </row>
    <row r="58" spans="2:41" x14ac:dyDescent="0.25">
      <c r="D58" s="269"/>
      <c r="E58" s="269"/>
      <c r="F58" s="269"/>
      <c r="H58" s="269"/>
      <c r="I58" s="269"/>
      <c r="J58" s="269"/>
      <c r="L58" s="269"/>
      <c r="M58" s="269"/>
      <c r="N58" s="269"/>
      <c r="P58" s="269"/>
      <c r="Q58" s="269"/>
      <c r="R58" s="269"/>
      <c r="T58" s="269"/>
      <c r="U58" s="269"/>
      <c r="V58" s="269"/>
      <c r="X58" s="269"/>
      <c r="Y58" s="269"/>
      <c r="Z58" s="269"/>
      <c r="AB58" s="269"/>
      <c r="AC58" s="269"/>
      <c r="AD58" s="269"/>
      <c r="AF58" s="269"/>
      <c r="AG58" s="269"/>
      <c r="AH58" s="269"/>
      <c r="AJ58" s="269"/>
      <c r="AK58" s="269"/>
      <c r="AL58" s="269"/>
    </row>
    <row r="59" spans="2:41" x14ac:dyDescent="0.25">
      <c r="D59" s="269"/>
      <c r="E59" s="269"/>
      <c r="F59" s="269"/>
      <c r="H59" s="269"/>
      <c r="I59" s="269"/>
      <c r="J59" s="269"/>
      <c r="L59" s="269"/>
      <c r="M59" s="269"/>
      <c r="N59" s="269"/>
      <c r="P59" s="269"/>
      <c r="Q59" s="269"/>
      <c r="R59" s="269"/>
      <c r="T59" s="269"/>
      <c r="U59" s="269"/>
      <c r="V59" s="269"/>
      <c r="X59" s="269"/>
      <c r="Y59" s="269"/>
      <c r="Z59" s="269"/>
      <c r="AB59" s="269"/>
      <c r="AC59" s="269"/>
      <c r="AD59" s="269"/>
      <c r="AF59" s="269"/>
      <c r="AG59" s="269"/>
      <c r="AH59" s="269"/>
      <c r="AJ59" s="269"/>
      <c r="AK59" s="269"/>
      <c r="AL59" s="269"/>
    </row>
    <row r="60" spans="2:41" x14ac:dyDescent="0.25">
      <c r="D60" s="269"/>
      <c r="E60" s="269"/>
      <c r="F60" s="269"/>
      <c r="H60" s="269"/>
      <c r="I60" s="269"/>
      <c r="J60" s="269"/>
      <c r="L60" s="269"/>
      <c r="M60" s="269"/>
      <c r="N60" s="269"/>
      <c r="P60" s="269"/>
      <c r="Q60" s="269"/>
      <c r="R60" s="269"/>
      <c r="T60" s="269"/>
      <c r="U60" s="269"/>
      <c r="V60" s="269"/>
      <c r="X60" s="269"/>
      <c r="Y60" s="269"/>
      <c r="Z60" s="269"/>
      <c r="AB60" s="269"/>
      <c r="AC60" s="269"/>
      <c r="AD60" s="269"/>
      <c r="AF60" s="269"/>
      <c r="AG60" s="269"/>
      <c r="AH60" s="269"/>
      <c r="AJ60" s="269"/>
      <c r="AK60" s="269"/>
      <c r="AL60" s="269"/>
    </row>
    <row r="61" spans="2:41" x14ac:dyDescent="0.25">
      <c r="D61" s="269"/>
      <c r="E61" s="269"/>
      <c r="F61" s="269"/>
      <c r="H61" s="269"/>
      <c r="I61" s="269"/>
      <c r="J61" s="269"/>
      <c r="L61" s="269"/>
      <c r="M61" s="269"/>
      <c r="N61" s="269"/>
      <c r="P61" s="269"/>
      <c r="Q61" s="269"/>
      <c r="R61" s="269"/>
      <c r="T61" s="269"/>
      <c r="U61" s="269"/>
      <c r="V61" s="269"/>
      <c r="X61" s="269"/>
      <c r="Y61" s="269"/>
      <c r="Z61" s="269"/>
      <c r="AB61" s="269"/>
      <c r="AC61" s="269"/>
      <c r="AD61" s="269"/>
      <c r="AF61" s="269"/>
      <c r="AG61" s="269"/>
      <c r="AH61" s="269"/>
      <c r="AJ61" s="269"/>
      <c r="AK61" s="269"/>
      <c r="AL61" s="269"/>
    </row>
    <row r="62" spans="2:41" x14ac:dyDescent="0.25">
      <c r="D62" s="269"/>
      <c r="E62" s="269"/>
      <c r="F62" s="269"/>
      <c r="H62" s="269"/>
      <c r="I62" s="269"/>
      <c r="J62" s="269"/>
      <c r="L62" s="269"/>
      <c r="M62" s="269"/>
      <c r="N62" s="269"/>
      <c r="P62" s="269"/>
      <c r="Q62" s="269"/>
      <c r="R62" s="269"/>
      <c r="T62" s="269"/>
      <c r="U62" s="269"/>
      <c r="V62" s="269"/>
      <c r="X62" s="269"/>
      <c r="Y62" s="269"/>
      <c r="Z62" s="269"/>
      <c r="AB62" s="269"/>
      <c r="AC62" s="269"/>
      <c r="AD62" s="269"/>
      <c r="AF62" s="269"/>
      <c r="AG62" s="269"/>
      <c r="AH62" s="269"/>
      <c r="AJ62" s="269"/>
      <c r="AK62" s="269"/>
      <c r="AL62" s="269"/>
    </row>
    <row r="63" spans="2:41" x14ac:dyDescent="0.25">
      <c r="D63" s="269"/>
      <c r="E63" s="269"/>
      <c r="F63" s="269"/>
      <c r="H63" s="269"/>
      <c r="I63" s="269"/>
      <c r="J63" s="269"/>
      <c r="L63" s="269"/>
      <c r="M63" s="269"/>
      <c r="N63" s="269"/>
      <c r="P63" s="269"/>
      <c r="Q63" s="269"/>
      <c r="R63" s="269"/>
      <c r="T63" s="269"/>
      <c r="U63" s="269"/>
      <c r="V63" s="269"/>
      <c r="X63" s="269"/>
      <c r="Y63" s="269"/>
      <c r="Z63" s="269"/>
      <c r="AB63" s="269"/>
      <c r="AC63" s="269"/>
      <c r="AD63" s="269"/>
      <c r="AF63" s="269"/>
      <c r="AG63" s="269"/>
      <c r="AH63" s="269"/>
      <c r="AJ63" s="269"/>
      <c r="AK63" s="269"/>
      <c r="AL63" s="269"/>
    </row>
    <row r="64" spans="2:41" x14ac:dyDescent="0.25">
      <c r="D64" s="269"/>
      <c r="E64" s="269"/>
      <c r="F64" s="269"/>
      <c r="H64" s="269"/>
      <c r="I64" s="269"/>
      <c r="J64" s="269"/>
      <c r="L64" s="269"/>
      <c r="M64" s="269"/>
      <c r="N64" s="269"/>
      <c r="P64" s="269"/>
      <c r="Q64" s="269"/>
      <c r="R64" s="269"/>
      <c r="T64" s="269"/>
      <c r="U64" s="269"/>
      <c r="V64" s="269"/>
      <c r="X64" s="269"/>
      <c r="Y64" s="269"/>
      <c r="Z64" s="269"/>
      <c r="AB64" s="269"/>
      <c r="AC64" s="269"/>
      <c r="AD64" s="269"/>
      <c r="AF64" s="269"/>
      <c r="AG64" s="269"/>
      <c r="AH64" s="269"/>
      <c r="AJ64" s="269"/>
      <c r="AK64" s="269"/>
      <c r="AL64" s="269"/>
    </row>
  </sheetData>
  <sheetProtection algorithmName="SHA-512" hashValue="8QVEIR6CXKE4fUf0ZMVi+aHTRyp0eH/Xk5ZVN3HyWKBumXjuRHH24NZjPao2jYlaGnR2i5BOaUPh70dOhRjXhw==" saltValue="XThvQgjNFtbx/3E25h33Sg==" spinCount="100000" sheet="1" objects="1" scenarios="1" selectLockedCells="1"/>
  <protectedRanges>
    <protectedRange sqref="H17:I17 L17:M17 P17:Q17 AB17:AC17 AF17:AG17 AJ17:AK17 T17:U17 X17:Y17" name="Område2_2_1"/>
    <protectedRange password="8B3B" sqref="H19:I19 L19:M19 P19:Q19 AB19:AC19 AF19:AG19 AJ19:AK19 T19:U19 X19:Y19" name="Område1_2_1"/>
  </protectedRanges>
  <mergeCells count="20">
    <mergeCell ref="B1:C1"/>
    <mergeCell ref="M1:N1"/>
    <mergeCell ref="P54:R64"/>
    <mergeCell ref="AB54:AD64"/>
    <mergeCell ref="D54:F64"/>
    <mergeCell ref="L54:N64"/>
    <mergeCell ref="B2:C2"/>
    <mergeCell ref="E1:F1"/>
    <mergeCell ref="I1:J1"/>
    <mergeCell ref="Q1:R1"/>
    <mergeCell ref="AC1:AD1"/>
    <mergeCell ref="U1:V1"/>
    <mergeCell ref="Y1:Z1"/>
    <mergeCell ref="T54:V64"/>
    <mergeCell ref="H54:J64"/>
    <mergeCell ref="X54:Z64"/>
    <mergeCell ref="AJ54:AL64"/>
    <mergeCell ref="AF54:AH64"/>
    <mergeCell ref="AG1:AH1"/>
    <mergeCell ref="AK1:AL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5"/>
  <sheetViews>
    <sheetView zoomScale="70" zoomScaleNormal="70" zoomScalePageLayoutView="90" workbookViewId="0">
      <pane xSplit="3" topLeftCell="D1" activePane="topRight" state="frozen"/>
      <selection pane="topRight" activeCell="H25" sqref="H25"/>
    </sheetView>
  </sheetViews>
  <sheetFormatPr baseColWidth="10" defaultColWidth="11.42578125" defaultRowHeight="15" x14ac:dyDescent="0.25"/>
  <cols>
    <col min="1" max="1" width="9.42578125" style="1" customWidth="1"/>
    <col min="2" max="2" width="9.42578125" style="1" bestFit="1" customWidth="1"/>
    <col min="3" max="3" width="37.5703125" style="1" customWidth="1"/>
    <col min="4" max="4" width="17.140625" style="9" bestFit="1" customWidth="1"/>
    <col min="5" max="5" width="30.28515625" style="197" bestFit="1" customWidth="1"/>
    <col min="6" max="6" width="19.140625" style="9" bestFit="1" customWidth="1"/>
    <col min="7" max="7" width="3" style="1" customWidth="1"/>
    <col min="8" max="8" width="17.140625" style="9" bestFit="1" customWidth="1"/>
    <col min="9" max="9" width="23.42578125" style="1" bestFit="1" customWidth="1"/>
    <col min="10" max="10" width="19.140625" style="9" customWidth="1"/>
    <col min="11" max="11" width="3" style="1" customWidth="1"/>
    <col min="12" max="12" width="17.140625" style="9" customWidth="1"/>
    <col min="13" max="13" width="16.42578125" style="1" customWidth="1"/>
    <col min="14" max="14" width="19.140625" style="9" customWidth="1"/>
    <col min="15" max="15" width="3" style="1" customWidth="1"/>
    <col min="16" max="16" width="17.140625" style="9" customWidth="1"/>
    <col min="17" max="17" width="34" style="197" bestFit="1" customWidth="1"/>
    <col min="18" max="18" width="19.140625" style="9" customWidth="1"/>
    <col min="19" max="19" width="3" style="1" customWidth="1"/>
    <col min="20" max="20" width="17.140625" style="9" customWidth="1"/>
    <col min="21" max="21" width="16.42578125" style="1" customWidth="1"/>
    <col min="22" max="22" width="19.140625" style="9" customWidth="1"/>
    <col min="23" max="23" width="3" style="1" customWidth="1"/>
    <col min="24" max="24" width="17.140625" style="9" customWidth="1"/>
    <col min="25" max="25" width="21" style="1" bestFit="1" customWidth="1"/>
    <col min="26" max="26" width="19.140625" style="9" customWidth="1"/>
    <col min="27" max="27" width="3" style="1" customWidth="1"/>
    <col min="28" max="28" width="17.140625" style="9" customWidth="1"/>
    <col min="29" max="29" width="16.42578125" style="1" customWidth="1"/>
    <col min="30" max="30" width="19.140625" style="9" customWidth="1"/>
    <col min="31" max="31" width="3" style="1" customWidth="1"/>
    <col min="32" max="32" width="17.140625" style="9" customWidth="1"/>
    <col min="33" max="33" width="16.42578125" style="1" customWidth="1"/>
    <col min="34" max="34" width="19.140625" style="9" customWidth="1"/>
    <col min="35" max="35" width="3" style="1" customWidth="1"/>
    <col min="36" max="36" width="17.140625" style="9" customWidth="1"/>
    <col min="37" max="37" width="16.42578125" style="1" customWidth="1"/>
    <col min="38" max="38" width="19.140625" style="9" customWidth="1"/>
    <col min="39" max="39" width="4.5703125" style="9" customWidth="1"/>
    <col min="40" max="40" width="18" style="9" bestFit="1" customWidth="1"/>
    <col min="41" max="41" width="9.42578125" style="9" bestFit="1" customWidth="1"/>
    <col min="42" max="53" width="4.5703125" style="9" customWidth="1"/>
    <col min="54" max="16384" width="11.42578125" style="1"/>
  </cols>
  <sheetData>
    <row r="1" spans="1:53" ht="15.75" thickBot="1" x14ac:dyDescent="0.3">
      <c r="A1" s="39"/>
      <c r="B1" s="260" t="s">
        <v>76</v>
      </c>
      <c r="C1" s="261"/>
      <c r="D1" s="25">
        <v>70000</v>
      </c>
      <c r="E1" s="264" t="s">
        <v>53</v>
      </c>
      <c r="F1" s="265"/>
      <c r="G1" s="2"/>
      <c r="H1" s="25">
        <v>71000</v>
      </c>
      <c r="I1" s="264" t="s">
        <v>81</v>
      </c>
      <c r="J1" s="265" t="s">
        <v>54</v>
      </c>
      <c r="K1" s="2"/>
      <c r="L1" s="25">
        <v>71100</v>
      </c>
      <c r="M1" s="264" t="s">
        <v>232</v>
      </c>
      <c r="N1" s="265" t="s">
        <v>54</v>
      </c>
      <c r="O1" s="2"/>
      <c r="P1" s="25">
        <v>71200</v>
      </c>
      <c r="Q1" s="264" t="s">
        <v>233</v>
      </c>
      <c r="R1" s="265"/>
      <c r="S1" s="2"/>
      <c r="T1" s="25">
        <v>71300</v>
      </c>
      <c r="U1" s="264" t="s">
        <v>130</v>
      </c>
      <c r="V1" s="265"/>
      <c r="W1" s="2"/>
      <c r="X1" s="25">
        <v>71400</v>
      </c>
      <c r="Y1" s="264" t="s">
        <v>131</v>
      </c>
      <c r="Z1" s="265"/>
      <c r="AA1" s="2"/>
      <c r="AB1" s="25">
        <v>71500</v>
      </c>
      <c r="AC1" s="264" t="s">
        <v>134</v>
      </c>
      <c r="AD1" s="265"/>
      <c r="AE1" s="2"/>
      <c r="AF1" s="25">
        <v>71600</v>
      </c>
      <c r="AG1" s="264" t="s">
        <v>133</v>
      </c>
      <c r="AH1" s="265"/>
      <c r="AI1" s="2"/>
      <c r="AJ1" s="25"/>
      <c r="AK1" s="264"/>
      <c r="AL1" s="265"/>
      <c r="AM1" s="1"/>
      <c r="AN1" s="1"/>
      <c r="AO1" s="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thickBot="1" x14ac:dyDescent="0.35">
      <c r="A2" s="38"/>
      <c r="B2" s="260" t="s">
        <v>75</v>
      </c>
      <c r="C2" s="261"/>
      <c r="D2" s="20"/>
      <c r="E2" s="189"/>
      <c r="F2" s="22"/>
      <c r="G2" s="3"/>
      <c r="H2" s="20"/>
      <c r="I2" s="21"/>
      <c r="J2" s="22"/>
      <c r="K2" s="3"/>
      <c r="L2" s="20"/>
      <c r="M2" s="21"/>
      <c r="N2" s="22"/>
      <c r="O2" s="3"/>
      <c r="P2" s="20"/>
      <c r="Q2" s="189"/>
      <c r="R2" s="22"/>
      <c r="S2" s="3"/>
      <c r="T2" s="20"/>
      <c r="U2" s="21"/>
      <c r="V2" s="22"/>
      <c r="W2" s="3"/>
      <c r="X2" s="20"/>
      <c r="Y2" s="21"/>
      <c r="Z2" s="22"/>
      <c r="AA2" s="3"/>
      <c r="AB2" s="20"/>
      <c r="AC2" s="21"/>
      <c r="AD2" s="22"/>
      <c r="AE2" s="3"/>
      <c r="AF2" s="20"/>
      <c r="AG2" s="21"/>
      <c r="AH2" s="22"/>
      <c r="AI2" s="3"/>
      <c r="AJ2" s="20"/>
      <c r="AK2" s="21"/>
      <c r="AL2" s="22"/>
      <c r="AM2" s="1"/>
      <c r="AN2" s="1"/>
      <c r="AO2" s="1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thickBot="1" x14ac:dyDescent="0.35">
      <c r="B3" s="4" t="s">
        <v>0</v>
      </c>
      <c r="C3" s="24" t="s">
        <v>47</v>
      </c>
      <c r="D3" s="35" t="s">
        <v>217</v>
      </c>
      <c r="E3" s="190" t="s">
        <v>70</v>
      </c>
      <c r="F3" s="37" t="s">
        <v>218</v>
      </c>
      <c r="G3" s="5"/>
      <c r="H3" s="35" t="s">
        <v>217</v>
      </c>
      <c r="I3" s="36" t="s">
        <v>70</v>
      </c>
      <c r="J3" s="37" t="s">
        <v>218</v>
      </c>
      <c r="K3" s="5"/>
      <c r="L3" s="35" t="s">
        <v>217</v>
      </c>
      <c r="M3" s="36" t="s">
        <v>70</v>
      </c>
      <c r="N3" s="37" t="s">
        <v>218</v>
      </c>
      <c r="O3" s="5"/>
      <c r="P3" s="35" t="s">
        <v>217</v>
      </c>
      <c r="Q3" s="190" t="s">
        <v>70</v>
      </c>
      <c r="R3" s="37" t="s">
        <v>218</v>
      </c>
      <c r="S3" s="5"/>
      <c r="T3" s="35" t="s">
        <v>217</v>
      </c>
      <c r="U3" s="36" t="s">
        <v>70</v>
      </c>
      <c r="V3" s="37" t="s">
        <v>218</v>
      </c>
      <c r="W3" s="5"/>
      <c r="X3" s="35" t="s">
        <v>217</v>
      </c>
      <c r="Y3" s="36" t="s">
        <v>70</v>
      </c>
      <c r="Z3" s="37" t="s">
        <v>218</v>
      </c>
      <c r="AA3" s="5"/>
      <c r="AB3" s="35" t="s">
        <v>217</v>
      </c>
      <c r="AC3" s="36" t="s">
        <v>70</v>
      </c>
      <c r="AD3" s="37" t="s">
        <v>218</v>
      </c>
      <c r="AE3" s="5"/>
      <c r="AF3" s="35" t="s">
        <v>217</v>
      </c>
      <c r="AG3" s="36" t="s">
        <v>70</v>
      </c>
      <c r="AH3" s="37" t="s">
        <v>218</v>
      </c>
      <c r="AI3" s="5"/>
      <c r="AJ3" s="35" t="s">
        <v>217</v>
      </c>
      <c r="AK3" s="36" t="s">
        <v>70</v>
      </c>
      <c r="AL3" s="37" t="s">
        <v>218</v>
      </c>
      <c r="AM3" s="1"/>
      <c r="AN3" s="133" t="s">
        <v>52</v>
      </c>
      <c r="AO3" s="137" t="s">
        <v>0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thickBot="1" x14ac:dyDescent="0.35">
      <c r="A4" s="6" t="s">
        <v>45</v>
      </c>
      <c r="B4" s="7">
        <v>3010</v>
      </c>
      <c r="C4" s="8" t="s">
        <v>148</v>
      </c>
      <c r="D4" s="113">
        <f>15*2500+5*500</f>
        <v>40000</v>
      </c>
      <c r="E4" s="132" t="s">
        <v>332</v>
      </c>
      <c r="F4" s="115"/>
      <c r="G4" s="116"/>
      <c r="H4" s="113"/>
      <c r="I4" s="114"/>
      <c r="J4" s="115"/>
      <c r="K4" s="116"/>
      <c r="L4" s="113">
        <f>2500*5</f>
        <v>12500</v>
      </c>
      <c r="M4" s="114" t="s">
        <v>231</v>
      </c>
      <c r="N4" s="115"/>
      <c r="O4" s="116"/>
      <c r="P4" s="113">
        <f>2500*5</f>
        <v>12500</v>
      </c>
      <c r="Q4" s="132" t="s">
        <v>234</v>
      </c>
      <c r="R4" s="115"/>
      <c r="S4" s="116"/>
      <c r="T4" s="113"/>
      <c r="U4" s="114"/>
      <c r="V4" s="115"/>
      <c r="W4" s="116"/>
      <c r="X4" s="113"/>
      <c r="Y4" s="114"/>
      <c r="Z4" s="115"/>
      <c r="AA4" s="116"/>
      <c r="AB4" s="113"/>
      <c r="AC4" s="114"/>
      <c r="AD4" s="115"/>
      <c r="AE4" s="116"/>
      <c r="AF4" s="113"/>
      <c r="AG4" s="114"/>
      <c r="AH4" s="115"/>
      <c r="AI4" s="116"/>
      <c r="AJ4" s="113"/>
      <c r="AK4" s="114"/>
      <c r="AL4" s="115"/>
      <c r="AM4" s="1"/>
      <c r="AN4" s="129">
        <f t="shared" ref="AN4:AN57" si="0">AJ4+AF4+AB4+X4+T4+P4+L4+H4+D4</f>
        <v>65000</v>
      </c>
      <c r="AO4" s="138">
        <v>3010</v>
      </c>
    </row>
    <row r="5" spans="1:53" thickBot="1" x14ac:dyDescent="0.35">
      <c r="B5" s="7">
        <v>3011</v>
      </c>
      <c r="C5" s="8" t="s">
        <v>149</v>
      </c>
      <c r="D5" s="113">
        <f>5*2500+9*1000+3*500</f>
        <v>23000</v>
      </c>
      <c r="E5" s="132"/>
      <c r="F5" s="115"/>
      <c r="G5" s="116"/>
      <c r="H5" s="113"/>
      <c r="I5" s="114"/>
      <c r="J5" s="115"/>
      <c r="K5" s="116"/>
      <c r="L5" s="113"/>
      <c r="M5" s="114"/>
      <c r="N5" s="115"/>
      <c r="O5" s="116"/>
      <c r="P5" s="113"/>
      <c r="Q5" s="132"/>
      <c r="R5" s="115"/>
      <c r="S5" s="116"/>
      <c r="T5" s="113"/>
      <c r="U5" s="114"/>
      <c r="V5" s="115"/>
      <c r="W5" s="116"/>
      <c r="X5" s="113"/>
      <c r="Y5" s="114"/>
      <c r="Z5" s="115"/>
      <c r="AA5" s="116"/>
      <c r="AB5" s="113"/>
      <c r="AC5" s="114"/>
      <c r="AD5" s="115"/>
      <c r="AE5" s="116"/>
      <c r="AF5" s="113"/>
      <c r="AG5" s="114"/>
      <c r="AH5" s="115"/>
      <c r="AI5" s="116"/>
      <c r="AJ5" s="113"/>
      <c r="AK5" s="114"/>
      <c r="AL5" s="115"/>
      <c r="AM5" s="1"/>
      <c r="AN5" s="129">
        <f t="shared" si="0"/>
        <v>23000</v>
      </c>
      <c r="AO5" s="138">
        <v>3011</v>
      </c>
    </row>
    <row r="6" spans="1:53" thickBot="1" x14ac:dyDescent="0.35">
      <c r="B6" s="7">
        <v>3016</v>
      </c>
      <c r="C6" s="8" t="s">
        <v>150</v>
      </c>
      <c r="D6" s="113">
        <f>250*18*15</f>
        <v>67500</v>
      </c>
      <c r="E6" s="132" t="s">
        <v>336</v>
      </c>
      <c r="F6" s="115"/>
      <c r="G6" s="116"/>
      <c r="H6" s="113"/>
      <c r="I6" s="114"/>
      <c r="J6" s="115"/>
      <c r="K6" s="116"/>
      <c r="L6" s="113"/>
      <c r="M6" s="114"/>
      <c r="N6" s="115"/>
      <c r="O6" s="116"/>
      <c r="P6" s="113"/>
      <c r="Q6" s="132"/>
      <c r="R6" s="115"/>
      <c r="S6" s="116"/>
      <c r="T6" s="113"/>
      <c r="U6" s="114"/>
      <c r="V6" s="115"/>
      <c r="W6" s="116"/>
      <c r="X6" s="113"/>
      <c r="Y6" s="114"/>
      <c r="Z6" s="115"/>
      <c r="AA6" s="116"/>
      <c r="AB6" s="113"/>
      <c r="AC6" s="114"/>
      <c r="AD6" s="115"/>
      <c r="AE6" s="116"/>
      <c r="AF6" s="113"/>
      <c r="AG6" s="114"/>
      <c r="AH6" s="115"/>
      <c r="AI6" s="116"/>
      <c r="AJ6" s="113"/>
      <c r="AK6" s="114"/>
      <c r="AL6" s="115"/>
      <c r="AM6" s="1"/>
      <c r="AN6" s="129">
        <f t="shared" si="0"/>
        <v>67500</v>
      </c>
      <c r="AO6" s="138">
        <v>3016</v>
      </c>
    </row>
    <row r="7" spans="1:53" hidden="1" thickBot="1" x14ac:dyDescent="0.35">
      <c r="B7" s="7">
        <v>3017</v>
      </c>
      <c r="C7" s="8" t="s">
        <v>151</v>
      </c>
      <c r="D7" s="113"/>
      <c r="E7" s="132"/>
      <c r="F7" s="115"/>
      <c r="G7" s="116"/>
      <c r="H7" s="113"/>
      <c r="I7" s="114"/>
      <c r="J7" s="115"/>
      <c r="K7" s="116"/>
      <c r="L7" s="113"/>
      <c r="M7" s="114"/>
      <c r="N7" s="115"/>
      <c r="O7" s="116"/>
      <c r="P7" s="113"/>
      <c r="Q7" s="132"/>
      <c r="R7" s="115"/>
      <c r="S7" s="116"/>
      <c r="T7" s="113"/>
      <c r="U7" s="114"/>
      <c r="V7" s="115"/>
      <c r="W7" s="116"/>
      <c r="X7" s="113"/>
      <c r="Y7" s="114"/>
      <c r="Z7" s="115"/>
      <c r="AA7" s="116"/>
      <c r="AB7" s="113"/>
      <c r="AC7" s="114"/>
      <c r="AD7" s="115"/>
      <c r="AE7" s="116"/>
      <c r="AF7" s="113"/>
      <c r="AG7" s="114"/>
      <c r="AH7" s="115"/>
      <c r="AI7" s="116"/>
      <c r="AJ7" s="113"/>
      <c r="AK7" s="114"/>
      <c r="AL7" s="115"/>
      <c r="AM7" s="1"/>
      <c r="AN7" s="129">
        <f t="shared" si="0"/>
        <v>0</v>
      </c>
      <c r="AO7" s="138">
        <v>3017</v>
      </c>
    </row>
    <row r="8" spans="1:53" thickBot="1" x14ac:dyDescent="0.35">
      <c r="B8" s="7">
        <v>3100</v>
      </c>
      <c r="C8" s="8" t="s">
        <v>3</v>
      </c>
      <c r="D8" s="113"/>
      <c r="E8" s="132"/>
      <c r="F8" s="115"/>
      <c r="G8" s="116"/>
      <c r="H8" s="113">
        <f>12000+16500+2000</f>
        <v>30500</v>
      </c>
      <c r="I8" s="114" t="s">
        <v>240</v>
      </c>
      <c r="J8" s="115"/>
      <c r="K8" s="116"/>
      <c r="L8" s="113"/>
      <c r="M8" s="114"/>
      <c r="N8" s="115"/>
      <c r="O8" s="116"/>
      <c r="P8" s="113"/>
      <c r="Q8" s="132"/>
      <c r="R8" s="115"/>
      <c r="S8" s="116"/>
      <c r="T8" s="113"/>
      <c r="U8" s="114"/>
      <c r="V8" s="115"/>
      <c r="W8" s="116"/>
      <c r="X8" s="113"/>
      <c r="Y8" s="114"/>
      <c r="Z8" s="115"/>
      <c r="AA8" s="116"/>
      <c r="AB8" s="113"/>
      <c r="AC8" s="114"/>
      <c r="AD8" s="115"/>
      <c r="AE8" s="116"/>
      <c r="AF8" s="113"/>
      <c r="AG8" s="114"/>
      <c r="AH8" s="115"/>
      <c r="AI8" s="116"/>
      <c r="AJ8" s="113"/>
      <c r="AK8" s="114"/>
      <c r="AL8" s="115"/>
      <c r="AM8" s="1"/>
      <c r="AN8" s="129">
        <f t="shared" si="0"/>
        <v>30500</v>
      </c>
      <c r="AO8" s="138">
        <v>3100</v>
      </c>
    </row>
    <row r="9" spans="1:53" hidden="1" thickBot="1" x14ac:dyDescent="0.35">
      <c r="B9" s="7">
        <v>3120</v>
      </c>
      <c r="C9" s="8" t="s">
        <v>4</v>
      </c>
      <c r="D9" s="113"/>
      <c r="E9" s="132"/>
      <c r="F9" s="115"/>
      <c r="G9" s="116"/>
      <c r="H9" s="113"/>
      <c r="I9" s="114"/>
      <c r="J9" s="115"/>
      <c r="K9" s="116"/>
      <c r="L9" s="113"/>
      <c r="M9" s="114"/>
      <c r="N9" s="115"/>
      <c r="O9" s="116"/>
      <c r="P9" s="113"/>
      <c r="Q9" s="132"/>
      <c r="R9" s="115"/>
      <c r="S9" s="116"/>
      <c r="T9" s="113"/>
      <c r="U9" s="114"/>
      <c r="V9" s="115"/>
      <c r="W9" s="116"/>
      <c r="X9" s="113"/>
      <c r="Y9" s="114"/>
      <c r="Z9" s="115"/>
      <c r="AA9" s="116"/>
      <c r="AB9" s="113"/>
      <c r="AC9" s="114"/>
      <c r="AD9" s="115"/>
      <c r="AE9" s="116"/>
      <c r="AF9" s="113"/>
      <c r="AG9" s="114"/>
      <c r="AH9" s="115"/>
      <c r="AI9" s="116"/>
      <c r="AJ9" s="113"/>
      <c r="AK9" s="114"/>
      <c r="AL9" s="115"/>
      <c r="AM9" s="1"/>
      <c r="AN9" s="129">
        <f t="shared" si="0"/>
        <v>0</v>
      </c>
      <c r="AO9" s="138">
        <v>3120</v>
      </c>
    </row>
    <row r="10" spans="1:53" hidden="1" thickBot="1" x14ac:dyDescent="0.35">
      <c r="B10" s="7">
        <v>3400</v>
      </c>
      <c r="C10" s="8" t="s">
        <v>5</v>
      </c>
      <c r="D10" s="113"/>
      <c r="E10" s="132"/>
      <c r="F10" s="115"/>
      <c r="G10" s="116"/>
      <c r="H10" s="113"/>
      <c r="I10" s="114"/>
      <c r="J10" s="115"/>
      <c r="K10" s="116"/>
      <c r="L10" s="113"/>
      <c r="M10" s="114"/>
      <c r="N10" s="115"/>
      <c r="O10" s="116"/>
      <c r="P10" s="113"/>
      <c r="Q10" s="132"/>
      <c r="R10" s="115"/>
      <c r="S10" s="116"/>
      <c r="T10" s="113"/>
      <c r="U10" s="114"/>
      <c r="V10" s="115"/>
      <c r="W10" s="116"/>
      <c r="X10" s="113"/>
      <c r="Y10" s="114"/>
      <c r="Z10" s="115"/>
      <c r="AA10" s="116"/>
      <c r="AB10" s="113"/>
      <c r="AC10" s="114"/>
      <c r="AD10" s="115"/>
      <c r="AE10" s="116"/>
      <c r="AF10" s="113"/>
      <c r="AG10" s="114"/>
      <c r="AH10" s="115"/>
      <c r="AI10" s="116"/>
      <c r="AJ10" s="113"/>
      <c r="AK10" s="114"/>
      <c r="AL10" s="115"/>
      <c r="AM10" s="1"/>
      <c r="AN10" s="129">
        <f t="shared" si="0"/>
        <v>0</v>
      </c>
      <c r="AO10" s="138">
        <v>3400</v>
      </c>
    </row>
    <row r="11" spans="1:53" hidden="1" thickBot="1" x14ac:dyDescent="0.35">
      <c r="B11" s="7">
        <v>3410</v>
      </c>
      <c r="C11" s="8" t="s">
        <v>6</v>
      </c>
      <c r="D11" s="113"/>
      <c r="E11" s="132"/>
      <c r="F11" s="115"/>
      <c r="G11" s="116"/>
      <c r="H11" s="113"/>
      <c r="I11" s="114"/>
      <c r="J11" s="115"/>
      <c r="K11" s="116"/>
      <c r="L11" s="113"/>
      <c r="M11" s="114"/>
      <c r="N11" s="115"/>
      <c r="O11" s="116"/>
      <c r="P11" s="113"/>
      <c r="Q11" s="132"/>
      <c r="R11" s="115"/>
      <c r="S11" s="116"/>
      <c r="T11" s="113"/>
      <c r="U11" s="114"/>
      <c r="V11" s="115"/>
      <c r="W11" s="116"/>
      <c r="X11" s="113"/>
      <c r="Y11" s="114"/>
      <c r="Z11" s="115"/>
      <c r="AA11" s="116"/>
      <c r="AB11" s="113"/>
      <c r="AC11" s="114"/>
      <c r="AD11" s="115"/>
      <c r="AE11" s="116"/>
      <c r="AF11" s="113"/>
      <c r="AG11" s="114"/>
      <c r="AH11" s="115"/>
      <c r="AI11" s="116"/>
      <c r="AJ11" s="113"/>
      <c r="AK11" s="114"/>
      <c r="AL11" s="115"/>
      <c r="AM11" s="1"/>
      <c r="AN11" s="129">
        <f t="shared" si="0"/>
        <v>0</v>
      </c>
      <c r="AO11" s="138">
        <v>3410</v>
      </c>
    </row>
    <row r="12" spans="1:53" hidden="1" thickBot="1" x14ac:dyDescent="0.35">
      <c r="B12" s="7">
        <v>3900</v>
      </c>
      <c r="C12" s="8" t="s">
        <v>7</v>
      </c>
      <c r="D12" s="113"/>
      <c r="E12" s="132"/>
      <c r="F12" s="115"/>
      <c r="G12" s="116"/>
      <c r="H12" s="113"/>
      <c r="I12" s="114"/>
      <c r="J12" s="115"/>
      <c r="K12" s="116"/>
      <c r="L12" s="113"/>
      <c r="M12" s="114"/>
      <c r="N12" s="115"/>
      <c r="O12" s="116"/>
      <c r="P12" s="113"/>
      <c r="Q12" s="132"/>
      <c r="R12" s="115"/>
      <c r="S12" s="116"/>
      <c r="T12" s="113"/>
      <c r="U12" s="114"/>
      <c r="V12" s="115"/>
      <c r="W12" s="116"/>
      <c r="X12" s="113"/>
      <c r="Y12" s="114"/>
      <c r="Z12" s="115"/>
      <c r="AA12" s="116"/>
      <c r="AB12" s="113"/>
      <c r="AC12" s="114"/>
      <c r="AD12" s="115"/>
      <c r="AE12" s="116"/>
      <c r="AF12" s="113"/>
      <c r="AG12" s="114"/>
      <c r="AH12" s="115"/>
      <c r="AI12" s="116"/>
      <c r="AJ12" s="113"/>
      <c r="AK12" s="114"/>
      <c r="AL12" s="115"/>
      <c r="AM12" s="1"/>
      <c r="AN12" s="129">
        <f t="shared" si="0"/>
        <v>0</v>
      </c>
      <c r="AO12" s="138">
        <v>3900</v>
      </c>
    </row>
    <row r="13" spans="1:53" hidden="1" thickBot="1" x14ac:dyDescent="0.35">
      <c r="B13" s="7">
        <v>3910</v>
      </c>
      <c r="C13" s="8" t="s">
        <v>8</v>
      </c>
      <c r="D13" s="113"/>
      <c r="E13" s="132"/>
      <c r="F13" s="115"/>
      <c r="G13" s="116"/>
      <c r="H13" s="113"/>
      <c r="I13" s="114"/>
      <c r="J13" s="115"/>
      <c r="K13" s="116"/>
      <c r="L13" s="113"/>
      <c r="M13" s="114"/>
      <c r="N13" s="115"/>
      <c r="O13" s="116"/>
      <c r="P13" s="113"/>
      <c r="Q13" s="132"/>
      <c r="R13" s="115"/>
      <c r="S13" s="116"/>
      <c r="T13" s="113"/>
      <c r="U13" s="114"/>
      <c r="V13" s="115"/>
      <c r="W13" s="116"/>
      <c r="X13" s="113"/>
      <c r="Y13" s="114"/>
      <c r="Z13" s="115"/>
      <c r="AA13" s="116"/>
      <c r="AB13" s="113"/>
      <c r="AC13" s="114"/>
      <c r="AD13" s="115"/>
      <c r="AE13" s="116"/>
      <c r="AF13" s="113"/>
      <c r="AG13" s="114"/>
      <c r="AH13" s="115"/>
      <c r="AI13" s="116"/>
      <c r="AJ13" s="113"/>
      <c r="AK13" s="114"/>
      <c r="AL13" s="115"/>
      <c r="AM13" s="1"/>
      <c r="AN13" s="129">
        <f t="shared" si="0"/>
        <v>0</v>
      </c>
      <c r="AO13" s="138">
        <v>3910</v>
      </c>
    </row>
    <row r="14" spans="1:53" hidden="1" thickBot="1" x14ac:dyDescent="0.35">
      <c r="B14" s="10">
        <v>3950</v>
      </c>
      <c r="C14" s="11" t="s">
        <v>9</v>
      </c>
      <c r="D14" s="117"/>
      <c r="E14" s="192"/>
      <c r="F14" s="119"/>
      <c r="G14" s="116"/>
      <c r="H14" s="117"/>
      <c r="I14" s="118"/>
      <c r="J14" s="119"/>
      <c r="K14" s="116"/>
      <c r="L14" s="117"/>
      <c r="M14" s="118"/>
      <c r="N14" s="119"/>
      <c r="O14" s="116"/>
      <c r="P14" s="117"/>
      <c r="Q14" s="192"/>
      <c r="R14" s="119"/>
      <c r="S14" s="116"/>
      <c r="T14" s="117"/>
      <c r="U14" s="118"/>
      <c r="V14" s="119"/>
      <c r="W14" s="116"/>
      <c r="X14" s="117"/>
      <c r="Y14" s="118"/>
      <c r="Z14" s="119"/>
      <c r="AA14" s="116"/>
      <c r="AB14" s="117"/>
      <c r="AC14" s="118"/>
      <c r="AD14" s="119"/>
      <c r="AE14" s="116"/>
      <c r="AF14" s="117"/>
      <c r="AG14" s="118"/>
      <c r="AH14" s="119"/>
      <c r="AI14" s="116"/>
      <c r="AJ14" s="117"/>
      <c r="AK14" s="118"/>
      <c r="AL14" s="119"/>
      <c r="AM14" s="1"/>
      <c r="AN14" s="129">
        <f t="shared" si="0"/>
        <v>0</v>
      </c>
      <c r="AO14" s="142">
        <v>3950</v>
      </c>
    </row>
    <row r="15" spans="1:53" thickBot="1" x14ac:dyDescent="0.35">
      <c r="B15" s="30"/>
      <c r="C15" s="31" t="s">
        <v>73</v>
      </c>
      <c r="D15" s="120">
        <f>SUM(D4:D14)</f>
        <v>130500</v>
      </c>
      <c r="E15" s="191"/>
      <c r="F15" s="120">
        <v>17500</v>
      </c>
      <c r="G15" s="116"/>
      <c r="H15" s="120">
        <f>SUM(H4:H14)</f>
        <v>30500</v>
      </c>
      <c r="I15" s="120"/>
      <c r="J15" s="120">
        <v>90788</v>
      </c>
      <c r="K15" s="116"/>
      <c r="L15" s="120">
        <f>SUM(L4:L14)</f>
        <v>12500</v>
      </c>
      <c r="M15" s="120"/>
      <c r="N15" s="120">
        <v>10000</v>
      </c>
      <c r="O15" s="116"/>
      <c r="P15" s="120">
        <f>SUM(P4:P14)</f>
        <v>12500</v>
      </c>
      <c r="Q15" s="191"/>
      <c r="R15" s="120">
        <v>6000</v>
      </c>
      <c r="S15" s="116"/>
      <c r="T15" s="120">
        <f>SUM(T4:T14)</f>
        <v>0</v>
      </c>
      <c r="U15" s="120"/>
      <c r="V15" s="120">
        <f>SUM(V4:V14)</f>
        <v>0</v>
      </c>
      <c r="W15" s="116"/>
      <c r="X15" s="120">
        <f>SUM(X4:X14)</f>
        <v>0</v>
      </c>
      <c r="Y15" s="120"/>
      <c r="Z15" s="120">
        <v>1662.5</v>
      </c>
      <c r="AA15" s="116"/>
      <c r="AB15" s="120">
        <f>SUM(AB4:AB14)</f>
        <v>0</v>
      </c>
      <c r="AC15" s="120"/>
      <c r="AD15" s="120">
        <f>SUM(AD4:AD14)</f>
        <v>0</v>
      </c>
      <c r="AE15" s="116"/>
      <c r="AF15" s="120">
        <f>SUM(AF4:AF14)</f>
        <v>0</v>
      </c>
      <c r="AG15" s="120"/>
      <c r="AH15" s="120">
        <f>SUM(AH4:AH14)</f>
        <v>0</v>
      </c>
      <c r="AI15" s="116"/>
      <c r="AJ15" s="120">
        <f>SUM(AJ4:AJ14)</f>
        <v>0</v>
      </c>
      <c r="AK15" s="120"/>
      <c r="AL15" s="120"/>
      <c r="AN15" s="129">
        <f t="shared" si="0"/>
        <v>186000</v>
      </c>
      <c r="AO15" s="139"/>
    </row>
    <row r="16" spans="1:53" ht="15.75" thickBot="1" x14ac:dyDescent="0.3">
      <c r="A16" s="27" t="s">
        <v>46</v>
      </c>
      <c r="B16" s="26">
        <v>5000</v>
      </c>
      <c r="C16" s="29" t="s">
        <v>10</v>
      </c>
      <c r="D16" s="123"/>
      <c r="E16" s="132"/>
      <c r="F16" s="115"/>
      <c r="G16" s="116"/>
      <c r="H16" s="123">
        <f>Lønnsmatrise!J55</f>
        <v>92581.8</v>
      </c>
      <c r="I16" s="114"/>
      <c r="J16" s="115"/>
      <c r="K16" s="116"/>
      <c r="L16" s="123">
        <f>Lønnsmatrise!L55</f>
        <v>6250</v>
      </c>
      <c r="M16" s="114"/>
      <c r="N16" s="115"/>
      <c r="O16" s="116"/>
      <c r="P16" s="123">
        <f>Lønnsmatrise!N55</f>
        <v>6500</v>
      </c>
      <c r="Q16" s="132"/>
      <c r="R16" s="115"/>
      <c r="S16" s="116"/>
      <c r="T16" s="123"/>
      <c r="U16" s="114"/>
      <c r="V16" s="115"/>
      <c r="W16" s="116"/>
      <c r="X16" s="123"/>
      <c r="Y16" s="114"/>
      <c r="Z16" s="115"/>
      <c r="AA16" s="116"/>
      <c r="AB16" s="123"/>
      <c r="AC16" s="114"/>
      <c r="AD16" s="115"/>
      <c r="AE16" s="116"/>
      <c r="AF16" s="123"/>
      <c r="AG16" s="114"/>
      <c r="AH16" s="115"/>
      <c r="AI16" s="116"/>
      <c r="AJ16" s="123"/>
      <c r="AK16" s="114"/>
      <c r="AL16" s="115"/>
      <c r="AM16" s="1"/>
      <c r="AN16" s="129">
        <f t="shared" si="0"/>
        <v>105331.8</v>
      </c>
      <c r="AO16" s="140">
        <v>5000</v>
      </c>
    </row>
    <row r="17" spans="1:53" hidden="1" thickBot="1" x14ac:dyDescent="0.35">
      <c r="B17" s="7">
        <v>5001</v>
      </c>
      <c r="C17" s="15" t="s">
        <v>11</v>
      </c>
      <c r="D17" s="123"/>
      <c r="E17" s="132"/>
      <c r="F17" s="115"/>
      <c r="G17" s="116"/>
      <c r="H17" s="123">
        <f>Lønnsmatrise!J56</f>
        <v>0</v>
      </c>
      <c r="I17" s="114"/>
      <c r="J17" s="115"/>
      <c r="K17" s="116"/>
      <c r="L17" s="123">
        <f>Lønnsmatrise!L56</f>
        <v>0</v>
      </c>
      <c r="M17" s="114"/>
      <c r="N17" s="115"/>
      <c r="O17" s="116"/>
      <c r="P17" s="123">
        <f>Lønnsmatrise!N56</f>
        <v>0</v>
      </c>
      <c r="Q17" s="132"/>
      <c r="R17" s="115"/>
      <c r="S17" s="116"/>
      <c r="T17" s="123"/>
      <c r="U17" s="114"/>
      <c r="V17" s="115"/>
      <c r="W17" s="116"/>
      <c r="X17" s="123"/>
      <c r="Y17" s="114"/>
      <c r="Z17" s="115"/>
      <c r="AA17" s="116"/>
      <c r="AB17" s="123"/>
      <c r="AC17" s="114"/>
      <c r="AD17" s="115"/>
      <c r="AE17" s="116"/>
      <c r="AF17" s="123"/>
      <c r="AG17" s="114"/>
      <c r="AH17" s="115"/>
      <c r="AI17" s="116"/>
      <c r="AJ17" s="123"/>
      <c r="AK17" s="114"/>
      <c r="AL17" s="115"/>
      <c r="AM17" s="1"/>
      <c r="AN17" s="129">
        <f t="shared" si="0"/>
        <v>0</v>
      </c>
      <c r="AO17" s="138">
        <v>5001</v>
      </c>
    </row>
    <row r="18" spans="1:53" hidden="1" thickBot="1" x14ac:dyDescent="0.35">
      <c r="B18" s="7">
        <v>5004</v>
      </c>
      <c r="C18" s="15" t="s">
        <v>12</v>
      </c>
      <c r="D18" s="123"/>
      <c r="E18" s="132"/>
      <c r="F18" s="115"/>
      <c r="G18" s="116"/>
      <c r="H18" s="123">
        <f>Lønnsmatrise!J57</f>
        <v>0</v>
      </c>
      <c r="I18" s="114"/>
      <c r="J18" s="115"/>
      <c r="K18" s="116"/>
      <c r="L18" s="123">
        <f>Lønnsmatrise!L57</f>
        <v>0</v>
      </c>
      <c r="M18" s="114"/>
      <c r="N18" s="115"/>
      <c r="O18" s="116"/>
      <c r="P18" s="123">
        <f>Lønnsmatrise!N57</f>
        <v>0</v>
      </c>
      <c r="Q18" s="132"/>
      <c r="R18" s="115"/>
      <c r="S18" s="116"/>
      <c r="T18" s="123"/>
      <c r="U18" s="114"/>
      <c r="V18" s="115"/>
      <c r="W18" s="116"/>
      <c r="X18" s="123"/>
      <c r="Y18" s="114"/>
      <c r="Z18" s="115"/>
      <c r="AA18" s="116"/>
      <c r="AB18" s="123"/>
      <c r="AC18" s="114"/>
      <c r="AD18" s="115"/>
      <c r="AE18" s="116"/>
      <c r="AF18" s="123"/>
      <c r="AG18" s="114"/>
      <c r="AH18" s="115"/>
      <c r="AI18" s="116"/>
      <c r="AJ18" s="123"/>
      <c r="AK18" s="114"/>
      <c r="AL18" s="115"/>
      <c r="AM18" s="1"/>
      <c r="AN18" s="129">
        <f t="shared" si="0"/>
        <v>0</v>
      </c>
      <c r="AO18" s="138">
        <v>5004</v>
      </c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30.75" thickBot="1" x14ac:dyDescent="0.3">
      <c r="B19" s="7">
        <v>5005</v>
      </c>
      <c r="C19" s="15" t="s">
        <v>326</v>
      </c>
      <c r="D19" s="123"/>
      <c r="E19" s="132"/>
      <c r="F19" s="115"/>
      <c r="G19" s="116"/>
      <c r="H19" s="123"/>
      <c r="I19" s="114"/>
      <c r="J19" s="115"/>
      <c r="K19" s="116"/>
      <c r="L19" s="123">
        <f>(50*300*2.2)*1.141</f>
        <v>37653</v>
      </c>
      <c r="M19" s="114" t="s">
        <v>331</v>
      </c>
      <c r="N19" s="115"/>
      <c r="O19" s="116"/>
      <c r="P19" s="123">
        <f>((50*300*2.2)/1.5)*1.141</f>
        <v>25102</v>
      </c>
      <c r="Q19" s="132" t="s">
        <v>330</v>
      </c>
      <c r="R19" s="115"/>
      <c r="S19" s="116"/>
      <c r="T19" s="123">
        <f>(15*300*2.2)*1.141</f>
        <v>11295.9</v>
      </c>
      <c r="U19" s="114" t="s">
        <v>329</v>
      </c>
      <c r="V19" s="115"/>
      <c r="W19" s="116"/>
      <c r="X19" s="123">
        <f>3000*1.141</f>
        <v>3423</v>
      </c>
      <c r="Y19" s="114" t="s">
        <v>328</v>
      </c>
      <c r="Z19" s="115"/>
      <c r="AA19" s="116"/>
      <c r="AB19" s="123">
        <f>5000*1.141</f>
        <v>5705</v>
      </c>
      <c r="AC19" s="114"/>
      <c r="AD19" s="115"/>
      <c r="AE19" s="116"/>
      <c r="AF19" s="123"/>
      <c r="AG19" s="114"/>
      <c r="AH19" s="115"/>
      <c r="AI19" s="116"/>
      <c r="AJ19" s="123"/>
      <c r="AK19" s="114"/>
      <c r="AL19" s="115"/>
      <c r="AM19" s="1"/>
      <c r="AN19" s="129">
        <f t="shared" si="0"/>
        <v>83178.899999999994</v>
      </c>
      <c r="AO19" s="138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5.75" thickBot="1" x14ac:dyDescent="0.3">
      <c r="B20" s="7">
        <v>5006</v>
      </c>
      <c r="C20" s="15" t="s">
        <v>327</v>
      </c>
      <c r="D20" s="123"/>
      <c r="E20" s="132"/>
      <c r="F20" s="115"/>
      <c r="G20" s="116"/>
      <c r="H20" s="123"/>
      <c r="I20" s="114"/>
      <c r="J20" s="115"/>
      <c r="K20" s="116"/>
      <c r="L20" s="123">
        <f>50*100*1.141</f>
        <v>5705</v>
      </c>
      <c r="M20" s="114" t="s">
        <v>331</v>
      </c>
      <c r="N20" s="115"/>
      <c r="O20" s="116"/>
      <c r="P20" s="123">
        <f>50*100*1.141</f>
        <v>5705</v>
      </c>
      <c r="Q20" s="132" t="s">
        <v>331</v>
      </c>
      <c r="R20" s="115"/>
      <c r="S20" s="116"/>
      <c r="T20" s="123">
        <f>15*100*1.141</f>
        <v>1711.5</v>
      </c>
      <c r="U20" s="114" t="s">
        <v>329</v>
      </c>
      <c r="V20" s="115"/>
      <c r="W20" s="116"/>
      <c r="X20" s="123"/>
      <c r="Y20" s="114"/>
      <c r="Z20" s="115"/>
      <c r="AA20" s="116"/>
      <c r="AB20" s="123"/>
      <c r="AC20" s="114"/>
      <c r="AD20" s="115"/>
      <c r="AE20" s="116"/>
      <c r="AF20" s="123"/>
      <c r="AG20" s="114"/>
      <c r="AH20" s="115"/>
      <c r="AI20" s="116"/>
      <c r="AJ20" s="123"/>
      <c r="AK20" s="114"/>
      <c r="AL20" s="115"/>
      <c r="AM20" s="1"/>
      <c r="AN20" s="129">
        <f t="shared" si="0"/>
        <v>13121.5</v>
      </c>
      <c r="AO20" s="138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15.75" thickBot="1" x14ac:dyDescent="0.3">
      <c r="A21" s="12"/>
      <c r="B21" s="14">
        <v>5180</v>
      </c>
      <c r="C21" s="17" t="s">
        <v>13</v>
      </c>
      <c r="D21" s="123">
        <f>SUM(D16*0.12)</f>
        <v>0</v>
      </c>
      <c r="E21" s="196"/>
      <c r="F21" s="126"/>
      <c r="G21" s="127"/>
      <c r="H21" s="123">
        <f>Lønnsmatrise!J58</f>
        <v>11109.816000000001</v>
      </c>
      <c r="I21" s="125"/>
      <c r="J21" s="126"/>
      <c r="K21" s="127"/>
      <c r="L21" s="123">
        <f>Lønnsmatrise!L58</f>
        <v>750</v>
      </c>
      <c r="M21" s="125"/>
      <c r="N21" s="126"/>
      <c r="O21" s="127"/>
      <c r="P21" s="123">
        <f>Lønnsmatrise!N58</f>
        <v>780</v>
      </c>
      <c r="Q21" s="196"/>
      <c r="R21" s="126"/>
      <c r="S21" s="127"/>
      <c r="T21" s="123">
        <f>SUM(T16*0.12)</f>
        <v>0</v>
      </c>
      <c r="U21" s="125"/>
      <c r="V21" s="126"/>
      <c r="W21" s="127"/>
      <c r="X21" s="123">
        <f>SUM(X16*0.12)</f>
        <v>0</v>
      </c>
      <c r="Y21" s="125"/>
      <c r="Z21" s="126"/>
      <c r="AA21" s="127"/>
      <c r="AB21" s="123">
        <f>SUM(AB16*0.12)</f>
        <v>0</v>
      </c>
      <c r="AC21" s="125"/>
      <c r="AD21" s="126"/>
      <c r="AE21" s="127"/>
      <c r="AF21" s="123">
        <f>SUM(AF16*0.12)</f>
        <v>0</v>
      </c>
      <c r="AG21" s="125"/>
      <c r="AH21" s="126"/>
      <c r="AI21" s="127"/>
      <c r="AJ21" s="123">
        <f>SUM(AJ16*0.12)</f>
        <v>0</v>
      </c>
      <c r="AK21" s="125"/>
      <c r="AL21" s="126"/>
      <c r="AM21" s="1"/>
      <c r="AN21" s="129">
        <f t="shared" si="0"/>
        <v>12639.816000000001</v>
      </c>
      <c r="AO21" s="141">
        <v>5180</v>
      </c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ht="15.75" thickBot="1" x14ac:dyDescent="0.3">
      <c r="A22" s="12"/>
      <c r="B22" s="7">
        <v>5182</v>
      </c>
      <c r="C22" s="15" t="s">
        <v>14</v>
      </c>
      <c r="D22" s="123">
        <f>SUM(D21*0.141)</f>
        <v>0</v>
      </c>
      <c r="E22" s="196"/>
      <c r="F22" s="126"/>
      <c r="G22" s="127"/>
      <c r="H22" s="123">
        <f>Lønnsmatrise!J59</f>
        <v>1566.484056</v>
      </c>
      <c r="I22" s="125"/>
      <c r="J22" s="126"/>
      <c r="K22" s="127"/>
      <c r="L22" s="123">
        <f>Lønnsmatrise!L59</f>
        <v>105.74999999999999</v>
      </c>
      <c r="M22" s="125"/>
      <c r="N22" s="126"/>
      <c r="O22" s="127"/>
      <c r="P22" s="123">
        <f>Lønnsmatrise!N59</f>
        <v>109.97999999999999</v>
      </c>
      <c r="Q22" s="196"/>
      <c r="R22" s="126"/>
      <c r="S22" s="127"/>
      <c r="T22" s="123">
        <f>SUM(T21*0.141)</f>
        <v>0</v>
      </c>
      <c r="U22" s="125"/>
      <c r="V22" s="126"/>
      <c r="W22" s="127"/>
      <c r="X22" s="123">
        <f>SUM(X21*0.141)</f>
        <v>0</v>
      </c>
      <c r="Y22" s="125"/>
      <c r="Z22" s="126"/>
      <c r="AA22" s="127"/>
      <c r="AB22" s="123">
        <f>SUM(AB21*0.141)</f>
        <v>0</v>
      </c>
      <c r="AC22" s="125"/>
      <c r="AD22" s="126"/>
      <c r="AE22" s="127"/>
      <c r="AF22" s="123">
        <f>SUM(AF21*0.141)</f>
        <v>0</v>
      </c>
      <c r="AG22" s="125"/>
      <c r="AH22" s="126"/>
      <c r="AI22" s="127"/>
      <c r="AJ22" s="123">
        <f>SUM(AJ21*0.141)</f>
        <v>0</v>
      </c>
      <c r="AK22" s="125"/>
      <c r="AL22" s="126"/>
      <c r="AM22" s="1"/>
      <c r="AN22" s="129">
        <f t="shared" si="0"/>
        <v>1782.214056</v>
      </c>
      <c r="AO22" s="138">
        <v>5182</v>
      </c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hidden="1" thickBot="1" x14ac:dyDescent="0.35">
      <c r="A23" s="12"/>
      <c r="B23" s="7">
        <v>5211</v>
      </c>
      <c r="C23" s="15" t="s">
        <v>15</v>
      </c>
      <c r="D23" s="113"/>
      <c r="E23" s="196"/>
      <c r="F23" s="126"/>
      <c r="G23" s="127"/>
      <c r="H23" s="113"/>
      <c r="I23" s="125"/>
      <c r="J23" s="126"/>
      <c r="K23" s="127"/>
      <c r="L23" s="113"/>
      <c r="M23" s="125"/>
      <c r="N23" s="126"/>
      <c r="O23" s="127"/>
      <c r="P23" s="113"/>
      <c r="Q23" s="196"/>
      <c r="R23" s="126"/>
      <c r="S23" s="127"/>
      <c r="T23" s="113"/>
      <c r="U23" s="125"/>
      <c r="V23" s="126"/>
      <c r="W23" s="127"/>
      <c r="X23" s="113"/>
      <c r="Y23" s="125"/>
      <c r="Z23" s="126"/>
      <c r="AA23" s="127"/>
      <c r="AB23" s="113"/>
      <c r="AC23" s="125"/>
      <c r="AD23" s="126"/>
      <c r="AE23" s="127"/>
      <c r="AF23" s="113"/>
      <c r="AG23" s="125"/>
      <c r="AH23" s="126"/>
      <c r="AI23" s="127"/>
      <c r="AJ23" s="113"/>
      <c r="AK23" s="125"/>
      <c r="AL23" s="126"/>
      <c r="AM23" s="1"/>
      <c r="AN23" s="129">
        <f t="shared" si="0"/>
        <v>0</v>
      </c>
      <c r="AO23" s="138">
        <v>5211</v>
      </c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hidden="1" thickBot="1" x14ac:dyDescent="0.35">
      <c r="A24" s="12"/>
      <c r="B24" s="7">
        <v>5230</v>
      </c>
      <c r="C24" s="15" t="s">
        <v>16</v>
      </c>
      <c r="D24" s="113"/>
      <c r="E24" s="196"/>
      <c r="F24" s="126"/>
      <c r="G24" s="127"/>
      <c r="H24" s="113"/>
      <c r="I24" s="125"/>
      <c r="J24" s="126"/>
      <c r="K24" s="127"/>
      <c r="L24" s="113"/>
      <c r="M24" s="125"/>
      <c r="N24" s="126"/>
      <c r="O24" s="127"/>
      <c r="P24" s="113"/>
      <c r="Q24" s="196"/>
      <c r="R24" s="126"/>
      <c r="S24" s="127"/>
      <c r="T24" s="113"/>
      <c r="U24" s="125"/>
      <c r="V24" s="126"/>
      <c r="W24" s="127"/>
      <c r="X24" s="113"/>
      <c r="Y24" s="125"/>
      <c r="Z24" s="126"/>
      <c r="AA24" s="127"/>
      <c r="AB24" s="113"/>
      <c r="AC24" s="125"/>
      <c r="AD24" s="126"/>
      <c r="AE24" s="127"/>
      <c r="AF24" s="113"/>
      <c r="AG24" s="125"/>
      <c r="AH24" s="126"/>
      <c r="AI24" s="127"/>
      <c r="AJ24" s="113"/>
      <c r="AK24" s="125"/>
      <c r="AL24" s="126"/>
      <c r="AM24" s="1"/>
      <c r="AN24" s="129">
        <f t="shared" si="0"/>
        <v>0</v>
      </c>
      <c r="AO24" s="138">
        <v>5230</v>
      </c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ht="15.75" thickBot="1" x14ac:dyDescent="0.3">
      <c r="A25" s="12"/>
      <c r="B25" s="7">
        <v>5400</v>
      </c>
      <c r="C25" s="15" t="s">
        <v>48</v>
      </c>
      <c r="D25" s="123">
        <f>SUM((D16+D17+D18+D23+D24+D33)*0.141)</f>
        <v>1691.9999999999998</v>
      </c>
      <c r="E25" s="196"/>
      <c r="F25" s="126"/>
      <c r="G25" s="127"/>
      <c r="H25" s="123">
        <f>Lønnsmatrise!J61</f>
        <v>13054.033799999999</v>
      </c>
      <c r="I25" s="125"/>
      <c r="J25" s="126"/>
      <c r="K25" s="127"/>
      <c r="L25" s="123">
        <f>Lønnsmatrise!L61</f>
        <v>881.24999999999989</v>
      </c>
      <c r="M25" s="125"/>
      <c r="N25" s="126"/>
      <c r="O25" s="127"/>
      <c r="P25" s="123">
        <f>Lønnsmatrise!N61</f>
        <v>916.49999999999989</v>
      </c>
      <c r="Q25" s="196"/>
      <c r="R25" s="126"/>
      <c r="S25" s="127"/>
      <c r="T25" s="123">
        <f>SUM((T16+T17+T18+T23+T24)*0.141)</f>
        <v>0</v>
      </c>
      <c r="U25" s="125"/>
      <c r="V25" s="126"/>
      <c r="W25" s="127"/>
      <c r="X25" s="123">
        <f>SUM((X16+X17+X18+X23+X24+X33)*0.141)</f>
        <v>0</v>
      </c>
      <c r="Y25" s="125"/>
      <c r="Z25" s="126"/>
      <c r="AA25" s="127"/>
      <c r="AB25" s="123">
        <f>SUM((AB16+AB17+AB18+AB23+AB24+AB33)*0.141)</f>
        <v>0</v>
      </c>
      <c r="AC25" s="125"/>
      <c r="AD25" s="126"/>
      <c r="AE25" s="127"/>
      <c r="AF25" s="123">
        <f>SUM((AF16+AF17+AF18+AF23+AF24)*0.141)</f>
        <v>0</v>
      </c>
      <c r="AG25" s="125"/>
      <c r="AH25" s="126"/>
      <c r="AI25" s="127"/>
      <c r="AJ25" s="123">
        <f>SUM((AJ16+AJ17+AJ18+AJ23+AJ24)*0.141)</f>
        <v>0</v>
      </c>
      <c r="AK25" s="125"/>
      <c r="AL25" s="126"/>
      <c r="AM25" s="1"/>
      <c r="AN25" s="129">
        <f t="shared" si="0"/>
        <v>16543.783799999997</v>
      </c>
      <c r="AO25" s="138">
        <v>5400</v>
      </c>
    </row>
    <row r="26" spans="1:53" ht="15.75" thickBot="1" x14ac:dyDescent="0.3">
      <c r="B26" s="7">
        <v>5990</v>
      </c>
      <c r="C26" s="15" t="s">
        <v>17</v>
      </c>
      <c r="D26" s="123"/>
      <c r="E26" s="132"/>
      <c r="F26" s="115"/>
      <c r="G26" s="116"/>
      <c r="H26" s="123">
        <f>Lønnsmatrise!J62</f>
        <v>4329.09</v>
      </c>
      <c r="I26" s="114"/>
      <c r="J26" s="115"/>
      <c r="K26" s="116"/>
      <c r="L26" s="123">
        <f>Lønnsmatrise!L62</f>
        <v>0</v>
      </c>
      <c r="M26" s="114"/>
      <c r="N26" s="115"/>
      <c r="O26" s="116"/>
      <c r="P26" s="123">
        <f>Lønnsmatrise!N62</f>
        <v>0</v>
      </c>
      <c r="Q26" s="132"/>
      <c r="R26" s="115"/>
      <c r="S26" s="116"/>
      <c r="T26" s="123"/>
      <c r="U26" s="114"/>
      <c r="V26" s="115"/>
      <c r="W26" s="116"/>
      <c r="X26" s="123"/>
      <c r="Y26" s="114"/>
      <c r="Z26" s="115"/>
      <c r="AA26" s="116"/>
      <c r="AB26" s="123"/>
      <c r="AC26" s="114"/>
      <c r="AD26" s="115"/>
      <c r="AE26" s="116"/>
      <c r="AF26" s="123"/>
      <c r="AG26" s="114"/>
      <c r="AH26" s="115"/>
      <c r="AI26" s="116"/>
      <c r="AJ26" s="123"/>
      <c r="AK26" s="114"/>
      <c r="AL26" s="115"/>
      <c r="AM26" s="1"/>
      <c r="AN26" s="129">
        <f t="shared" si="0"/>
        <v>4329.09</v>
      </c>
      <c r="AO26" s="138">
        <v>5990</v>
      </c>
    </row>
    <row r="27" spans="1:53" ht="15.75" thickBot="1" x14ac:dyDescent="0.3">
      <c r="B27" s="7">
        <v>6110</v>
      </c>
      <c r="C27" s="15" t="s">
        <v>50</v>
      </c>
      <c r="D27" s="113"/>
      <c r="E27" s="132"/>
      <c r="F27" s="115"/>
      <c r="G27" s="116"/>
      <c r="H27" s="113">
        <v>20000</v>
      </c>
      <c r="I27" s="114" t="s">
        <v>240</v>
      </c>
      <c r="J27" s="115"/>
      <c r="K27" s="116"/>
      <c r="L27" s="113"/>
      <c r="M27" s="114"/>
      <c r="N27" s="115"/>
      <c r="O27" s="116"/>
      <c r="P27" s="113"/>
      <c r="Q27" s="132"/>
      <c r="R27" s="115"/>
      <c r="S27" s="116"/>
      <c r="T27" s="113"/>
      <c r="U27" s="114"/>
      <c r="V27" s="115"/>
      <c r="W27" s="116"/>
      <c r="X27" s="113"/>
      <c r="Y27" s="114"/>
      <c r="Z27" s="115"/>
      <c r="AA27" s="116"/>
      <c r="AB27" s="113"/>
      <c r="AC27" s="114"/>
      <c r="AD27" s="115"/>
      <c r="AE27" s="116"/>
      <c r="AF27" s="113"/>
      <c r="AG27" s="114"/>
      <c r="AH27" s="115"/>
      <c r="AI27" s="116"/>
      <c r="AJ27" s="113"/>
      <c r="AK27" s="114"/>
      <c r="AL27" s="115"/>
      <c r="AM27" s="1"/>
      <c r="AN27" s="129">
        <f t="shared" si="0"/>
        <v>20000</v>
      </c>
      <c r="AO27" s="138">
        <v>6110</v>
      </c>
    </row>
    <row r="28" spans="1:53" hidden="1" thickBot="1" x14ac:dyDescent="0.35">
      <c r="B28" s="7">
        <v>6300</v>
      </c>
      <c r="C28" s="15" t="s">
        <v>18</v>
      </c>
      <c r="D28" s="113"/>
      <c r="E28" s="132"/>
      <c r="F28" s="115"/>
      <c r="G28" s="116"/>
      <c r="H28" s="113"/>
      <c r="I28" s="114"/>
      <c r="J28" s="115"/>
      <c r="K28" s="116"/>
      <c r="L28" s="113"/>
      <c r="M28" s="114"/>
      <c r="N28" s="115"/>
      <c r="O28" s="116"/>
      <c r="P28" s="113"/>
      <c r="Q28" s="132"/>
      <c r="R28" s="115"/>
      <c r="S28" s="116"/>
      <c r="T28" s="113"/>
      <c r="U28" s="114"/>
      <c r="V28" s="115"/>
      <c r="W28" s="116"/>
      <c r="X28" s="113">
        <v>0</v>
      </c>
      <c r="Y28" s="114" t="s">
        <v>167</v>
      </c>
      <c r="Z28" s="115"/>
      <c r="AA28" s="116"/>
      <c r="AB28" s="113"/>
      <c r="AC28" s="114"/>
      <c r="AD28" s="115"/>
      <c r="AE28" s="116"/>
      <c r="AF28" s="113"/>
      <c r="AG28" s="114"/>
      <c r="AH28" s="115"/>
      <c r="AI28" s="116"/>
      <c r="AJ28" s="113"/>
      <c r="AK28" s="114"/>
      <c r="AL28" s="115"/>
      <c r="AM28" s="1"/>
      <c r="AN28" s="129">
        <f t="shared" si="0"/>
        <v>0</v>
      </c>
      <c r="AO28" s="138">
        <v>6300</v>
      </c>
    </row>
    <row r="29" spans="1:53" hidden="1" thickBot="1" x14ac:dyDescent="0.35">
      <c r="B29" s="7">
        <v>6440</v>
      </c>
      <c r="C29" s="15" t="s">
        <v>19</v>
      </c>
      <c r="D29" s="113"/>
      <c r="E29" s="132"/>
      <c r="F29" s="115"/>
      <c r="G29" s="116"/>
      <c r="H29" s="113"/>
      <c r="I29" s="114"/>
      <c r="J29" s="115"/>
      <c r="K29" s="116"/>
      <c r="L29" s="113"/>
      <c r="M29" s="114"/>
      <c r="N29" s="115"/>
      <c r="O29" s="116"/>
      <c r="P29" s="113"/>
      <c r="Q29" s="132"/>
      <c r="R29" s="115"/>
      <c r="S29" s="116"/>
      <c r="T29" s="113"/>
      <c r="U29" s="114"/>
      <c r="V29" s="115"/>
      <c r="W29" s="116"/>
      <c r="X29" s="113"/>
      <c r="Y29" s="114"/>
      <c r="Z29" s="115"/>
      <c r="AA29" s="116"/>
      <c r="AB29" s="113"/>
      <c r="AC29" s="114"/>
      <c r="AD29" s="115"/>
      <c r="AE29" s="116"/>
      <c r="AF29" s="113"/>
      <c r="AG29" s="114"/>
      <c r="AH29" s="115"/>
      <c r="AI29" s="116"/>
      <c r="AJ29" s="113"/>
      <c r="AK29" s="114"/>
      <c r="AL29" s="115"/>
      <c r="AM29" s="1"/>
      <c r="AN29" s="129">
        <f t="shared" si="0"/>
        <v>0</v>
      </c>
      <c r="AO29" s="138">
        <v>6440</v>
      </c>
    </row>
    <row r="30" spans="1:53" hidden="1" thickBot="1" x14ac:dyDescent="0.35">
      <c r="B30" s="7">
        <v>6550</v>
      </c>
      <c r="C30" s="15" t="s">
        <v>20</v>
      </c>
      <c r="D30" s="113"/>
      <c r="E30" s="132"/>
      <c r="F30" s="115"/>
      <c r="G30" s="116"/>
      <c r="H30" s="113">
        <v>0</v>
      </c>
      <c r="I30" s="114"/>
      <c r="J30" s="115"/>
      <c r="K30" s="116"/>
      <c r="L30" s="113"/>
      <c r="M30" s="114"/>
      <c r="N30" s="115"/>
      <c r="O30" s="116"/>
      <c r="P30" s="113"/>
      <c r="Q30" s="132"/>
      <c r="R30" s="115"/>
      <c r="S30" s="116"/>
      <c r="T30" s="113"/>
      <c r="U30" s="114"/>
      <c r="V30" s="115"/>
      <c r="W30" s="116"/>
      <c r="X30" s="113"/>
      <c r="Y30" s="114"/>
      <c r="Z30" s="115"/>
      <c r="AA30" s="116"/>
      <c r="AB30" s="113"/>
      <c r="AC30" s="114"/>
      <c r="AD30" s="115"/>
      <c r="AE30" s="116"/>
      <c r="AF30" s="113"/>
      <c r="AG30" s="114"/>
      <c r="AH30" s="115"/>
      <c r="AI30" s="116"/>
      <c r="AJ30" s="113"/>
      <c r="AK30" s="114"/>
      <c r="AL30" s="115"/>
      <c r="AM30" s="1"/>
      <c r="AN30" s="129">
        <f t="shared" si="0"/>
        <v>0</v>
      </c>
      <c r="AO30" s="138">
        <v>6550</v>
      </c>
    </row>
    <row r="31" spans="1:53" hidden="1" thickBot="1" x14ac:dyDescent="0.35">
      <c r="B31" s="7">
        <v>6560</v>
      </c>
      <c r="C31" s="15" t="s">
        <v>21</v>
      </c>
      <c r="D31" s="113"/>
      <c r="E31" s="132"/>
      <c r="F31" s="115"/>
      <c r="G31" s="116"/>
      <c r="H31" s="113"/>
      <c r="I31" s="114"/>
      <c r="J31" s="115"/>
      <c r="K31" s="116"/>
      <c r="L31" s="113"/>
      <c r="M31" s="114"/>
      <c r="N31" s="115"/>
      <c r="O31" s="116"/>
      <c r="P31" s="113"/>
      <c r="Q31" s="132"/>
      <c r="R31" s="115"/>
      <c r="S31" s="116"/>
      <c r="T31" s="113"/>
      <c r="U31" s="114"/>
      <c r="V31" s="115"/>
      <c r="W31" s="116"/>
      <c r="X31" s="113"/>
      <c r="Y31" s="114"/>
      <c r="Z31" s="115"/>
      <c r="AA31" s="116"/>
      <c r="AB31" s="113"/>
      <c r="AC31" s="114"/>
      <c r="AD31" s="115"/>
      <c r="AE31" s="116"/>
      <c r="AF31" s="113"/>
      <c r="AG31" s="114"/>
      <c r="AH31" s="115"/>
      <c r="AI31" s="116"/>
      <c r="AJ31" s="113"/>
      <c r="AK31" s="114"/>
      <c r="AL31" s="115"/>
      <c r="AM31" s="1"/>
      <c r="AN31" s="129">
        <f t="shared" si="0"/>
        <v>0</v>
      </c>
      <c r="AO31" s="138">
        <v>6560</v>
      </c>
    </row>
    <row r="32" spans="1:53" ht="15.75" thickBot="1" x14ac:dyDescent="0.3">
      <c r="B32" s="7">
        <v>6580</v>
      </c>
      <c r="C32" s="15" t="s">
        <v>2</v>
      </c>
      <c r="D32" s="113"/>
      <c r="E32" s="132"/>
      <c r="F32" s="115"/>
      <c r="G32" s="116"/>
      <c r="H32" s="113">
        <f>400*200</f>
        <v>80000</v>
      </c>
      <c r="I32" s="114" t="s">
        <v>296</v>
      </c>
      <c r="J32" s="115"/>
      <c r="K32" s="116"/>
      <c r="L32" s="113"/>
      <c r="M32" s="114"/>
      <c r="N32" s="115"/>
      <c r="O32" s="116"/>
      <c r="P32" s="113"/>
      <c r="Q32" s="132"/>
      <c r="R32" s="115"/>
      <c r="S32" s="116"/>
      <c r="T32" s="113"/>
      <c r="U32" s="114"/>
      <c r="V32" s="115"/>
      <c r="W32" s="116"/>
      <c r="X32" s="113">
        <v>0</v>
      </c>
      <c r="Y32" s="114" t="s">
        <v>168</v>
      </c>
      <c r="Z32" s="115"/>
      <c r="AA32" s="116"/>
      <c r="AB32" s="113"/>
      <c r="AC32" s="114"/>
      <c r="AD32" s="115"/>
      <c r="AE32" s="116"/>
      <c r="AF32" s="113"/>
      <c r="AG32" s="114"/>
      <c r="AH32" s="115"/>
      <c r="AI32" s="116"/>
      <c r="AJ32" s="113"/>
      <c r="AK32" s="114"/>
      <c r="AL32" s="115"/>
      <c r="AM32" s="1"/>
      <c r="AN32" s="129">
        <f t="shared" si="0"/>
        <v>80000</v>
      </c>
      <c r="AO32" s="138">
        <v>6580</v>
      </c>
    </row>
    <row r="33" spans="2:41" ht="15.75" thickBot="1" x14ac:dyDescent="0.3">
      <c r="B33" s="7">
        <v>6730</v>
      </c>
      <c r="C33" s="15" t="s">
        <v>155</v>
      </c>
      <c r="D33" s="113">
        <f>20*300*2</f>
        <v>12000</v>
      </c>
      <c r="E33" s="132" t="s">
        <v>297</v>
      </c>
      <c r="F33" s="115"/>
      <c r="G33" s="116"/>
      <c r="H33" s="113"/>
      <c r="I33" s="114"/>
      <c r="J33" s="115"/>
      <c r="K33" s="116"/>
      <c r="L33" s="113"/>
      <c r="M33" s="114"/>
      <c r="N33" s="115"/>
      <c r="O33" s="116"/>
      <c r="P33" s="113"/>
      <c r="Q33" s="132"/>
      <c r="R33" s="115"/>
      <c r="S33" s="116"/>
      <c r="T33" s="113"/>
      <c r="U33" s="114"/>
      <c r="V33" s="115"/>
      <c r="W33" s="116"/>
      <c r="X33" s="113"/>
      <c r="Y33" s="114"/>
      <c r="Z33" s="115"/>
      <c r="AA33" s="116"/>
      <c r="AB33" s="113"/>
      <c r="AC33" s="114"/>
      <c r="AD33" s="115"/>
      <c r="AE33" s="116"/>
      <c r="AF33" s="113">
        <v>0</v>
      </c>
      <c r="AG33" s="114"/>
      <c r="AH33" s="115"/>
      <c r="AI33" s="116"/>
      <c r="AJ33" s="113"/>
      <c r="AK33" s="114"/>
      <c r="AL33" s="115"/>
      <c r="AM33" s="1"/>
      <c r="AN33" s="129">
        <f t="shared" si="0"/>
        <v>12000</v>
      </c>
      <c r="AO33" s="138">
        <v>6730</v>
      </c>
    </row>
    <row r="34" spans="2:41" hidden="1" thickBot="1" x14ac:dyDescent="0.35">
      <c r="B34" s="7">
        <v>6800</v>
      </c>
      <c r="C34" s="15" t="s">
        <v>22</v>
      </c>
      <c r="D34" s="113"/>
      <c r="E34" s="132"/>
      <c r="F34" s="115"/>
      <c r="G34" s="116"/>
      <c r="H34" s="113"/>
      <c r="I34" s="114"/>
      <c r="J34" s="115"/>
      <c r="K34" s="116"/>
      <c r="L34" s="113"/>
      <c r="M34" s="114"/>
      <c r="N34" s="115"/>
      <c r="O34" s="116"/>
      <c r="P34" s="113"/>
      <c r="Q34" s="132"/>
      <c r="R34" s="115"/>
      <c r="S34" s="116"/>
      <c r="T34" s="113"/>
      <c r="U34" s="114"/>
      <c r="V34" s="115"/>
      <c r="W34" s="116"/>
      <c r="X34" s="113"/>
      <c r="Y34" s="114"/>
      <c r="Z34" s="115"/>
      <c r="AA34" s="116"/>
      <c r="AB34" s="113"/>
      <c r="AC34" s="114"/>
      <c r="AD34" s="115"/>
      <c r="AE34" s="116"/>
      <c r="AF34" s="113"/>
      <c r="AG34" s="114"/>
      <c r="AH34" s="115"/>
      <c r="AI34" s="116"/>
      <c r="AJ34" s="113"/>
      <c r="AK34" s="114"/>
      <c r="AL34" s="115"/>
      <c r="AM34" s="1"/>
      <c r="AN34" s="129">
        <f t="shared" si="0"/>
        <v>0</v>
      </c>
      <c r="AO34" s="138">
        <v>6800</v>
      </c>
    </row>
    <row r="35" spans="2:41" hidden="1" thickBot="1" x14ac:dyDescent="0.35">
      <c r="B35" s="7">
        <v>6820</v>
      </c>
      <c r="C35" s="15" t="s">
        <v>23</v>
      </c>
      <c r="D35" s="113"/>
      <c r="E35" s="132"/>
      <c r="F35" s="115"/>
      <c r="G35" s="116"/>
      <c r="H35" s="113"/>
      <c r="I35" s="114"/>
      <c r="J35" s="115"/>
      <c r="K35" s="116"/>
      <c r="L35" s="113"/>
      <c r="M35" s="114"/>
      <c r="N35" s="115"/>
      <c r="O35" s="116"/>
      <c r="P35" s="113"/>
      <c r="Q35" s="132"/>
      <c r="R35" s="115"/>
      <c r="S35" s="116"/>
      <c r="T35" s="113"/>
      <c r="U35" s="114"/>
      <c r="V35" s="115"/>
      <c r="W35" s="116"/>
      <c r="X35" s="113"/>
      <c r="Y35" s="114"/>
      <c r="Z35" s="115"/>
      <c r="AA35" s="116"/>
      <c r="AB35" s="113"/>
      <c r="AC35" s="114"/>
      <c r="AD35" s="115"/>
      <c r="AE35" s="116"/>
      <c r="AF35" s="113"/>
      <c r="AG35" s="114"/>
      <c r="AH35" s="115"/>
      <c r="AI35" s="116"/>
      <c r="AJ35" s="113"/>
      <c r="AK35" s="114"/>
      <c r="AL35" s="115"/>
      <c r="AM35" s="1"/>
      <c r="AN35" s="129">
        <f t="shared" si="0"/>
        <v>0</v>
      </c>
      <c r="AO35" s="138">
        <v>6820</v>
      </c>
    </row>
    <row r="36" spans="2:41" hidden="1" thickBot="1" x14ac:dyDescent="0.35">
      <c r="B36" s="7">
        <v>6840</v>
      </c>
      <c r="C36" s="15" t="s">
        <v>24</v>
      </c>
      <c r="D36" s="113"/>
      <c r="E36" s="132"/>
      <c r="F36" s="115"/>
      <c r="G36" s="116"/>
      <c r="H36" s="113"/>
      <c r="I36" s="114"/>
      <c r="J36" s="115"/>
      <c r="K36" s="116"/>
      <c r="L36" s="113"/>
      <c r="M36" s="114"/>
      <c r="N36" s="115"/>
      <c r="O36" s="116"/>
      <c r="P36" s="113"/>
      <c r="Q36" s="132"/>
      <c r="R36" s="115"/>
      <c r="S36" s="116"/>
      <c r="T36" s="113"/>
      <c r="U36" s="114"/>
      <c r="V36" s="115"/>
      <c r="W36" s="116"/>
      <c r="X36" s="113"/>
      <c r="Y36" s="114"/>
      <c r="Z36" s="115"/>
      <c r="AA36" s="116"/>
      <c r="AB36" s="113"/>
      <c r="AC36" s="114"/>
      <c r="AD36" s="115"/>
      <c r="AE36" s="116"/>
      <c r="AF36" s="113"/>
      <c r="AG36" s="114"/>
      <c r="AH36" s="115"/>
      <c r="AI36" s="116"/>
      <c r="AJ36" s="113"/>
      <c r="AK36" s="114"/>
      <c r="AL36" s="115"/>
      <c r="AM36" s="1"/>
      <c r="AN36" s="129">
        <f t="shared" si="0"/>
        <v>0</v>
      </c>
      <c r="AO36" s="138">
        <v>6840</v>
      </c>
    </row>
    <row r="37" spans="2:41" hidden="1" thickBot="1" x14ac:dyDescent="0.35">
      <c r="B37" s="7">
        <v>6860</v>
      </c>
      <c r="C37" s="15" t="s">
        <v>25</v>
      </c>
      <c r="D37" s="113"/>
      <c r="E37" s="132"/>
      <c r="F37" s="115"/>
      <c r="G37" s="116"/>
      <c r="H37" s="113"/>
      <c r="I37" s="114"/>
      <c r="J37" s="115"/>
      <c r="K37" s="116"/>
      <c r="L37" s="113"/>
      <c r="M37" s="114"/>
      <c r="N37" s="115"/>
      <c r="O37" s="116"/>
      <c r="P37" s="113"/>
      <c r="Q37" s="132"/>
      <c r="R37" s="115"/>
      <c r="S37" s="116"/>
      <c r="T37" s="113"/>
      <c r="U37" s="114"/>
      <c r="V37" s="115"/>
      <c r="W37" s="116"/>
      <c r="X37" s="113"/>
      <c r="Y37" s="114"/>
      <c r="Z37" s="115"/>
      <c r="AA37" s="116"/>
      <c r="AB37" s="113"/>
      <c r="AC37" s="114"/>
      <c r="AD37" s="115"/>
      <c r="AE37" s="116"/>
      <c r="AF37" s="113"/>
      <c r="AG37" s="114"/>
      <c r="AH37" s="115"/>
      <c r="AI37" s="116"/>
      <c r="AJ37" s="113"/>
      <c r="AK37" s="114"/>
      <c r="AL37" s="115"/>
      <c r="AM37" s="1"/>
      <c r="AN37" s="129">
        <f t="shared" si="0"/>
        <v>0</v>
      </c>
      <c r="AO37" s="138">
        <v>6860</v>
      </c>
    </row>
    <row r="38" spans="2:41" ht="15.75" thickBot="1" x14ac:dyDescent="0.3">
      <c r="B38" s="7">
        <v>6910</v>
      </c>
      <c r="C38" s="15" t="s">
        <v>26</v>
      </c>
      <c r="D38" s="113"/>
      <c r="E38" s="132"/>
      <c r="F38" s="115"/>
      <c r="G38" s="116"/>
      <c r="H38" s="113">
        <v>5000</v>
      </c>
      <c r="I38" s="114" t="s">
        <v>298</v>
      </c>
      <c r="J38" s="115"/>
      <c r="K38" s="116"/>
      <c r="L38" s="113"/>
      <c r="M38" s="114"/>
      <c r="N38" s="115"/>
      <c r="O38" s="116"/>
      <c r="P38" s="113"/>
      <c r="Q38" s="132"/>
      <c r="R38" s="115"/>
      <c r="S38" s="116"/>
      <c r="T38" s="113"/>
      <c r="U38" s="114"/>
      <c r="V38" s="115"/>
      <c r="W38" s="116"/>
      <c r="X38" s="113"/>
      <c r="Y38" s="114"/>
      <c r="Z38" s="115"/>
      <c r="AA38" s="116"/>
      <c r="AB38" s="113"/>
      <c r="AC38" s="114"/>
      <c r="AD38" s="115"/>
      <c r="AE38" s="116"/>
      <c r="AF38" s="113"/>
      <c r="AG38" s="114"/>
      <c r="AH38" s="115"/>
      <c r="AI38" s="116"/>
      <c r="AJ38" s="113"/>
      <c r="AK38" s="114"/>
      <c r="AL38" s="115"/>
      <c r="AM38" s="1"/>
      <c r="AN38" s="129">
        <f t="shared" si="0"/>
        <v>5000</v>
      </c>
      <c r="AO38" s="138">
        <v>6910</v>
      </c>
    </row>
    <row r="39" spans="2:41" ht="15.75" thickBot="1" x14ac:dyDescent="0.3">
      <c r="B39" s="7">
        <v>6940</v>
      </c>
      <c r="C39" s="15" t="s">
        <v>49</v>
      </c>
      <c r="D39" s="113"/>
      <c r="E39" s="132"/>
      <c r="F39" s="115"/>
      <c r="G39" s="116"/>
      <c r="H39" s="113">
        <v>2000</v>
      </c>
      <c r="I39" s="114" t="s">
        <v>299</v>
      </c>
      <c r="J39" s="115"/>
      <c r="K39" s="116"/>
      <c r="L39" s="113"/>
      <c r="M39" s="114"/>
      <c r="N39" s="115"/>
      <c r="O39" s="116"/>
      <c r="P39" s="113"/>
      <c r="Q39" s="132"/>
      <c r="R39" s="115"/>
      <c r="S39" s="116"/>
      <c r="T39" s="113"/>
      <c r="U39" s="114"/>
      <c r="V39" s="115"/>
      <c r="W39" s="116"/>
      <c r="X39" s="113"/>
      <c r="Y39" s="114"/>
      <c r="Z39" s="115"/>
      <c r="AA39" s="116"/>
      <c r="AB39" s="113"/>
      <c r="AC39" s="114"/>
      <c r="AD39" s="115"/>
      <c r="AE39" s="116"/>
      <c r="AF39" s="113"/>
      <c r="AG39" s="114"/>
      <c r="AH39" s="115"/>
      <c r="AI39" s="116"/>
      <c r="AJ39" s="113"/>
      <c r="AK39" s="114"/>
      <c r="AL39" s="115"/>
      <c r="AM39" s="1"/>
      <c r="AN39" s="129">
        <f t="shared" si="0"/>
        <v>2000</v>
      </c>
      <c r="AO39" s="138">
        <v>6940</v>
      </c>
    </row>
    <row r="40" spans="2:41" hidden="1" thickBot="1" x14ac:dyDescent="0.35">
      <c r="B40" s="7">
        <v>7000</v>
      </c>
      <c r="C40" s="15" t="s">
        <v>27</v>
      </c>
      <c r="D40" s="113"/>
      <c r="E40" s="132"/>
      <c r="F40" s="115"/>
      <c r="G40" s="116"/>
      <c r="H40" s="113"/>
      <c r="I40" s="114"/>
      <c r="J40" s="115"/>
      <c r="K40" s="116"/>
      <c r="L40" s="113"/>
      <c r="M40" s="114"/>
      <c r="N40" s="115"/>
      <c r="O40" s="116"/>
      <c r="P40" s="113"/>
      <c r="Q40" s="132"/>
      <c r="R40" s="115"/>
      <c r="S40" s="116"/>
      <c r="T40" s="113"/>
      <c r="U40" s="114"/>
      <c r="V40" s="115"/>
      <c r="W40" s="116"/>
      <c r="X40" s="113"/>
      <c r="Y40" s="114"/>
      <c r="Z40" s="115"/>
      <c r="AA40" s="116"/>
      <c r="AB40" s="113"/>
      <c r="AC40" s="114"/>
      <c r="AD40" s="115"/>
      <c r="AE40" s="116"/>
      <c r="AF40" s="113"/>
      <c r="AG40" s="114"/>
      <c r="AH40" s="115"/>
      <c r="AI40" s="116"/>
      <c r="AJ40" s="113"/>
      <c r="AK40" s="114"/>
      <c r="AL40" s="115"/>
      <c r="AM40" s="1"/>
      <c r="AN40" s="129">
        <f t="shared" si="0"/>
        <v>0</v>
      </c>
      <c r="AO40" s="138">
        <v>7000</v>
      </c>
    </row>
    <row r="41" spans="2:41" ht="15.75" thickBot="1" x14ac:dyDescent="0.3">
      <c r="B41" s="7">
        <v>7100</v>
      </c>
      <c r="C41" s="15" t="s">
        <v>28</v>
      </c>
      <c r="D41" s="113"/>
      <c r="E41" s="132"/>
      <c r="F41" s="115"/>
      <c r="G41" s="116"/>
      <c r="H41" s="113">
        <v>5000</v>
      </c>
      <c r="I41" s="114" t="s">
        <v>300</v>
      </c>
      <c r="J41" s="115"/>
      <c r="K41" s="116"/>
      <c r="L41" s="113"/>
      <c r="M41" s="114"/>
      <c r="N41" s="115"/>
      <c r="O41" s="116"/>
      <c r="P41" s="113"/>
      <c r="Q41" s="132"/>
      <c r="R41" s="115"/>
      <c r="S41" s="116"/>
      <c r="T41" s="113"/>
      <c r="U41" s="114"/>
      <c r="V41" s="115"/>
      <c r="W41" s="116"/>
      <c r="X41" s="113"/>
      <c r="Y41" s="114"/>
      <c r="Z41" s="115"/>
      <c r="AA41" s="116"/>
      <c r="AB41" s="113"/>
      <c r="AC41" s="114"/>
      <c r="AD41" s="115"/>
      <c r="AE41" s="116"/>
      <c r="AF41" s="113"/>
      <c r="AG41" s="114"/>
      <c r="AH41" s="115"/>
      <c r="AI41" s="116"/>
      <c r="AJ41" s="113"/>
      <c r="AK41" s="114"/>
      <c r="AL41" s="115"/>
      <c r="AM41" s="1"/>
      <c r="AN41" s="129">
        <f t="shared" si="0"/>
        <v>5000</v>
      </c>
      <c r="AO41" s="138">
        <v>7100</v>
      </c>
    </row>
    <row r="42" spans="2:41" hidden="1" thickBot="1" x14ac:dyDescent="0.35">
      <c r="B42" s="7">
        <v>7101</v>
      </c>
      <c r="C42" s="15" t="s">
        <v>29</v>
      </c>
      <c r="D42" s="113"/>
      <c r="E42" s="132"/>
      <c r="F42" s="115"/>
      <c r="G42" s="116"/>
      <c r="H42" s="113"/>
      <c r="I42" s="114"/>
      <c r="J42" s="115"/>
      <c r="K42" s="116"/>
      <c r="L42" s="113"/>
      <c r="M42" s="114"/>
      <c r="N42" s="115"/>
      <c r="O42" s="116"/>
      <c r="P42" s="113"/>
      <c r="Q42" s="132"/>
      <c r="R42" s="115"/>
      <c r="S42" s="116"/>
      <c r="T42" s="113"/>
      <c r="U42" s="114"/>
      <c r="V42" s="115"/>
      <c r="W42" s="116"/>
      <c r="X42" s="113"/>
      <c r="Y42" s="114"/>
      <c r="Z42" s="115"/>
      <c r="AA42" s="116"/>
      <c r="AB42" s="113"/>
      <c r="AC42" s="114"/>
      <c r="AD42" s="115"/>
      <c r="AE42" s="116"/>
      <c r="AF42" s="113"/>
      <c r="AG42" s="114"/>
      <c r="AH42" s="115"/>
      <c r="AI42" s="116"/>
      <c r="AJ42" s="113"/>
      <c r="AK42" s="114"/>
      <c r="AL42" s="115"/>
      <c r="AM42" s="1"/>
      <c r="AN42" s="129">
        <f t="shared" si="0"/>
        <v>0</v>
      </c>
      <c r="AO42" s="138">
        <v>7101</v>
      </c>
    </row>
    <row r="43" spans="2:41" ht="15.75" thickBot="1" x14ac:dyDescent="0.3">
      <c r="B43" s="7">
        <v>7110</v>
      </c>
      <c r="C43" s="15" t="s">
        <v>30</v>
      </c>
      <c r="D43" s="113"/>
      <c r="E43" s="132"/>
      <c r="F43" s="115"/>
      <c r="G43" s="116"/>
      <c r="H43" s="113">
        <v>15000</v>
      </c>
      <c r="I43" s="114" t="s">
        <v>300</v>
      </c>
      <c r="J43" s="115"/>
      <c r="K43" s="116"/>
      <c r="L43" s="113"/>
      <c r="M43" s="114"/>
      <c r="N43" s="115"/>
      <c r="O43" s="116"/>
      <c r="P43" s="113"/>
      <c r="Q43" s="132"/>
      <c r="R43" s="115"/>
      <c r="S43" s="116"/>
      <c r="T43" s="113"/>
      <c r="U43" s="114"/>
      <c r="V43" s="115"/>
      <c r="W43" s="116"/>
      <c r="X43" s="113"/>
      <c r="Y43" s="114"/>
      <c r="Z43" s="115"/>
      <c r="AA43" s="116"/>
      <c r="AB43" s="113"/>
      <c r="AC43" s="114"/>
      <c r="AD43" s="115"/>
      <c r="AE43" s="116"/>
      <c r="AF43" s="113"/>
      <c r="AG43" s="114"/>
      <c r="AH43" s="115"/>
      <c r="AI43" s="116"/>
      <c r="AJ43" s="113"/>
      <c r="AK43" s="114"/>
      <c r="AL43" s="115"/>
      <c r="AM43" s="1"/>
      <c r="AN43" s="129">
        <f t="shared" si="0"/>
        <v>15000</v>
      </c>
      <c r="AO43" s="138">
        <v>7110</v>
      </c>
    </row>
    <row r="44" spans="2:41" ht="15.75" thickBot="1" x14ac:dyDescent="0.3">
      <c r="B44" s="7">
        <v>7141</v>
      </c>
      <c r="C44" s="15" t="s">
        <v>31</v>
      </c>
      <c r="D44" s="113"/>
      <c r="E44" s="132"/>
      <c r="F44" s="115"/>
      <c r="G44" s="116"/>
      <c r="H44" s="113">
        <v>10000</v>
      </c>
      <c r="I44" s="114" t="s">
        <v>300</v>
      </c>
      <c r="J44" s="115"/>
      <c r="K44" s="116"/>
      <c r="L44" s="113"/>
      <c r="M44" s="114"/>
      <c r="N44" s="115"/>
      <c r="O44" s="116"/>
      <c r="P44" s="113"/>
      <c r="Q44" s="132"/>
      <c r="R44" s="115"/>
      <c r="S44" s="116"/>
      <c r="T44" s="113"/>
      <c r="U44" s="114"/>
      <c r="V44" s="115"/>
      <c r="W44" s="116"/>
      <c r="X44" s="113"/>
      <c r="Y44" s="114"/>
      <c r="Z44" s="115"/>
      <c r="AA44" s="116"/>
      <c r="AB44" s="113"/>
      <c r="AC44" s="114"/>
      <c r="AD44" s="115"/>
      <c r="AE44" s="116"/>
      <c r="AF44" s="113"/>
      <c r="AG44" s="114"/>
      <c r="AH44" s="115"/>
      <c r="AI44" s="116"/>
      <c r="AJ44" s="113"/>
      <c r="AK44" s="114"/>
      <c r="AL44" s="115"/>
      <c r="AM44" s="1"/>
      <c r="AN44" s="129">
        <f t="shared" si="0"/>
        <v>10000</v>
      </c>
      <c r="AO44" s="138">
        <v>7141</v>
      </c>
    </row>
    <row r="45" spans="2:41" ht="15.75" thickBot="1" x14ac:dyDescent="0.3">
      <c r="B45" s="7">
        <v>7145</v>
      </c>
      <c r="C45" s="15" t="s">
        <v>32</v>
      </c>
      <c r="D45" s="113"/>
      <c r="E45" s="132"/>
      <c r="F45" s="115"/>
      <c r="G45" s="116"/>
      <c r="H45" s="113">
        <v>5000</v>
      </c>
      <c r="I45" s="114" t="s">
        <v>300</v>
      </c>
      <c r="J45" s="115"/>
      <c r="K45" s="116"/>
      <c r="L45" s="113"/>
      <c r="M45" s="114"/>
      <c r="N45" s="115"/>
      <c r="O45" s="116"/>
      <c r="P45" s="113"/>
      <c r="Q45" s="132"/>
      <c r="R45" s="115"/>
      <c r="S45" s="116"/>
      <c r="T45" s="113"/>
      <c r="U45" s="114"/>
      <c r="V45" s="115"/>
      <c r="W45" s="116"/>
      <c r="X45" s="113"/>
      <c r="Y45" s="114"/>
      <c r="Z45" s="115"/>
      <c r="AA45" s="116"/>
      <c r="AB45" s="113"/>
      <c r="AC45" s="114"/>
      <c r="AD45" s="115"/>
      <c r="AE45" s="116"/>
      <c r="AF45" s="113"/>
      <c r="AG45" s="114"/>
      <c r="AH45" s="115"/>
      <c r="AI45" s="116"/>
      <c r="AJ45" s="113"/>
      <c r="AK45" s="114"/>
      <c r="AL45" s="115"/>
      <c r="AM45" s="1"/>
      <c r="AN45" s="129">
        <f t="shared" si="0"/>
        <v>5000</v>
      </c>
      <c r="AO45" s="138">
        <v>7145</v>
      </c>
    </row>
    <row r="46" spans="2:41" ht="15.75" thickBot="1" x14ac:dyDescent="0.3">
      <c r="B46" s="7">
        <v>7162</v>
      </c>
      <c r="C46" s="15" t="s">
        <v>33</v>
      </c>
      <c r="D46" s="113"/>
      <c r="E46" s="132"/>
      <c r="F46" s="115"/>
      <c r="G46" s="116"/>
      <c r="H46" s="113">
        <v>2000</v>
      </c>
      <c r="I46" s="114" t="s">
        <v>300</v>
      </c>
      <c r="J46" s="115"/>
      <c r="K46" s="116"/>
      <c r="L46" s="113"/>
      <c r="M46" s="114"/>
      <c r="N46" s="115"/>
      <c r="O46" s="116"/>
      <c r="P46" s="113"/>
      <c r="Q46" s="132"/>
      <c r="R46" s="115"/>
      <c r="S46" s="116"/>
      <c r="T46" s="113"/>
      <c r="U46" s="114"/>
      <c r="V46" s="115"/>
      <c r="W46" s="116"/>
      <c r="X46" s="113"/>
      <c r="Y46" s="114"/>
      <c r="Z46" s="115"/>
      <c r="AA46" s="116"/>
      <c r="AB46" s="113"/>
      <c r="AC46" s="114"/>
      <c r="AD46" s="115"/>
      <c r="AE46" s="116"/>
      <c r="AF46" s="113"/>
      <c r="AG46" s="114"/>
      <c r="AH46" s="115"/>
      <c r="AI46" s="116"/>
      <c r="AJ46" s="113"/>
      <c r="AK46" s="114"/>
      <c r="AL46" s="115"/>
      <c r="AM46" s="1"/>
      <c r="AN46" s="129">
        <f t="shared" si="0"/>
        <v>2000</v>
      </c>
      <c r="AO46" s="138">
        <v>7162</v>
      </c>
    </row>
    <row r="47" spans="2:41" hidden="1" thickBot="1" x14ac:dyDescent="0.35">
      <c r="B47" s="7">
        <v>7320</v>
      </c>
      <c r="C47" s="15" t="s">
        <v>34</v>
      </c>
      <c r="D47" s="113"/>
      <c r="E47" s="132"/>
      <c r="F47" s="115"/>
      <c r="G47" s="116"/>
      <c r="H47" s="113"/>
      <c r="I47" s="114"/>
      <c r="J47" s="115"/>
      <c r="K47" s="116"/>
      <c r="L47" s="113"/>
      <c r="M47" s="114"/>
      <c r="N47" s="115"/>
      <c r="O47" s="116"/>
      <c r="P47" s="113"/>
      <c r="Q47" s="132"/>
      <c r="R47" s="115"/>
      <c r="S47" s="116"/>
      <c r="T47" s="113"/>
      <c r="U47" s="114"/>
      <c r="V47" s="115"/>
      <c r="W47" s="116"/>
      <c r="X47" s="113"/>
      <c r="Y47" s="114"/>
      <c r="Z47" s="115"/>
      <c r="AA47" s="116"/>
      <c r="AB47" s="113"/>
      <c r="AC47" s="114"/>
      <c r="AD47" s="115"/>
      <c r="AE47" s="116"/>
      <c r="AF47" s="113"/>
      <c r="AG47" s="114"/>
      <c r="AH47" s="115"/>
      <c r="AI47" s="116"/>
      <c r="AJ47" s="113"/>
      <c r="AK47" s="114"/>
      <c r="AL47" s="115"/>
      <c r="AM47" s="1"/>
      <c r="AN47" s="129">
        <f t="shared" si="0"/>
        <v>0</v>
      </c>
      <c r="AO47" s="138">
        <v>7320</v>
      </c>
    </row>
    <row r="48" spans="2:41" hidden="1" thickBot="1" x14ac:dyDescent="0.35">
      <c r="B48" s="7">
        <v>7350</v>
      </c>
      <c r="C48" s="15" t="s">
        <v>35</v>
      </c>
      <c r="D48" s="113"/>
      <c r="E48" s="132"/>
      <c r="F48" s="115"/>
      <c r="G48" s="116"/>
      <c r="H48" s="113"/>
      <c r="I48" s="114"/>
      <c r="J48" s="115"/>
      <c r="K48" s="116"/>
      <c r="L48" s="113"/>
      <c r="M48" s="114"/>
      <c r="N48" s="115"/>
      <c r="O48" s="116"/>
      <c r="P48" s="113"/>
      <c r="Q48" s="132"/>
      <c r="R48" s="115"/>
      <c r="S48" s="116"/>
      <c r="T48" s="113"/>
      <c r="U48" s="114"/>
      <c r="V48" s="115"/>
      <c r="W48" s="116"/>
      <c r="X48" s="113"/>
      <c r="Y48" s="114"/>
      <c r="Z48" s="115"/>
      <c r="AA48" s="116"/>
      <c r="AB48" s="113"/>
      <c r="AC48" s="114"/>
      <c r="AD48" s="115"/>
      <c r="AE48" s="116"/>
      <c r="AF48" s="113"/>
      <c r="AG48" s="114"/>
      <c r="AH48" s="115"/>
      <c r="AI48" s="116"/>
      <c r="AJ48" s="113"/>
      <c r="AK48" s="114"/>
      <c r="AL48" s="115"/>
      <c r="AM48" s="1"/>
      <c r="AN48" s="129">
        <f t="shared" si="0"/>
        <v>0</v>
      </c>
      <c r="AO48" s="138">
        <v>7350</v>
      </c>
    </row>
    <row r="49" spans="2:41" hidden="1" thickBot="1" x14ac:dyDescent="0.35">
      <c r="B49" s="7">
        <v>7400</v>
      </c>
      <c r="C49" s="15" t="s">
        <v>36</v>
      </c>
      <c r="D49" s="113"/>
      <c r="E49" s="132"/>
      <c r="F49" s="115"/>
      <c r="G49" s="116"/>
      <c r="H49" s="113"/>
      <c r="I49" s="114"/>
      <c r="J49" s="115"/>
      <c r="K49" s="116"/>
      <c r="L49" s="113"/>
      <c r="M49" s="114"/>
      <c r="N49" s="115"/>
      <c r="O49" s="116"/>
      <c r="P49" s="113"/>
      <c r="Q49" s="132"/>
      <c r="R49" s="115"/>
      <c r="S49" s="116"/>
      <c r="T49" s="113"/>
      <c r="U49" s="114"/>
      <c r="V49" s="115"/>
      <c r="W49" s="116"/>
      <c r="X49" s="113"/>
      <c r="Y49" s="114"/>
      <c r="Z49" s="115"/>
      <c r="AA49" s="116"/>
      <c r="AB49" s="113"/>
      <c r="AC49" s="114"/>
      <c r="AD49" s="115"/>
      <c r="AE49" s="116"/>
      <c r="AF49" s="113"/>
      <c r="AG49" s="114"/>
      <c r="AH49" s="115"/>
      <c r="AI49" s="116"/>
      <c r="AJ49" s="113"/>
      <c r="AK49" s="114"/>
      <c r="AL49" s="115"/>
      <c r="AM49" s="1"/>
      <c r="AN49" s="129">
        <f t="shared" si="0"/>
        <v>0</v>
      </c>
      <c r="AO49" s="138">
        <v>7400</v>
      </c>
    </row>
    <row r="50" spans="2:41" hidden="1" thickBot="1" x14ac:dyDescent="0.35">
      <c r="B50" s="7">
        <v>7411</v>
      </c>
      <c r="C50" s="15" t="s">
        <v>37</v>
      </c>
      <c r="D50" s="113"/>
      <c r="E50" s="132"/>
      <c r="F50" s="115"/>
      <c r="G50" s="116"/>
      <c r="H50" s="113"/>
      <c r="I50" s="114"/>
      <c r="J50" s="115"/>
      <c r="K50" s="116"/>
      <c r="L50" s="113"/>
      <c r="M50" s="114"/>
      <c r="N50" s="115"/>
      <c r="O50" s="116"/>
      <c r="P50" s="113"/>
      <c r="Q50" s="132"/>
      <c r="R50" s="115"/>
      <c r="S50" s="116"/>
      <c r="T50" s="113"/>
      <c r="U50" s="114"/>
      <c r="V50" s="115"/>
      <c r="W50" s="116"/>
      <c r="X50" s="113"/>
      <c r="Y50" s="114"/>
      <c r="Z50" s="115"/>
      <c r="AA50" s="116"/>
      <c r="AB50" s="113"/>
      <c r="AC50" s="114"/>
      <c r="AD50" s="115"/>
      <c r="AE50" s="116"/>
      <c r="AF50" s="113"/>
      <c r="AG50" s="114"/>
      <c r="AH50" s="115"/>
      <c r="AI50" s="116"/>
      <c r="AJ50" s="113"/>
      <c r="AK50" s="114"/>
      <c r="AL50" s="115"/>
      <c r="AM50" s="1"/>
      <c r="AN50" s="129">
        <f t="shared" si="0"/>
        <v>0</v>
      </c>
      <c r="AO50" s="138">
        <v>7411</v>
      </c>
    </row>
    <row r="51" spans="2:41" ht="15.75" thickBot="1" x14ac:dyDescent="0.3">
      <c r="B51" s="7">
        <v>7420</v>
      </c>
      <c r="C51" s="15" t="s">
        <v>38</v>
      </c>
      <c r="D51" s="113"/>
      <c r="E51" s="132"/>
      <c r="F51" s="115"/>
      <c r="G51" s="116"/>
      <c r="H51" s="113"/>
      <c r="I51" s="114"/>
      <c r="J51" s="115"/>
      <c r="K51" s="116"/>
      <c r="L51" s="113"/>
      <c r="M51" s="114"/>
      <c r="N51" s="115"/>
      <c r="O51" s="116"/>
      <c r="P51" s="113"/>
      <c r="Q51" s="132"/>
      <c r="R51" s="115"/>
      <c r="S51" s="116"/>
      <c r="T51" s="113"/>
      <c r="U51" s="114"/>
      <c r="V51" s="115"/>
      <c r="W51" s="116"/>
      <c r="X51" s="113">
        <v>10000</v>
      </c>
      <c r="Y51" s="114" t="s">
        <v>66</v>
      </c>
      <c r="Z51" s="115"/>
      <c r="AA51" s="116"/>
      <c r="AB51" s="113"/>
      <c r="AC51" s="114"/>
      <c r="AD51" s="115"/>
      <c r="AE51" s="116"/>
      <c r="AF51" s="113"/>
      <c r="AG51" s="114"/>
      <c r="AH51" s="115"/>
      <c r="AI51" s="116"/>
      <c r="AJ51" s="113"/>
      <c r="AK51" s="114"/>
      <c r="AL51" s="115"/>
      <c r="AM51" s="1"/>
      <c r="AN51" s="129">
        <f t="shared" si="0"/>
        <v>10000</v>
      </c>
      <c r="AO51" s="138">
        <v>7420</v>
      </c>
    </row>
    <row r="52" spans="2:41" hidden="1" thickBot="1" x14ac:dyDescent="0.35">
      <c r="B52" s="7">
        <v>7425</v>
      </c>
      <c r="C52" s="15" t="s">
        <v>39</v>
      </c>
      <c r="D52" s="113"/>
      <c r="E52" s="132"/>
      <c r="F52" s="115"/>
      <c r="G52" s="116"/>
      <c r="H52" s="113"/>
      <c r="I52" s="114"/>
      <c r="J52" s="115"/>
      <c r="K52" s="116"/>
      <c r="L52" s="113"/>
      <c r="M52" s="114"/>
      <c r="N52" s="115"/>
      <c r="O52" s="116"/>
      <c r="P52" s="113"/>
      <c r="Q52" s="132"/>
      <c r="R52" s="115"/>
      <c r="S52" s="116"/>
      <c r="T52" s="113"/>
      <c r="U52" s="114"/>
      <c r="V52" s="115"/>
      <c r="W52" s="116"/>
      <c r="X52" s="113"/>
      <c r="Y52" s="114"/>
      <c r="Z52" s="115"/>
      <c r="AA52" s="116"/>
      <c r="AB52" s="113"/>
      <c r="AC52" s="114"/>
      <c r="AD52" s="115"/>
      <c r="AE52" s="116"/>
      <c r="AF52" s="113"/>
      <c r="AG52" s="114"/>
      <c r="AH52" s="115"/>
      <c r="AI52" s="116"/>
      <c r="AJ52" s="113"/>
      <c r="AK52" s="114"/>
      <c r="AL52" s="115"/>
      <c r="AM52" s="1"/>
      <c r="AN52" s="129">
        <f t="shared" si="0"/>
        <v>0</v>
      </c>
      <c r="AO52" s="138">
        <v>7425</v>
      </c>
    </row>
    <row r="53" spans="2:41" hidden="1" thickBot="1" x14ac:dyDescent="0.35">
      <c r="B53" s="7">
        <v>7430</v>
      </c>
      <c r="C53" s="15" t="s">
        <v>40</v>
      </c>
      <c r="D53" s="113"/>
      <c r="E53" s="132"/>
      <c r="F53" s="115"/>
      <c r="G53" s="116"/>
      <c r="H53" s="113"/>
      <c r="I53" s="114"/>
      <c r="J53" s="115"/>
      <c r="K53" s="116"/>
      <c r="L53" s="113"/>
      <c r="M53" s="114"/>
      <c r="N53" s="115"/>
      <c r="O53" s="116"/>
      <c r="P53" s="113"/>
      <c r="Q53" s="132"/>
      <c r="R53" s="115"/>
      <c r="S53" s="116"/>
      <c r="T53" s="113"/>
      <c r="U53" s="114"/>
      <c r="V53" s="115"/>
      <c r="W53" s="116"/>
      <c r="X53" s="113"/>
      <c r="Y53" s="114"/>
      <c r="Z53" s="115"/>
      <c r="AA53" s="116"/>
      <c r="AB53" s="113"/>
      <c r="AC53" s="114"/>
      <c r="AD53" s="115"/>
      <c r="AE53" s="116"/>
      <c r="AF53" s="113"/>
      <c r="AG53" s="114"/>
      <c r="AH53" s="115"/>
      <c r="AI53" s="116"/>
      <c r="AJ53" s="113"/>
      <c r="AK53" s="114"/>
      <c r="AL53" s="115"/>
      <c r="AM53" s="1"/>
      <c r="AN53" s="129">
        <f t="shared" si="0"/>
        <v>0</v>
      </c>
      <c r="AO53" s="138">
        <v>7430</v>
      </c>
    </row>
    <row r="54" spans="2:41" ht="30.75" thickBot="1" x14ac:dyDescent="0.3">
      <c r="B54" s="7">
        <v>7500</v>
      </c>
      <c r="C54" s="15" t="s">
        <v>41</v>
      </c>
      <c r="D54" s="113">
        <f>3000+270*90</f>
        <v>27300</v>
      </c>
      <c r="E54" s="132" t="s">
        <v>337</v>
      </c>
      <c r="F54" s="115"/>
      <c r="G54" s="116"/>
      <c r="H54" s="113"/>
      <c r="I54" s="114"/>
      <c r="J54" s="115"/>
      <c r="K54" s="116"/>
      <c r="L54" s="113"/>
      <c r="M54" s="114"/>
      <c r="N54" s="115"/>
      <c r="O54" s="116"/>
      <c r="P54" s="113"/>
      <c r="Q54" s="132"/>
      <c r="R54" s="115"/>
      <c r="S54" s="116"/>
      <c r="T54" s="113"/>
      <c r="U54" s="114"/>
      <c r="V54" s="115"/>
      <c r="W54" s="116"/>
      <c r="X54" s="113"/>
      <c r="Y54" s="114"/>
      <c r="Z54" s="115"/>
      <c r="AA54" s="116"/>
      <c r="AB54" s="113"/>
      <c r="AC54" s="114"/>
      <c r="AD54" s="115"/>
      <c r="AE54" s="116"/>
      <c r="AF54" s="113"/>
      <c r="AG54" s="114"/>
      <c r="AH54" s="115"/>
      <c r="AI54" s="116"/>
      <c r="AJ54" s="113"/>
      <c r="AK54" s="114"/>
      <c r="AL54" s="115"/>
      <c r="AM54" s="1"/>
      <c r="AN54" s="129">
        <f t="shared" si="0"/>
        <v>27300</v>
      </c>
      <c r="AO54" s="138">
        <v>7500</v>
      </c>
    </row>
    <row r="55" spans="2:41" hidden="1" thickBot="1" x14ac:dyDescent="0.35">
      <c r="B55" s="7">
        <v>7746</v>
      </c>
      <c r="C55" s="15" t="s">
        <v>42</v>
      </c>
      <c r="D55" s="113"/>
      <c r="E55" s="132"/>
      <c r="F55" s="115"/>
      <c r="G55" s="116"/>
      <c r="H55" s="113"/>
      <c r="I55" s="114"/>
      <c r="J55" s="115"/>
      <c r="K55" s="116"/>
      <c r="L55" s="113"/>
      <c r="M55" s="114"/>
      <c r="N55" s="115"/>
      <c r="O55" s="116"/>
      <c r="P55" s="113"/>
      <c r="Q55" s="132"/>
      <c r="R55" s="115"/>
      <c r="S55" s="116"/>
      <c r="T55" s="113"/>
      <c r="U55" s="114"/>
      <c r="V55" s="115"/>
      <c r="W55" s="116"/>
      <c r="X55" s="113"/>
      <c r="Y55" s="114"/>
      <c r="Z55" s="115"/>
      <c r="AA55" s="116"/>
      <c r="AB55" s="113"/>
      <c r="AC55" s="114"/>
      <c r="AD55" s="115"/>
      <c r="AE55" s="116"/>
      <c r="AF55" s="113"/>
      <c r="AG55" s="114"/>
      <c r="AH55" s="115"/>
      <c r="AI55" s="116"/>
      <c r="AJ55" s="113"/>
      <c r="AK55" s="114"/>
      <c r="AL55" s="115"/>
      <c r="AM55" s="1"/>
      <c r="AN55" s="129">
        <f t="shared" si="0"/>
        <v>0</v>
      </c>
      <c r="AO55" s="138">
        <v>7746</v>
      </c>
    </row>
    <row r="56" spans="2:41" hidden="1" thickBot="1" x14ac:dyDescent="0.35">
      <c r="B56" s="7">
        <v>7770</v>
      </c>
      <c r="C56" s="15" t="s">
        <v>43</v>
      </c>
      <c r="D56" s="113"/>
      <c r="E56" s="132"/>
      <c r="F56" s="115"/>
      <c r="G56" s="116"/>
      <c r="H56" s="113"/>
      <c r="I56" s="114"/>
      <c r="J56" s="115"/>
      <c r="K56" s="116"/>
      <c r="L56" s="113"/>
      <c r="M56" s="114"/>
      <c r="N56" s="115"/>
      <c r="O56" s="116"/>
      <c r="P56" s="113"/>
      <c r="Q56" s="132"/>
      <c r="R56" s="115"/>
      <c r="S56" s="116"/>
      <c r="T56" s="113"/>
      <c r="U56" s="114"/>
      <c r="V56" s="115"/>
      <c r="W56" s="116"/>
      <c r="X56" s="113"/>
      <c r="Y56" s="114"/>
      <c r="Z56" s="115"/>
      <c r="AA56" s="116"/>
      <c r="AB56" s="113"/>
      <c r="AC56" s="114"/>
      <c r="AD56" s="115"/>
      <c r="AE56" s="116"/>
      <c r="AF56" s="113"/>
      <c r="AG56" s="114"/>
      <c r="AH56" s="115"/>
      <c r="AI56" s="116"/>
      <c r="AJ56" s="113"/>
      <c r="AK56" s="114"/>
      <c r="AL56" s="115"/>
      <c r="AM56" s="1"/>
      <c r="AN56" s="129">
        <f t="shared" si="0"/>
        <v>0</v>
      </c>
      <c r="AO56" s="138">
        <v>7770</v>
      </c>
    </row>
    <row r="57" spans="2:41" hidden="1" thickBot="1" x14ac:dyDescent="0.35">
      <c r="B57" s="10">
        <v>7775</v>
      </c>
      <c r="C57" s="16" t="s">
        <v>44</v>
      </c>
      <c r="D57" s="117"/>
      <c r="E57" s="192"/>
      <c r="F57" s="119"/>
      <c r="G57" s="116"/>
      <c r="H57" s="117"/>
      <c r="I57" s="118"/>
      <c r="J57" s="119"/>
      <c r="K57" s="116"/>
      <c r="L57" s="117"/>
      <c r="M57" s="118"/>
      <c r="N57" s="119"/>
      <c r="O57" s="116"/>
      <c r="P57" s="117"/>
      <c r="Q57" s="192"/>
      <c r="R57" s="119"/>
      <c r="S57" s="116"/>
      <c r="T57" s="117"/>
      <c r="U57" s="118"/>
      <c r="V57" s="119"/>
      <c r="W57" s="116"/>
      <c r="X57" s="117"/>
      <c r="Y57" s="118"/>
      <c r="Z57" s="119"/>
      <c r="AA57" s="116"/>
      <c r="AB57" s="117"/>
      <c r="AC57" s="118"/>
      <c r="AD57" s="119"/>
      <c r="AE57" s="116"/>
      <c r="AF57" s="117"/>
      <c r="AG57" s="118"/>
      <c r="AH57" s="119"/>
      <c r="AI57" s="116"/>
      <c r="AJ57" s="117"/>
      <c r="AK57" s="118"/>
      <c r="AL57" s="119"/>
      <c r="AM57" s="1"/>
      <c r="AN57" s="129">
        <f t="shared" si="0"/>
        <v>0</v>
      </c>
      <c r="AO57" s="142">
        <v>7775</v>
      </c>
    </row>
    <row r="58" spans="2:41" ht="15.75" thickBot="1" x14ac:dyDescent="0.3">
      <c r="B58" s="32"/>
      <c r="C58" s="33" t="s">
        <v>74</v>
      </c>
      <c r="D58" s="135">
        <f>SUM(D16:D57)</f>
        <v>40992</v>
      </c>
      <c r="E58" s="198"/>
      <c r="F58" s="129">
        <v>159269.29999999999</v>
      </c>
      <c r="G58" s="116"/>
      <c r="H58" s="135">
        <f t="shared" ref="H58" si="1">SUM(H16:H57)</f>
        <v>266641.223856</v>
      </c>
      <c r="I58" s="135"/>
      <c r="J58" s="129">
        <v>52817.45</v>
      </c>
      <c r="K58" s="116"/>
      <c r="L58" s="135">
        <f t="shared" ref="L58" si="2">SUM(L16:L57)</f>
        <v>51345</v>
      </c>
      <c r="M58" s="135"/>
      <c r="N58" s="129">
        <v>96643.7</v>
      </c>
      <c r="O58" s="116"/>
      <c r="P58" s="135">
        <f t="shared" ref="P58:R58" si="3">SUM(P16:P57)</f>
        <v>39113.480000000003</v>
      </c>
      <c r="Q58" s="198"/>
      <c r="R58" s="129">
        <f t="shared" si="3"/>
        <v>0</v>
      </c>
      <c r="S58" s="116"/>
      <c r="T58" s="135">
        <f t="shared" ref="T58:V58" si="4">SUM(T16:T57)</f>
        <v>13007.4</v>
      </c>
      <c r="U58" s="135"/>
      <c r="V58" s="129">
        <f t="shared" si="4"/>
        <v>0</v>
      </c>
      <c r="W58" s="116"/>
      <c r="X58" s="135">
        <f t="shared" ref="X58" si="5">SUM(X16:X57)</f>
        <v>13423</v>
      </c>
      <c r="Y58" s="135"/>
      <c r="Z58" s="129">
        <v>6547</v>
      </c>
      <c r="AA58" s="116"/>
      <c r="AB58" s="135">
        <f t="shared" ref="AB58" si="6">SUM(AB16:AB57)</f>
        <v>5705</v>
      </c>
      <c r="AC58" s="135"/>
      <c r="AD58" s="129">
        <v>3812</v>
      </c>
      <c r="AE58" s="116"/>
      <c r="AF58" s="135">
        <f t="shared" ref="AF58:AH58" si="7">SUM(AF16:AF57)</f>
        <v>0</v>
      </c>
      <c r="AG58" s="135"/>
      <c r="AH58" s="129">
        <f t="shared" si="7"/>
        <v>0</v>
      </c>
      <c r="AI58" s="116"/>
      <c r="AJ58" s="135">
        <f>SUM(AJ16:AJ57)</f>
        <v>0</v>
      </c>
      <c r="AK58" s="135"/>
      <c r="AL58" s="129"/>
      <c r="AM58" s="1"/>
      <c r="AN58" s="129">
        <f>AJ58+AF58+AB58+X58+T58+P58+L58+H58+D58</f>
        <v>430227.103856</v>
      </c>
      <c r="AO58" s="139"/>
    </row>
    <row r="59" spans="2:41" ht="15.75" thickBot="1" x14ac:dyDescent="0.3">
      <c r="C59" s="18" t="s">
        <v>51</v>
      </c>
      <c r="D59" s="129">
        <f>D15-D58</f>
        <v>89508</v>
      </c>
      <c r="E59" s="193"/>
      <c r="F59" s="129">
        <f t="shared" ref="F59" si="8">F15-F58</f>
        <v>-141769.29999999999</v>
      </c>
      <c r="G59" s="116"/>
      <c r="H59" s="129">
        <f t="shared" ref="H59" si="9">H15-H58</f>
        <v>-236141.223856</v>
      </c>
      <c r="I59" s="129"/>
      <c r="J59" s="129">
        <f t="shared" ref="J59:AL59" si="10">J15-J58</f>
        <v>37970.550000000003</v>
      </c>
      <c r="K59" s="116"/>
      <c r="L59" s="129">
        <f t="shared" ref="L59" si="11">L15-L58</f>
        <v>-38845</v>
      </c>
      <c r="M59" s="129"/>
      <c r="N59" s="129">
        <f t="shared" si="10"/>
        <v>-86643.7</v>
      </c>
      <c r="O59" s="116"/>
      <c r="P59" s="129">
        <f t="shared" ref="P59" si="12">P15-P58</f>
        <v>-26613.480000000003</v>
      </c>
      <c r="Q59" s="193"/>
      <c r="R59" s="129">
        <f t="shared" si="10"/>
        <v>6000</v>
      </c>
      <c r="S59" s="116"/>
      <c r="T59" s="129">
        <f t="shared" ref="T59" si="13">T15-T58</f>
        <v>-13007.4</v>
      </c>
      <c r="U59" s="129"/>
      <c r="V59" s="129">
        <f t="shared" si="10"/>
        <v>0</v>
      </c>
      <c r="W59" s="116"/>
      <c r="X59" s="129">
        <f t="shared" ref="X59" si="14">X15-X58</f>
        <v>-13423</v>
      </c>
      <c r="Y59" s="129"/>
      <c r="Z59" s="129">
        <f t="shared" si="10"/>
        <v>-4884.5</v>
      </c>
      <c r="AA59" s="116"/>
      <c r="AB59" s="129">
        <f t="shared" ref="AB59" si="15">AB15-AB58</f>
        <v>-5705</v>
      </c>
      <c r="AC59" s="129"/>
      <c r="AD59" s="129">
        <f t="shared" si="10"/>
        <v>-3812</v>
      </c>
      <c r="AE59" s="116"/>
      <c r="AF59" s="129">
        <f t="shared" ref="AF59" si="16">AF15-AF58</f>
        <v>0</v>
      </c>
      <c r="AG59" s="129"/>
      <c r="AH59" s="129">
        <f t="shared" si="10"/>
        <v>0</v>
      </c>
      <c r="AI59" s="116"/>
      <c r="AJ59" s="129">
        <f t="shared" ref="AJ59" si="17">AJ15-AJ58</f>
        <v>0</v>
      </c>
      <c r="AK59" s="129"/>
      <c r="AL59" s="129">
        <f t="shared" si="10"/>
        <v>0</v>
      </c>
      <c r="AM59" s="116"/>
      <c r="AN59" s="129">
        <f>AN15-AN58</f>
        <v>-244227.103856</v>
      </c>
      <c r="AO59" s="143"/>
    </row>
    <row r="60" spans="2:41" x14ac:dyDescent="0.25">
      <c r="D60" s="19"/>
      <c r="E60" s="195"/>
      <c r="F60" s="19"/>
      <c r="G60" s="9"/>
      <c r="H60" s="19"/>
      <c r="I60" s="19"/>
      <c r="J60" s="19"/>
      <c r="K60" s="9"/>
      <c r="L60" s="19"/>
      <c r="M60" s="19"/>
      <c r="N60" s="19"/>
      <c r="O60" s="9"/>
      <c r="P60" s="19"/>
      <c r="Q60" s="195"/>
      <c r="R60" s="19"/>
      <c r="S60" s="9"/>
      <c r="T60" s="19"/>
      <c r="U60" s="19"/>
      <c r="V60" s="19"/>
      <c r="W60" s="9"/>
      <c r="X60" s="19"/>
      <c r="Y60" s="19"/>
      <c r="Z60" s="19"/>
      <c r="AA60" s="9"/>
      <c r="AB60" s="19"/>
      <c r="AC60" s="19"/>
      <c r="AD60" s="19"/>
      <c r="AE60" s="9"/>
      <c r="AF60" s="19"/>
      <c r="AG60" s="19"/>
      <c r="AH60" s="19"/>
      <c r="AI60" s="9"/>
      <c r="AJ60" s="19"/>
      <c r="AK60" s="19"/>
      <c r="AL60" s="19"/>
      <c r="AM60" s="1"/>
      <c r="AN60" s="1"/>
      <c r="AO60" s="1"/>
    </row>
    <row r="61" spans="2:41" ht="14.45" customHeight="1" x14ac:dyDescent="0.25">
      <c r="D61" s="268" t="s">
        <v>254</v>
      </c>
      <c r="E61" s="268"/>
      <c r="F61" s="268"/>
      <c r="H61" s="268" t="s">
        <v>185</v>
      </c>
      <c r="I61" s="268"/>
      <c r="J61" s="268"/>
      <c r="L61" s="268"/>
      <c r="M61" s="268"/>
      <c r="N61" s="268"/>
      <c r="P61" s="268" t="s">
        <v>235</v>
      </c>
      <c r="Q61" s="268"/>
      <c r="R61" s="268"/>
      <c r="T61" s="268"/>
      <c r="U61" s="268"/>
      <c r="V61" s="268"/>
      <c r="X61" s="268" t="s">
        <v>236</v>
      </c>
      <c r="Y61" s="268"/>
      <c r="Z61" s="268"/>
      <c r="AB61" s="268" t="s">
        <v>238</v>
      </c>
      <c r="AC61" s="268"/>
      <c r="AD61" s="268"/>
      <c r="AF61" s="268" t="s">
        <v>237</v>
      </c>
      <c r="AG61" s="268"/>
      <c r="AH61" s="268"/>
      <c r="AJ61" s="268"/>
      <c r="AK61" s="268"/>
      <c r="AL61" s="268"/>
    </row>
    <row r="62" spans="2:41" x14ac:dyDescent="0.25">
      <c r="D62" s="268"/>
      <c r="E62" s="268"/>
      <c r="F62" s="268"/>
      <c r="H62" s="268"/>
      <c r="I62" s="268"/>
      <c r="J62" s="268"/>
      <c r="L62" s="268"/>
      <c r="M62" s="268"/>
      <c r="N62" s="268"/>
      <c r="P62" s="268"/>
      <c r="Q62" s="268"/>
      <c r="R62" s="268"/>
      <c r="T62" s="268"/>
      <c r="U62" s="268"/>
      <c r="V62" s="268"/>
      <c r="X62" s="268"/>
      <c r="Y62" s="268"/>
      <c r="Z62" s="268"/>
      <c r="AB62" s="268"/>
      <c r="AC62" s="268"/>
      <c r="AD62" s="268"/>
      <c r="AF62" s="268"/>
      <c r="AG62" s="268"/>
      <c r="AH62" s="268"/>
      <c r="AJ62" s="268"/>
      <c r="AK62" s="268"/>
      <c r="AL62" s="268"/>
    </row>
    <row r="63" spans="2:41" x14ac:dyDescent="0.25">
      <c r="D63" s="268"/>
      <c r="E63" s="268"/>
      <c r="F63" s="268"/>
      <c r="H63" s="268"/>
      <c r="I63" s="268"/>
      <c r="J63" s="268"/>
      <c r="L63" s="268"/>
      <c r="M63" s="268"/>
      <c r="N63" s="268"/>
      <c r="P63" s="268"/>
      <c r="Q63" s="268"/>
      <c r="R63" s="268"/>
      <c r="T63" s="268"/>
      <c r="U63" s="268"/>
      <c r="V63" s="268"/>
      <c r="X63" s="268"/>
      <c r="Y63" s="268"/>
      <c r="Z63" s="268"/>
      <c r="AB63" s="268"/>
      <c r="AC63" s="268"/>
      <c r="AD63" s="268"/>
      <c r="AF63" s="268"/>
      <c r="AG63" s="268"/>
      <c r="AH63" s="268"/>
      <c r="AJ63" s="268"/>
      <c r="AK63" s="268"/>
      <c r="AL63" s="268"/>
    </row>
    <row r="64" spans="2:41" x14ac:dyDescent="0.25">
      <c r="D64" s="268"/>
      <c r="E64" s="268"/>
      <c r="F64" s="268"/>
      <c r="H64" s="268"/>
      <c r="I64" s="268"/>
      <c r="J64" s="268"/>
      <c r="L64" s="268"/>
      <c r="M64" s="268"/>
      <c r="N64" s="268"/>
      <c r="P64" s="268"/>
      <c r="Q64" s="268"/>
      <c r="R64" s="268"/>
      <c r="T64" s="268"/>
      <c r="U64" s="268"/>
      <c r="V64" s="268"/>
      <c r="X64" s="268"/>
      <c r="Y64" s="268"/>
      <c r="Z64" s="268"/>
      <c r="AB64" s="268"/>
      <c r="AC64" s="268"/>
      <c r="AD64" s="268"/>
      <c r="AF64" s="268"/>
      <c r="AG64" s="268"/>
      <c r="AH64" s="268"/>
      <c r="AJ64" s="268"/>
      <c r="AK64" s="268"/>
      <c r="AL64" s="268"/>
    </row>
    <row r="65" spans="4:38" x14ac:dyDescent="0.25">
      <c r="D65" s="268"/>
      <c r="E65" s="268"/>
      <c r="F65" s="268"/>
      <c r="H65" s="268"/>
      <c r="I65" s="268"/>
      <c r="J65" s="268"/>
      <c r="L65" s="268"/>
      <c r="M65" s="268"/>
      <c r="N65" s="268"/>
      <c r="P65" s="268"/>
      <c r="Q65" s="268"/>
      <c r="R65" s="268"/>
      <c r="T65" s="268"/>
      <c r="U65" s="268"/>
      <c r="V65" s="268"/>
      <c r="X65" s="268"/>
      <c r="Y65" s="268"/>
      <c r="Z65" s="268"/>
      <c r="AB65" s="268"/>
      <c r="AC65" s="268"/>
      <c r="AD65" s="268"/>
      <c r="AF65" s="268"/>
      <c r="AG65" s="268"/>
      <c r="AH65" s="268"/>
      <c r="AJ65" s="268"/>
      <c r="AK65" s="268"/>
      <c r="AL65" s="268"/>
    </row>
  </sheetData>
  <sheetProtection algorithmName="SHA-512" hashValue="gka3fx4utqYtIJWDkyB2pQc+yoIvascgbsTbCbbFp27cQpWLfx3pBkjlO0XZxU0gDWjBR5kmkVd7g3r9vaCtqA==" saltValue="dJCfqecif/bQ4+FpNQzayA==" spinCount="100000" sheet="1" objects="1" scenarios="1" selectLockedCells="1"/>
  <protectedRanges>
    <protectedRange sqref="D23 I23 L23:M23 P23:Q23 T23:U23 X23:Y23 AB23:AC23 AF23:AG23 AJ23:AK23" name="Område2_2_1"/>
    <protectedRange password="8B3B" sqref="D25 I25 L25:M25 P25:Q25 T25:U25 X25:Y25 AF25:AG25 AJ25:AK25 AB25:AC25" name="Område1_2_1"/>
  </protectedRanges>
  <mergeCells count="20">
    <mergeCell ref="B2:C2"/>
    <mergeCell ref="E1:F1"/>
    <mergeCell ref="I1:J1"/>
    <mergeCell ref="Q1:R1"/>
    <mergeCell ref="U1:V1"/>
    <mergeCell ref="B1:C1"/>
    <mergeCell ref="M1:N1"/>
    <mergeCell ref="L61:N65"/>
    <mergeCell ref="H61:J65"/>
    <mergeCell ref="D61:F65"/>
    <mergeCell ref="AF61:AH65"/>
    <mergeCell ref="AK1:AL1"/>
    <mergeCell ref="Y1:Z1"/>
    <mergeCell ref="AC1:AD1"/>
    <mergeCell ref="AG1:AH1"/>
    <mergeCell ref="AB61:AD65"/>
    <mergeCell ref="X61:Z65"/>
    <mergeCell ref="T61:V65"/>
    <mergeCell ref="P61:R65"/>
    <mergeCell ref="AJ61:AL65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94"/>
  <sheetViews>
    <sheetView zoomScale="70" zoomScaleNormal="70" zoomScalePageLayoutView="90" workbookViewId="0">
      <pane xSplit="3" topLeftCell="D1" activePane="topRight" state="frozen"/>
      <selection pane="topRight" activeCell="H23" sqref="H23"/>
    </sheetView>
  </sheetViews>
  <sheetFormatPr baseColWidth="10" defaultColWidth="11.42578125" defaultRowHeight="15" x14ac:dyDescent="0.25"/>
  <cols>
    <col min="1" max="1" width="9.42578125" style="1" bestFit="1" customWidth="1"/>
    <col min="2" max="2" width="6.42578125" style="1" bestFit="1" customWidth="1"/>
    <col min="3" max="3" width="37.5703125" style="1" bestFit="1" customWidth="1"/>
    <col min="4" max="4" width="17.140625" style="9" bestFit="1" customWidth="1"/>
    <col min="5" max="5" width="27.7109375" style="1" bestFit="1" customWidth="1"/>
    <col min="6" max="6" width="19.140625" style="9" bestFit="1" customWidth="1"/>
    <col min="7" max="7" width="3" style="1" customWidth="1"/>
    <col min="8" max="8" width="17.140625" style="1" bestFit="1" customWidth="1"/>
    <col min="9" max="9" width="16.42578125" style="9" bestFit="1" customWidth="1"/>
    <col min="10" max="10" width="19.140625" style="1" bestFit="1" customWidth="1"/>
    <col min="11" max="11" width="8.85546875" style="1" customWidth="1"/>
    <col min="12" max="12" width="17.140625" style="9" customWidth="1"/>
    <col min="13" max="13" width="38.85546875" style="197" bestFit="1" customWidth="1"/>
    <col min="14" max="14" width="19.140625" style="1" customWidth="1"/>
    <col min="15" max="15" width="4.5703125" style="9" customWidth="1"/>
    <col min="16" max="16" width="17.140625" style="9" bestFit="1" customWidth="1"/>
    <col min="17" max="17" width="44.28515625" style="1" bestFit="1" customWidth="1"/>
    <col min="18" max="18" width="19.140625" style="1" bestFit="1" customWidth="1"/>
    <col min="19" max="19" width="4.5703125" style="9" customWidth="1"/>
    <col min="20" max="20" width="17.140625" style="1" bestFit="1" customWidth="1"/>
    <col min="21" max="21" width="45.42578125" style="197" bestFit="1" customWidth="1"/>
    <col min="22" max="22" width="19.140625" style="9" bestFit="1" customWidth="1"/>
    <col min="23" max="23" width="3.5703125" style="1" customWidth="1"/>
    <col min="24" max="24" width="17.140625" style="1" bestFit="1" customWidth="1"/>
    <col min="25" max="25" width="16.42578125" style="9" bestFit="1" customWidth="1"/>
    <col min="26" max="26" width="19.140625" style="1" bestFit="1" customWidth="1"/>
    <col min="27" max="27" width="4" style="1" customWidth="1"/>
    <col min="28" max="28" width="17.140625" style="9" bestFit="1" customWidth="1"/>
    <col min="29" max="29" width="16.42578125" style="1" bestFit="1" customWidth="1"/>
    <col min="30" max="30" width="19.140625" style="1" bestFit="1" customWidth="1"/>
    <col min="31" max="31" width="4.5703125" style="9" customWidth="1"/>
    <col min="32" max="32" width="17.140625" style="1" bestFit="1" customWidth="1"/>
    <col min="33" max="33" width="16.42578125" style="1" bestFit="1" customWidth="1"/>
    <col min="34" max="34" width="19.140625" style="9" bestFit="1" customWidth="1"/>
    <col min="35" max="35" width="4" style="1" customWidth="1"/>
    <col min="36" max="36" width="17.140625" style="1" bestFit="1" customWidth="1"/>
    <col min="37" max="37" width="16.42578125" style="9" bestFit="1" customWidth="1"/>
    <col min="38" max="38" width="19.140625" style="1" bestFit="1" customWidth="1"/>
    <col min="39" max="39" width="3.5703125" style="1" customWidth="1"/>
    <col min="40" max="40" width="17.140625" style="9" bestFit="1" customWidth="1"/>
    <col min="41" max="41" width="16.42578125" style="9" bestFit="1" customWidth="1"/>
    <col min="42" max="42" width="19.140625" style="9" bestFit="1" customWidth="1"/>
    <col min="43" max="43" width="4.5703125" style="9" customWidth="1"/>
    <col min="44" max="44" width="16.5703125" style="9" bestFit="1" customWidth="1"/>
    <col min="45" max="45" width="8.5703125" style="9" bestFit="1" customWidth="1"/>
    <col min="46" max="57" width="4.5703125" style="9" customWidth="1"/>
    <col min="58" max="16384" width="11.42578125" style="1"/>
  </cols>
  <sheetData>
    <row r="1" spans="1:57" ht="15.75" thickBot="1" x14ac:dyDescent="0.3">
      <c r="A1" s="39"/>
      <c r="B1" s="260" t="s">
        <v>76</v>
      </c>
      <c r="C1" s="261"/>
      <c r="D1" s="25">
        <v>80000</v>
      </c>
      <c r="E1" s="264" t="s">
        <v>53</v>
      </c>
      <c r="F1" s="265"/>
      <c r="G1" s="2"/>
      <c r="H1" s="25">
        <v>81000</v>
      </c>
      <c r="I1" s="264" t="s">
        <v>82</v>
      </c>
      <c r="J1" s="265" t="s">
        <v>54</v>
      </c>
      <c r="K1" s="2"/>
      <c r="L1" s="25">
        <v>81100</v>
      </c>
      <c r="M1" s="264" t="s">
        <v>270</v>
      </c>
      <c r="N1" s="265" t="s">
        <v>54</v>
      </c>
      <c r="O1" s="2"/>
      <c r="P1" s="25">
        <v>82000</v>
      </c>
      <c r="Q1" s="264" t="s">
        <v>83</v>
      </c>
      <c r="R1" s="265" t="s">
        <v>54</v>
      </c>
      <c r="S1" s="2"/>
      <c r="T1" s="25">
        <v>82100</v>
      </c>
      <c r="U1" s="264" t="s">
        <v>67</v>
      </c>
      <c r="V1" s="265"/>
      <c r="W1" s="2"/>
      <c r="X1" s="25">
        <v>82200</v>
      </c>
      <c r="Y1" s="264" t="s">
        <v>68</v>
      </c>
      <c r="Z1" s="265"/>
      <c r="AA1" s="2"/>
      <c r="AB1" s="25"/>
      <c r="AC1" s="264"/>
      <c r="AD1" s="265"/>
      <c r="AE1" s="2"/>
      <c r="AF1" s="25"/>
      <c r="AG1" s="264"/>
      <c r="AH1" s="265"/>
      <c r="AI1" s="2"/>
      <c r="AJ1" s="25"/>
      <c r="AK1" s="264"/>
      <c r="AL1" s="265"/>
      <c r="AN1" s="25"/>
      <c r="AO1" s="264"/>
      <c r="AP1" s="265"/>
      <c r="AQ1" s="1"/>
      <c r="AR1" s="1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thickBot="1" x14ac:dyDescent="0.35">
      <c r="A2" s="38"/>
      <c r="B2" s="260" t="s">
        <v>75</v>
      </c>
      <c r="C2" s="261"/>
      <c r="D2" s="20"/>
      <c r="E2" s="21"/>
      <c r="F2" s="22"/>
      <c r="G2" s="3"/>
      <c r="H2" s="20"/>
      <c r="I2" s="21"/>
      <c r="J2" s="22"/>
      <c r="K2" s="3"/>
      <c r="L2" s="20"/>
      <c r="M2" s="189"/>
      <c r="N2" s="22"/>
      <c r="O2" s="3"/>
      <c r="P2" s="20"/>
      <c r="Q2" s="21"/>
      <c r="R2" s="22"/>
      <c r="S2" s="3"/>
      <c r="T2" s="20"/>
      <c r="U2" s="189"/>
      <c r="V2" s="22"/>
      <c r="W2" s="3"/>
      <c r="X2" s="20"/>
      <c r="Y2" s="21"/>
      <c r="Z2" s="22"/>
      <c r="AA2" s="3"/>
      <c r="AB2" s="20"/>
      <c r="AC2" s="21"/>
      <c r="AD2" s="22"/>
      <c r="AE2" s="3"/>
      <c r="AF2" s="20"/>
      <c r="AG2" s="21"/>
      <c r="AH2" s="22"/>
      <c r="AI2" s="3"/>
      <c r="AJ2" s="20"/>
      <c r="AK2" s="21"/>
      <c r="AL2" s="22"/>
      <c r="AN2" s="20"/>
      <c r="AO2" s="21"/>
      <c r="AP2" s="22"/>
      <c r="AQ2" s="1"/>
      <c r="AR2" s="1"/>
      <c r="AS2" s="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thickBot="1" x14ac:dyDescent="0.35">
      <c r="B3" s="4" t="s">
        <v>0</v>
      </c>
      <c r="C3" s="24" t="s">
        <v>47</v>
      </c>
      <c r="D3" s="35" t="s">
        <v>71</v>
      </c>
      <c r="E3" s="36" t="s">
        <v>70</v>
      </c>
      <c r="F3" s="37" t="s">
        <v>72</v>
      </c>
      <c r="G3" s="5"/>
      <c r="H3" s="35" t="s">
        <v>71</v>
      </c>
      <c r="I3" s="36" t="s">
        <v>70</v>
      </c>
      <c r="J3" s="37" t="s">
        <v>72</v>
      </c>
      <c r="K3" s="5"/>
      <c r="L3" s="35" t="s">
        <v>71</v>
      </c>
      <c r="M3" s="190" t="s">
        <v>70</v>
      </c>
      <c r="N3" s="37" t="s">
        <v>72</v>
      </c>
      <c r="O3" s="5"/>
      <c r="P3" s="35" t="s">
        <v>71</v>
      </c>
      <c r="Q3" s="36" t="s">
        <v>70</v>
      </c>
      <c r="R3" s="37" t="s">
        <v>72</v>
      </c>
      <c r="S3" s="5"/>
      <c r="T3" s="35" t="s">
        <v>71</v>
      </c>
      <c r="U3" s="190" t="s">
        <v>70</v>
      </c>
      <c r="V3" s="37" t="s">
        <v>72</v>
      </c>
      <c r="W3" s="5"/>
      <c r="X3" s="35" t="s">
        <v>71</v>
      </c>
      <c r="Y3" s="36" t="s">
        <v>70</v>
      </c>
      <c r="Z3" s="37" t="s">
        <v>72</v>
      </c>
      <c r="AA3" s="5"/>
      <c r="AB3" s="35" t="s">
        <v>71</v>
      </c>
      <c r="AC3" s="36" t="s">
        <v>70</v>
      </c>
      <c r="AD3" s="37" t="s">
        <v>72</v>
      </c>
      <c r="AE3" s="5"/>
      <c r="AF3" s="35" t="s">
        <v>71</v>
      </c>
      <c r="AG3" s="36" t="s">
        <v>70</v>
      </c>
      <c r="AH3" s="37" t="s">
        <v>72</v>
      </c>
      <c r="AI3" s="5"/>
      <c r="AJ3" s="35" t="s">
        <v>71</v>
      </c>
      <c r="AK3" s="36" t="s">
        <v>70</v>
      </c>
      <c r="AL3" s="37" t="s">
        <v>72</v>
      </c>
      <c r="AN3" s="35" t="s">
        <v>71</v>
      </c>
      <c r="AO3" s="36" t="s">
        <v>70</v>
      </c>
      <c r="AP3" s="37" t="s">
        <v>72</v>
      </c>
      <c r="AQ3" s="1"/>
      <c r="AR3" s="133" t="s">
        <v>52</v>
      </c>
      <c r="AS3" s="137" t="s">
        <v>0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thickBot="1" x14ac:dyDescent="0.35">
      <c r="A4" s="6" t="s">
        <v>45</v>
      </c>
      <c r="B4" s="7">
        <v>3100</v>
      </c>
      <c r="C4" s="23" t="s">
        <v>3</v>
      </c>
      <c r="D4" s="113"/>
      <c r="E4" s="114"/>
      <c r="F4" s="115"/>
      <c r="G4" s="116"/>
      <c r="H4" s="113"/>
      <c r="I4" s="114"/>
      <c r="J4" s="115"/>
      <c r="K4" s="116"/>
      <c r="L4" s="113"/>
      <c r="M4" s="132"/>
      <c r="N4" s="115"/>
      <c r="O4" s="116"/>
      <c r="P4" s="113"/>
      <c r="Q4" s="114"/>
      <c r="R4" s="115"/>
      <c r="S4" s="116"/>
      <c r="T4" s="113"/>
      <c r="U4" s="132"/>
      <c r="V4" s="115"/>
      <c r="W4" s="116"/>
      <c r="X4" s="113"/>
      <c r="Y4" s="114"/>
      <c r="Z4" s="115"/>
      <c r="AA4" s="116"/>
      <c r="AB4" s="113"/>
      <c r="AC4" s="114"/>
      <c r="AD4" s="115"/>
      <c r="AE4" s="116"/>
      <c r="AF4" s="113"/>
      <c r="AG4" s="114"/>
      <c r="AH4" s="115"/>
      <c r="AI4" s="116"/>
      <c r="AJ4" s="113"/>
      <c r="AK4" s="114"/>
      <c r="AL4" s="115"/>
      <c r="AM4" s="130"/>
      <c r="AN4" s="113"/>
      <c r="AO4" s="114"/>
      <c r="AP4" s="115"/>
      <c r="AQ4" s="1"/>
      <c r="AR4" s="134">
        <f t="shared" ref="AR4:AR50" si="0">AN4+AJ4+AF4+AB4+X4+T4+P4+H4+D4+L4</f>
        <v>0</v>
      </c>
      <c r="AS4" s="138">
        <v>3100</v>
      </c>
    </row>
    <row r="5" spans="1:57" thickBot="1" x14ac:dyDescent="0.35">
      <c r="B5" s="7">
        <v>3120</v>
      </c>
      <c r="C5" s="8" t="s">
        <v>4</v>
      </c>
      <c r="D5" s="113"/>
      <c r="E5" s="114"/>
      <c r="F5" s="115"/>
      <c r="G5" s="116"/>
      <c r="H5" s="113"/>
      <c r="I5" s="114"/>
      <c r="J5" s="115"/>
      <c r="K5" s="116"/>
      <c r="L5" s="113"/>
      <c r="M5" s="132"/>
      <c r="N5" s="115"/>
      <c r="O5" s="116"/>
      <c r="P5" s="113">
        <v>5000</v>
      </c>
      <c r="Q5" s="114" t="s">
        <v>345</v>
      </c>
      <c r="R5" s="115"/>
      <c r="S5" s="116"/>
      <c r="T5" s="113"/>
      <c r="U5" s="132"/>
      <c r="V5" s="115"/>
      <c r="W5" s="116"/>
      <c r="X5" s="113"/>
      <c r="Y5" s="114"/>
      <c r="Z5" s="115"/>
      <c r="AA5" s="116"/>
      <c r="AB5" s="113"/>
      <c r="AC5" s="114"/>
      <c r="AD5" s="115"/>
      <c r="AE5" s="116"/>
      <c r="AF5" s="113"/>
      <c r="AG5" s="114"/>
      <c r="AH5" s="115"/>
      <c r="AI5" s="116"/>
      <c r="AJ5" s="113"/>
      <c r="AK5" s="114"/>
      <c r="AL5" s="115"/>
      <c r="AM5" s="130"/>
      <c r="AN5" s="113"/>
      <c r="AO5" s="114"/>
      <c r="AP5" s="115"/>
      <c r="AQ5" s="1"/>
      <c r="AR5" s="134">
        <f t="shared" si="0"/>
        <v>5000</v>
      </c>
      <c r="AS5" s="138">
        <v>3120</v>
      </c>
    </row>
    <row r="6" spans="1:57" hidden="1" thickBot="1" x14ac:dyDescent="0.35">
      <c r="B6" s="7">
        <v>3400</v>
      </c>
      <c r="C6" s="8" t="s">
        <v>5</v>
      </c>
      <c r="D6" s="113"/>
      <c r="E6" s="114"/>
      <c r="F6" s="115"/>
      <c r="G6" s="116"/>
      <c r="H6" s="113"/>
      <c r="I6" s="114"/>
      <c r="J6" s="115"/>
      <c r="K6" s="116"/>
      <c r="L6" s="113"/>
      <c r="M6" s="132"/>
      <c r="N6" s="115"/>
      <c r="O6" s="116"/>
      <c r="P6" s="113"/>
      <c r="Q6" s="114"/>
      <c r="R6" s="115"/>
      <c r="S6" s="116"/>
      <c r="T6" s="113"/>
      <c r="U6" s="132"/>
      <c r="V6" s="115"/>
      <c r="W6" s="116"/>
      <c r="X6" s="113"/>
      <c r="Y6" s="114"/>
      <c r="Z6" s="115"/>
      <c r="AA6" s="116"/>
      <c r="AB6" s="113"/>
      <c r="AC6" s="114"/>
      <c r="AD6" s="115"/>
      <c r="AE6" s="116"/>
      <c r="AF6" s="113"/>
      <c r="AG6" s="114"/>
      <c r="AH6" s="115"/>
      <c r="AI6" s="116"/>
      <c r="AJ6" s="113"/>
      <c r="AK6" s="114"/>
      <c r="AL6" s="115"/>
      <c r="AM6" s="130"/>
      <c r="AN6" s="113"/>
      <c r="AO6" s="114"/>
      <c r="AP6" s="115"/>
      <c r="AQ6" s="1"/>
      <c r="AR6" s="134">
        <f t="shared" si="0"/>
        <v>0</v>
      </c>
      <c r="AS6" s="138">
        <v>3400</v>
      </c>
    </row>
    <row r="7" spans="1:57" hidden="1" thickBot="1" x14ac:dyDescent="0.35">
      <c r="B7" s="7">
        <v>3410</v>
      </c>
      <c r="C7" s="8" t="s">
        <v>6</v>
      </c>
      <c r="D7" s="113"/>
      <c r="E7" s="114"/>
      <c r="F7" s="115"/>
      <c r="G7" s="116"/>
      <c r="H7" s="113"/>
      <c r="I7" s="114"/>
      <c r="J7" s="115"/>
      <c r="K7" s="116"/>
      <c r="L7" s="113"/>
      <c r="M7" s="132"/>
      <c r="N7" s="115"/>
      <c r="O7" s="116"/>
      <c r="P7" s="113"/>
      <c r="Q7" s="114"/>
      <c r="R7" s="115"/>
      <c r="S7" s="116"/>
      <c r="T7" s="113"/>
      <c r="U7" s="132"/>
      <c r="V7" s="115"/>
      <c r="W7" s="116"/>
      <c r="X7" s="113"/>
      <c r="Y7" s="114"/>
      <c r="Z7" s="115"/>
      <c r="AA7" s="116"/>
      <c r="AB7" s="113"/>
      <c r="AC7" s="114"/>
      <c r="AD7" s="115"/>
      <c r="AE7" s="116"/>
      <c r="AF7" s="113"/>
      <c r="AG7" s="114"/>
      <c r="AH7" s="115"/>
      <c r="AI7" s="116"/>
      <c r="AJ7" s="113"/>
      <c r="AK7" s="114"/>
      <c r="AL7" s="115"/>
      <c r="AM7" s="130"/>
      <c r="AN7" s="113"/>
      <c r="AO7" s="114"/>
      <c r="AP7" s="115"/>
      <c r="AQ7" s="1"/>
      <c r="AR7" s="134">
        <f t="shared" si="0"/>
        <v>0</v>
      </c>
      <c r="AS7" s="138">
        <v>3410</v>
      </c>
    </row>
    <row r="8" spans="1:57" hidden="1" thickBot="1" x14ac:dyDescent="0.35">
      <c r="B8" s="7">
        <v>3900</v>
      </c>
      <c r="C8" s="8" t="s">
        <v>7</v>
      </c>
      <c r="D8" s="113"/>
      <c r="E8" s="114"/>
      <c r="F8" s="115"/>
      <c r="G8" s="116"/>
      <c r="H8" s="113"/>
      <c r="I8" s="114"/>
      <c r="J8" s="115"/>
      <c r="K8" s="116"/>
      <c r="L8" s="113"/>
      <c r="M8" s="132"/>
      <c r="N8" s="115"/>
      <c r="O8" s="116"/>
      <c r="P8" s="113"/>
      <c r="Q8" s="114"/>
      <c r="R8" s="115"/>
      <c r="S8" s="116"/>
      <c r="T8" s="113"/>
      <c r="U8" s="132"/>
      <c r="V8" s="115"/>
      <c r="W8" s="116"/>
      <c r="X8" s="113"/>
      <c r="Y8" s="114"/>
      <c r="Z8" s="115"/>
      <c r="AA8" s="116"/>
      <c r="AB8" s="113"/>
      <c r="AC8" s="114"/>
      <c r="AD8" s="115"/>
      <c r="AE8" s="116"/>
      <c r="AF8" s="113"/>
      <c r="AG8" s="114"/>
      <c r="AH8" s="115"/>
      <c r="AI8" s="116"/>
      <c r="AJ8" s="113"/>
      <c r="AK8" s="114"/>
      <c r="AL8" s="115"/>
      <c r="AM8" s="130"/>
      <c r="AN8" s="113"/>
      <c r="AO8" s="114"/>
      <c r="AP8" s="115"/>
      <c r="AQ8" s="1"/>
      <c r="AR8" s="134">
        <f t="shared" si="0"/>
        <v>0</v>
      </c>
      <c r="AS8" s="138">
        <v>3900</v>
      </c>
    </row>
    <row r="9" spans="1:57" ht="58.15" thickBot="1" x14ac:dyDescent="0.35">
      <c r="B9" s="7">
        <v>3910</v>
      </c>
      <c r="C9" s="8" t="s">
        <v>8</v>
      </c>
      <c r="D9" s="113"/>
      <c r="E9" s="114"/>
      <c r="F9" s="115"/>
      <c r="G9" s="116"/>
      <c r="H9" s="113"/>
      <c r="I9" s="114"/>
      <c r="J9" s="115"/>
      <c r="K9" s="116"/>
      <c r="L9" s="113">
        <v>46500</v>
      </c>
      <c r="M9" s="132"/>
      <c r="N9" s="115"/>
      <c r="O9" s="116"/>
      <c r="P9" s="113">
        <v>22500</v>
      </c>
      <c r="Q9" s="132" t="s">
        <v>344</v>
      </c>
      <c r="R9" s="115"/>
      <c r="S9" s="116"/>
      <c r="T9" s="113"/>
      <c r="U9" s="132"/>
      <c r="V9" s="115"/>
      <c r="W9" s="116"/>
      <c r="X9" s="113"/>
      <c r="Y9" s="114"/>
      <c r="Z9" s="115"/>
      <c r="AA9" s="116"/>
      <c r="AB9" s="113"/>
      <c r="AC9" s="114"/>
      <c r="AD9" s="115"/>
      <c r="AE9" s="116"/>
      <c r="AF9" s="113"/>
      <c r="AG9" s="114"/>
      <c r="AH9" s="115"/>
      <c r="AI9" s="116"/>
      <c r="AJ9" s="113"/>
      <c r="AK9" s="114"/>
      <c r="AL9" s="115"/>
      <c r="AM9" s="130"/>
      <c r="AN9" s="113"/>
      <c r="AO9" s="114"/>
      <c r="AP9" s="115"/>
      <c r="AQ9" s="1"/>
      <c r="AR9" s="134">
        <f t="shared" si="0"/>
        <v>69000</v>
      </c>
      <c r="AS9" s="138">
        <v>3910</v>
      </c>
    </row>
    <row r="10" spans="1:57" hidden="1" thickBot="1" x14ac:dyDescent="0.35">
      <c r="B10" s="10">
        <v>3950</v>
      </c>
      <c r="C10" s="11" t="s">
        <v>9</v>
      </c>
      <c r="D10" s="117"/>
      <c r="E10" s="118"/>
      <c r="F10" s="119"/>
      <c r="G10" s="116"/>
      <c r="H10" s="117"/>
      <c r="I10" s="118"/>
      <c r="J10" s="119"/>
      <c r="K10" s="116"/>
      <c r="L10" s="117"/>
      <c r="M10" s="192"/>
      <c r="N10" s="119"/>
      <c r="O10" s="116"/>
      <c r="P10" s="117"/>
      <c r="Q10" s="118"/>
      <c r="R10" s="119"/>
      <c r="S10" s="116"/>
      <c r="T10" s="117"/>
      <c r="U10" s="192"/>
      <c r="V10" s="119"/>
      <c r="W10" s="116"/>
      <c r="X10" s="117"/>
      <c r="Y10" s="118"/>
      <c r="Z10" s="119"/>
      <c r="AA10" s="116"/>
      <c r="AB10" s="117"/>
      <c r="AC10" s="118"/>
      <c r="AD10" s="119"/>
      <c r="AE10" s="116"/>
      <c r="AF10" s="117"/>
      <c r="AG10" s="118"/>
      <c r="AH10" s="119"/>
      <c r="AI10" s="116"/>
      <c r="AJ10" s="117"/>
      <c r="AK10" s="118"/>
      <c r="AL10" s="119"/>
      <c r="AM10" s="130"/>
      <c r="AN10" s="117"/>
      <c r="AO10" s="118"/>
      <c r="AP10" s="119"/>
      <c r="AQ10" s="1"/>
      <c r="AR10" s="134">
        <f t="shared" si="0"/>
        <v>0</v>
      </c>
      <c r="AS10" s="142">
        <v>3950</v>
      </c>
    </row>
    <row r="11" spans="1:57" thickBot="1" x14ac:dyDescent="0.35">
      <c r="B11" s="30"/>
      <c r="C11" s="31" t="s">
        <v>73</v>
      </c>
      <c r="D11" s="120">
        <f>SUM(D4:D10)</f>
        <v>0</v>
      </c>
      <c r="E11" s="120"/>
      <c r="F11" s="120">
        <f t="shared" ref="F11" si="1">SUM(F4:F10)</f>
        <v>0</v>
      </c>
      <c r="G11" s="116"/>
      <c r="H11" s="120">
        <f>SUM(H4:H10)</f>
        <v>0</v>
      </c>
      <c r="I11" s="120"/>
      <c r="J11" s="120"/>
      <c r="K11" s="116"/>
      <c r="L11" s="120">
        <f>SUM(L4:L10)</f>
        <v>46500</v>
      </c>
      <c r="M11" s="191"/>
      <c r="N11" s="120"/>
      <c r="O11" s="116"/>
      <c r="P11" s="120">
        <f>SUM(P4:P10)</f>
        <v>27500</v>
      </c>
      <c r="Q11" s="120"/>
      <c r="R11" s="120"/>
      <c r="S11" s="116"/>
      <c r="T11" s="120">
        <f>SUM(T4:T10)</f>
        <v>0</v>
      </c>
      <c r="U11" s="191"/>
      <c r="V11" s="120">
        <f t="shared" ref="V11" si="2">SUM(V4:V10)</f>
        <v>0</v>
      </c>
      <c r="W11" s="116"/>
      <c r="X11" s="120">
        <f>SUM(X4:X10)</f>
        <v>0</v>
      </c>
      <c r="Y11" s="120"/>
      <c r="Z11" s="120">
        <f t="shared" ref="Z11" si="3">SUM(Z4:Z10)</f>
        <v>0</v>
      </c>
      <c r="AA11" s="116"/>
      <c r="AB11" s="120"/>
      <c r="AC11" s="121"/>
      <c r="AD11" s="122"/>
      <c r="AE11" s="116"/>
      <c r="AF11" s="120"/>
      <c r="AG11" s="121"/>
      <c r="AH11" s="122"/>
      <c r="AI11" s="116"/>
      <c r="AJ11" s="120"/>
      <c r="AK11" s="121"/>
      <c r="AL11" s="122"/>
      <c r="AM11" s="130"/>
      <c r="AN11" s="120"/>
      <c r="AO11" s="121"/>
      <c r="AP11" s="122"/>
      <c r="AQ11" s="1"/>
      <c r="AR11" s="134">
        <f t="shared" si="0"/>
        <v>74000</v>
      </c>
      <c r="AS11" s="139"/>
    </row>
    <row r="12" spans="1:57" ht="15.75" thickBot="1" x14ac:dyDescent="0.3">
      <c r="A12" s="27" t="s">
        <v>46</v>
      </c>
      <c r="B12" s="26">
        <v>5000</v>
      </c>
      <c r="C12" s="29" t="s">
        <v>10</v>
      </c>
      <c r="D12" s="123"/>
      <c r="E12" s="114"/>
      <c r="F12" s="115"/>
      <c r="G12" s="116"/>
      <c r="H12" s="123">
        <f>Lønnsmatrise!P55</f>
        <v>88000</v>
      </c>
      <c r="I12" s="114"/>
      <c r="J12" s="115"/>
      <c r="K12" s="116"/>
      <c r="L12" s="123"/>
      <c r="M12" s="132"/>
      <c r="N12" s="115"/>
      <c r="O12" s="116"/>
      <c r="P12" s="123">
        <f>Lønnsmatrise!R55</f>
        <v>32000</v>
      </c>
      <c r="Q12" s="114"/>
      <c r="R12" s="115"/>
      <c r="S12" s="116"/>
      <c r="T12" s="123"/>
      <c r="U12" s="132"/>
      <c r="V12" s="115"/>
      <c r="W12" s="116"/>
      <c r="X12" s="123"/>
      <c r="Y12" s="114"/>
      <c r="Z12" s="115"/>
      <c r="AA12" s="116"/>
      <c r="AB12" s="123"/>
      <c r="AC12" s="114"/>
      <c r="AD12" s="115"/>
      <c r="AE12" s="116"/>
      <c r="AF12" s="123"/>
      <c r="AG12" s="114"/>
      <c r="AH12" s="115"/>
      <c r="AI12" s="116"/>
      <c r="AJ12" s="123"/>
      <c r="AK12" s="114"/>
      <c r="AL12" s="115"/>
      <c r="AM12" s="130"/>
      <c r="AN12" s="123"/>
      <c r="AO12" s="114"/>
      <c r="AP12" s="115"/>
      <c r="AQ12" s="1"/>
      <c r="AR12" s="134">
        <f t="shared" si="0"/>
        <v>120000</v>
      </c>
      <c r="AS12" s="140">
        <v>5000</v>
      </c>
    </row>
    <row r="13" spans="1:57" hidden="1" thickBot="1" x14ac:dyDescent="0.35">
      <c r="B13" s="7">
        <v>5001</v>
      </c>
      <c r="C13" s="15" t="s">
        <v>11</v>
      </c>
      <c r="D13" s="123"/>
      <c r="E13" s="114"/>
      <c r="F13" s="115"/>
      <c r="G13" s="116"/>
      <c r="H13" s="123">
        <f>Lønnsmatrise!P56</f>
        <v>0</v>
      </c>
      <c r="I13" s="114"/>
      <c r="J13" s="115"/>
      <c r="K13" s="116"/>
      <c r="L13" s="123"/>
      <c r="M13" s="132"/>
      <c r="N13" s="115"/>
      <c r="O13" s="116"/>
      <c r="P13" s="123">
        <f>Lønnsmatrise!R56</f>
        <v>0</v>
      </c>
      <c r="Q13" s="114"/>
      <c r="R13" s="115"/>
      <c r="S13" s="116"/>
      <c r="T13" s="123"/>
      <c r="U13" s="132"/>
      <c r="V13" s="115"/>
      <c r="W13" s="116"/>
      <c r="X13" s="123"/>
      <c r="Y13" s="114"/>
      <c r="Z13" s="115"/>
      <c r="AA13" s="116"/>
      <c r="AB13" s="123"/>
      <c r="AC13" s="114"/>
      <c r="AD13" s="115"/>
      <c r="AE13" s="116"/>
      <c r="AF13" s="123"/>
      <c r="AG13" s="114"/>
      <c r="AH13" s="115"/>
      <c r="AI13" s="116"/>
      <c r="AJ13" s="123"/>
      <c r="AK13" s="114"/>
      <c r="AL13" s="115"/>
      <c r="AM13" s="130"/>
      <c r="AN13" s="123"/>
      <c r="AO13" s="114"/>
      <c r="AP13" s="115"/>
      <c r="AQ13" s="1"/>
      <c r="AR13" s="134">
        <f t="shared" si="0"/>
        <v>0</v>
      </c>
      <c r="AS13" s="138">
        <v>5001</v>
      </c>
    </row>
    <row r="14" spans="1:57" hidden="1" thickBot="1" x14ac:dyDescent="0.35">
      <c r="B14" s="7">
        <v>5004</v>
      </c>
      <c r="C14" s="15" t="s">
        <v>12</v>
      </c>
      <c r="D14" s="123"/>
      <c r="E14" s="114"/>
      <c r="F14" s="115"/>
      <c r="G14" s="116"/>
      <c r="H14" s="123">
        <f>Lønnsmatrise!P57</f>
        <v>0</v>
      </c>
      <c r="I14" s="114"/>
      <c r="J14" s="115"/>
      <c r="K14" s="116"/>
      <c r="L14" s="123"/>
      <c r="M14" s="132"/>
      <c r="N14" s="115"/>
      <c r="O14" s="116"/>
      <c r="P14" s="123">
        <f>Lønnsmatrise!R57</f>
        <v>0</v>
      </c>
      <c r="Q14" s="114"/>
      <c r="R14" s="115"/>
      <c r="S14" s="116"/>
      <c r="T14" s="123"/>
      <c r="U14" s="132"/>
      <c r="V14" s="115"/>
      <c r="W14" s="116"/>
      <c r="X14" s="123"/>
      <c r="Y14" s="114"/>
      <c r="Z14" s="115"/>
      <c r="AA14" s="116"/>
      <c r="AB14" s="123"/>
      <c r="AC14" s="114"/>
      <c r="AD14" s="115"/>
      <c r="AE14" s="116"/>
      <c r="AF14" s="123"/>
      <c r="AG14" s="114"/>
      <c r="AH14" s="115"/>
      <c r="AI14" s="116"/>
      <c r="AJ14" s="123"/>
      <c r="AK14" s="114"/>
      <c r="AL14" s="115"/>
      <c r="AM14" s="130"/>
      <c r="AN14" s="123"/>
      <c r="AO14" s="114"/>
      <c r="AP14" s="115"/>
      <c r="AQ14" s="1"/>
      <c r="AR14" s="134">
        <f t="shared" si="0"/>
        <v>0</v>
      </c>
      <c r="AS14" s="138">
        <v>5004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ht="15.75" thickBot="1" x14ac:dyDescent="0.3">
      <c r="A15" s="12"/>
      <c r="B15" s="14">
        <v>5180</v>
      </c>
      <c r="C15" s="17" t="s">
        <v>13</v>
      </c>
      <c r="D15" s="123"/>
      <c r="E15" s="125"/>
      <c r="F15" s="126"/>
      <c r="G15" s="127"/>
      <c r="H15" s="123">
        <f>Lønnsmatrise!P58</f>
        <v>10560</v>
      </c>
      <c r="I15" s="125"/>
      <c r="J15" s="126"/>
      <c r="K15" s="127"/>
      <c r="L15" s="123"/>
      <c r="M15" s="196"/>
      <c r="N15" s="126"/>
      <c r="O15" s="127"/>
      <c r="P15" s="123">
        <f>Lønnsmatrise!R58</f>
        <v>3840</v>
      </c>
      <c r="Q15" s="125"/>
      <c r="R15" s="126"/>
      <c r="S15" s="127"/>
      <c r="T15" s="123">
        <f>SUM(T12*0.12)</f>
        <v>0</v>
      </c>
      <c r="U15" s="196"/>
      <c r="V15" s="126"/>
      <c r="W15" s="127"/>
      <c r="X15" s="123">
        <f>SUM(X12*0.12)</f>
        <v>0</v>
      </c>
      <c r="Y15" s="125"/>
      <c r="Z15" s="126"/>
      <c r="AA15" s="127"/>
      <c r="AB15" s="123">
        <f>SUM(AB12*0.12)</f>
        <v>0</v>
      </c>
      <c r="AC15" s="125"/>
      <c r="AD15" s="126"/>
      <c r="AE15" s="127"/>
      <c r="AF15" s="123">
        <f>SUM(AF12*0.12)</f>
        <v>0</v>
      </c>
      <c r="AG15" s="125"/>
      <c r="AH15" s="126"/>
      <c r="AI15" s="127"/>
      <c r="AJ15" s="123">
        <f>SUM(AJ12*0.12)</f>
        <v>0</v>
      </c>
      <c r="AK15" s="125"/>
      <c r="AL15" s="126"/>
      <c r="AM15" s="130"/>
      <c r="AN15" s="123">
        <f>SUM(AN12*0.12)</f>
        <v>0</v>
      </c>
      <c r="AO15" s="125"/>
      <c r="AP15" s="126"/>
      <c r="AQ15" s="1"/>
      <c r="AR15" s="134">
        <f t="shared" si="0"/>
        <v>14400</v>
      </c>
      <c r="AS15" s="141">
        <v>5180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.75" thickBot="1" x14ac:dyDescent="0.3">
      <c r="A16" s="12"/>
      <c r="B16" s="7">
        <v>5182</v>
      </c>
      <c r="C16" s="15" t="s">
        <v>14</v>
      </c>
      <c r="D16" s="123"/>
      <c r="E16" s="125"/>
      <c r="F16" s="126"/>
      <c r="G16" s="127"/>
      <c r="H16" s="123">
        <f>Lønnsmatrise!P59</f>
        <v>1488.9599999999998</v>
      </c>
      <c r="I16" s="125"/>
      <c r="J16" s="126"/>
      <c r="K16" s="127"/>
      <c r="L16" s="123"/>
      <c r="M16" s="196"/>
      <c r="N16" s="126"/>
      <c r="O16" s="127"/>
      <c r="P16" s="123">
        <f>Lønnsmatrise!R59</f>
        <v>541.43999999999994</v>
      </c>
      <c r="Q16" s="125"/>
      <c r="R16" s="126"/>
      <c r="S16" s="127"/>
      <c r="T16" s="123">
        <f>SUM(T15*0.141)</f>
        <v>0</v>
      </c>
      <c r="U16" s="196"/>
      <c r="V16" s="126"/>
      <c r="W16" s="127"/>
      <c r="X16" s="123">
        <f>SUM(X15*0.141)</f>
        <v>0</v>
      </c>
      <c r="Y16" s="125"/>
      <c r="Z16" s="126"/>
      <c r="AA16" s="127"/>
      <c r="AB16" s="123">
        <f>SUM(AB15*0.141)</f>
        <v>0</v>
      </c>
      <c r="AC16" s="125"/>
      <c r="AD16" s="126"/>
      <c r="AE16" s="127"/>
      <c r="AF16" s="123">
        <f>SUM(AF15*0.141)</f>
        <v>0</v>
      </c>
      <c r="AG16" s="125"/>
      <c r="AH16" s="126"/>
      <c r="AI16" s="127"/>
      <c r="AJ16" s="123">
        <f>SUM(AJ15*0.141)</f>
        <v>0</v>
      </c>
      <c r="AK16" s="125"/>
      <c r="AL16" s="126"/>
      <c r="AM16" s="130"/>
      <c r="AN16" s="123">
        <f>SUM(AN15*0.141)</f>
        <v>0</v>
      </c>
      <c r="AO16" s="125"/>
      <c r="AP16" s="126"/>
      <c r="AQ16" s="1"/>
      <c r="AR16" s="134">
        <f t="shared" si="0"/>
        <v>2030.3999999999996</v>
      </c>
      <c r="AS16" s="138">
        <v>5182</v>
      </c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idden="1" thickBot="1" x14ac:dyDescent="0.35">
      <c r="A17" s="12"/>
      <c r="B17" s="7">
        <v>5211</v>
      </c>
      <c r="C17" s="15" t="s">
        <v>15</v>
      </c>
      <c r="D17" s="113"/>
      <c r="E17" s="125"/>
      <c r="F17" s="126"/>
      <c r="G17" s="127"/>
      <c r="H17" s="123"/>
      <c r="I17" s="125"/>
      <c r="J17" s="126"/>
      <c r="K17" s="127"/>
      <c r="L17" s="113"/>
      <c r="M17" s="196"/>
      <c r="N17" s="126"/>
      <c r="O17" s="127"/>
      <c r="P17" s="113"/>
      <c r="Q17" s="125"/>
      <c r="R17" s="126"/>
      <c r="S17" s="127"/>
      <c r="T17" s="113"/>
      <c r="U17" s="196"/>
      <c r="V17" s="126"/>
      <c r="W17" s="127"/>
      <c r="X17" s="113"/>
      <c r="Y17" s="125"/>
      <c r="Z17" s="126"/>
      <c r="AA17" s="127"/>
      <c r="AB17" s="113"/>
      <c r="AC17" s="125"/>
      <c r="AD17" s="126"/>
      <c r="AE17" s="127"/>
      <c r="AF17" s="113"/>
      <c r="AG17" s="125"/>
      <c r="AH17" s="126"/>
      <c r="AI17" s="127"/>
      <c r="AJ17" s="113"/>
      <c r="AK17" s="125"/>
      <c r="AL17" s="126"/>
      <c r="AM17" s="130"/>
      <c r="AN17" s="113"/>
      <c r="AO17" s="125"/>
      <c r="AP17" s="126"/>
      <c r="AQ17" s="1"/>
      <c r="AR17" s="134">
        <f t="shared" si="0"/>
        <v>0</v>
      </c>
      <c r="AS17" s="138">
        <v>5211</v>
      </c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idden="1" thickBot="1" x14ac:dyDescent="0.35">
      <c r="A18" s="12"/>
      <c r="B18" s="7">
        <v>5230</v>
      </c>
      <c r="C18" s="15" t="s">
        <v>16</v>
      </c>
      <c r="D18" s="113"/>
      <c r="E18" s="125"/>
      <c r="F18" s="126"/>
      <c r="G18" s="127"/>
      <c r="H18" s="113"/>
      <c r="I18" s="125"/>
      <c r="J18" s="126"/>
      <c r="K18" s="127"/>
      <c r="L18" s="113"/>
      <c r="M18" s="196"/>
      <c r="N18" s="126"/>
      <c r="O18" s="127"/>
      <c r="P18" s="113"/>
      <c r="Q18" s="125"/>
      <c r="R18" s="126"/>
      <c r="S18" s="127"/>
      <c r="T18" s="113"/>
      <c r="U18" s="196"/>
      <c r="V18" s="126"/>
      <c r="W18" s="127"/>
      <c r="X18" s="113"/>
      <c r="Y18" s="125"/>
      <c r="Z18" s="126"/>
      <c r="AA18" s="127"/>
      <c r="AB18" s="113"/>
      <c r="AC18" s="125"/>
      <c r="AD18" s="126"/>
      <c r="AE18" s="127"/>
      <c r="AF18" s="113"/>
      <c r="AG18" s="125"/>
      <c r="AH18" s="126"/>
      <c r="AI18" s="127"/>
      <c r="AJ18" s="113"/>
      <c r="AK18" s="125"/>
      <c r="AL18" s="126"/>
      <c r="AM18" s="130"/>
      <c r="AN18" s="113"/>
      <c r="AO18" s="125"/>
      <c r="AP18" s="126"/>
      <c r="AQ18" s="1"/>
      <c r="AR18" s="134">
        <f t="shared" si="0"/>
        <v>0</v>
      </c>
      <c r="AS18" s="138">
        <v>5230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ht="15.75" thickBot="1" x14ac:dyDescent="0.3">
      <c r="A19" s="12"/>
      <c r="B19" s="7">
        <v>5400</v>
      </c>
      <c r="C19" s="15" t="s">
        <v>48</v>
      </c>
      <c r="D19" s="123"/>
      <c r="E19" s="125"/>
      <c r="F19" s="126"/>
      <c r="G19" s="127"/>
      <c r="H19" s="123">
        <f>Lønnsmatrise!P61</f>
        <v>12407.999999999998</v>
      </c>
      <c r="I19" s="125"/>
      <c r="J19" s="126"/>
      <c r="K19" s="127"/>
      <c r="L19" s="123"/>
      <c r="M19" s="196"/>
      <c r="N19" s="126"/>
      <c r="O19" s="127"/>
      <c r="P19" s="123">
        <f>Lønnsmatrise!R61</f>
        <v>4511.9999999999991</v>
      </c>
      <c r="Q19" s="125"/>
      <c r="R19" s="126"/>
      <c r="S19" s="127"/>
      <c r="T19" s="123">
        <f>SUM((T12+T13+T14+T17+T18)*0.141)</f>
        <v>0</v>
      </c>
      <c r="U19" s="196"/>
      <c r="V19" s="126"/>
      <c r="W19" s="127"/>
      <c r="X19" s="123">
        <f>SUM((X12+X13+X14+X17+X18)*0.141)</f>
        <v>0</v>
      </c>
      <c r="Y19" s="125"/>
      <c r="Z19" s="126"/>
      <c r="AA19" s="127"/>
      <c r="AB19" s="123">
        <f>SUM((AB12+AB13+AB14+AB17+AB18)*0.141)</f>
        <v>0</v>
      </c>
      <c r="AC19" s="125"/>
      <c r="AD19" s="126"/>
      <c r="AE19" s="127"/>
      <c r="AF19" s="123">
        <f>SUM((AF12+AF13+AF14+AF17+AF18)*0.141)</f>
        <v>0</v>
      </c>
      <c r="AG19" s="125"/>
      <c r="AH19" s="126"/>
      <c r="AI19" s="127"/>
      <c r="AJ19" s="123">
        <f>SUM((AJ12+AJ13+AJ14+AJ17+AJ18)*0.141)</f>
        <v>0</v>
      </c>
      <c r="AK19" s="125"/>
      <c r="AL19" s="126"/>
      <c r="AM19" s="130"/>
      <c r="AN19" s="123">
        <f>SUM((AN12+AN13+AN14+AN17+AN18)*0.141)</f>
        <v>0</v>
      </c>
      <c r="AO19" s="125"/>
      <c r="AP19" s="126"/>
      <c r="AQ19" s="1"/>
      <c r="AR19" s="134">
        <f t="shared" si="0"/>
        <v>16919.999999999996</v>
      </c>
      <c r="AS19" s="138">
        <v>5400</v>
      </c>
    </row>
    <row r="20" spans="1:57" hidden="1" thickBot="1" x14ac:dyDescent="0.35">
      <c r="B20" s="7">
        <v>5990</v>
      </c>
      <c r="C20" s="15" t="s">
        <v>17</v>
      </c>
      <c r="D20" s="113"/>
      <c r="E20" s="114"/>
      <c r="F20" s="115"/>
      <c r="G20" s="116"/>
      <c r="H20" s="123">
        <f>Lønnsmatrise!P62</f>
        <v>0</v>
      </c>
      <c r="I20" s="114"/>
      <c r="J20" s="115"/>
      <c r="K20" s="116"/>
      <c r="L20" s="113"/>
      <c r="M20" s="132"/>
      <c r="N20" s="115"/>
      <c r="O20" s="116"/>
      <c r="P20" s="113">
        <f>Lønnsmatrise!R62</f>
        <v>0</v>
      </c>
      <c r="Q20" s="114"/>
      <c r="R20" s="115"/>
      <c r="S20" s="116"/>
      <c r="T20" s="113"/>
      <c r="U20" s="132"/>
      <c r="V20" s="115"/>
      <c r="W20" s="116"/>
      <c r="X20" s="113"/>
      <c r="Y20" s="114"/>
      <c r="Z20" s="115"/>
      <c r="AA20" s="116"/>
      <c r="AB20" s="113"/>
      <c r="AC20" s="114"/>
      <c r="AD20" s="115"/>
      <c r="AE20" s="116"/>
      <c r="AF20" s="113"/>
      <c r="AG20" s="114"/>
      <c r="AH20" s="115"/>
      <c r="AI20" s="116"/>
      <c r="AJ20" s="113"/>
      <c r="AK20" s="114"/>
      <c r="AL20" s="115"/>
      <c r="AM20" s="130"/>
      <c r="AN20" s="113"/>
      <c r="AO20" s="114"/>
      <c r="AP20" s="115"/>
      <c r="AQ20" s="1"/>
      <c r="AR20" s="134">
        <f t="shared" si="0"/>
        <v>0</v>
      </c>
      <c r="AS20" s="138">
        <v>5990</v>
      </c>
    </row>
    <row r="21" spans="1:57" hidden="1" thickBot="1" x14ac:dyDescent="0.35">
      <c r="B21" s="7">
        <v>6110</v>
      </c>
      <c r="C21" s="15" t="s">
        <v>50</v>
      </c>
      <c r="D21" s="113"/>
      <c r="E21" s="114"/>
      <c r="F21" s="115"/>
      <c r="G21" s="116"/>
      <c r="H21" s="113"/>
      <c r="I21" s="114"/>
      <c r="J21" s="115"/>
      <c r="K21" s="116"/>
      <c r="L21" s="113"/>
      <c r="M21" s="132"/>
      <c r="N21" s="115"/>
      <c r="O21" s="116"/>
      <c r="P21" s="113"/>
      <c r="Q21" s="114"/>
      <c r="R21" s="115"/>
      <c r="S21" s="116"/>
      <c r="T21" s="113"/>
      <c r="U21" s="132"/>
      <c r="V21" s="115"/>
      <c r="W21" s="116"/>
      <c r="X21" s="113"/>
      <c r="Y21" s="114"/>
      <c r="Z21" s="115"/>
      <c r="AA21" s="116"/>
      <c r="AB21" s="113"/>
      <c r="AC21" s="114"/>
      <c r="AD21" s="115"/>
      <c r="AE21" s="116"/>
      <c r="AF21" s="113"/>
      <c r="AG21" s="114"/>
      <c r="AH21" s="115"/>
      <c r="AI21" s="116"/>
      <c r="AJ21" s="113"/>
      <c r="AK21" s="114"/>
      <c r="AL21" s="115"/>
      <c r="AM21" s="130"/>
      <c r="AN21" s="113"/>
      <c r="AO21" s="114"/>
      <c r="AP21" s="115"/>
      <c r="AQ21" s="1"/>
      <c r="AR21" s="134">
        <f t="shared" si="0"/>
        <v>0</v>
      </c>
      <c r="AS21" s="138">
        <v>6110</v>
      </c>
    </row>
    <row r="22" spans="1:57" ht="30.75" thickBot="1" x14ac:dyDescent="0.3">
      <c r="B22" s="7">
        <v>6300</v>
      </c>
      <c r="C22" s="15" t="s">
        <v>18</v>
      </c>
      <c r="D22" s="113"/>
      <c r="E22" s="114"/>
      <c r="F22" s="115"/>
      <c r="G22" s="116"/>
      <c r="H22" s="113">
        <v>29000</v>
      </c>
      <c r="I22" s="114"/>
      <c r="J22" s="115"/>
      <c r="K22" s="116"/>
      <c r="L22" s="113">
        <v>2000</v>
      </c>
      <c r="M22" s="132" t="s">
        <v>340</v>
      </c>
      <c r="N22" s="115"/>
      <c r="O22" s="116"/>
      <c r="P22" s="113"/>
      <c r="Q22" s="114"/>
      <c r="R22" s="115"/>
      <c r="S22" s="116"/>
      <c r="T22" s="113"/>
      <c r="U22" s="132"/>
      <c r="V22" s="115"/>
      <c r="W22" s="116"/>
      <c r="X22" s="113"/>
      <c r="Y22" s="114"/>
      <c r="Z22" s="115"/>
      <c r="AA22" s="116"/>
      <c r="AB22" s="113"/>
      <c r="AC22" s="114"/>
      <c r="AD22" s="115"/>
      <c r="AE22" s="116"/>
      <c r="AF22" s="113"/>
      <c r="AG22" s="114"/>
      <c r="AH22" s="115"/>
      <c r="AI22" s="116"/>
      <c r="AJ22" s="113"/>
      <c r="AK22" s="114"/>
      <c r="AL22" s="115"/>
      <c r="AM22" s="130"/>
      <c r="AN22" s="113"/>
      <c r="AO22" s="114"/>
      <c r="AP22" s="115"/>
      <c r="AQ22" s="1"/>
      <c r="AR22" s="134">
        <f t="shared" si="0"/>
        <v>31000</v>
      </c>
      <c r="AS22" s="138">
        <v>6300</v>
      </c>
    </row>
    <row r="23" spans="1:57" ht="45.75" thickBot="1" x14ac:dyDescent="0.3">
      <c r="B23" s="7">
        <v>6440</v>
      </c>
      <c r="C23" s="15" t="s">
        <v>19</v>
      </c>
      <c r="D23" s="113"/>
      <c r="E23" s="114"/>
      <c r="F23" s="115"/>
      <c r="G23" s="116"/>
      <c r="H23" s="113"/>
      <c r="I23" s="114"/>
      <c r="J23" s="115"/>
      <c r="K23" s="116"/>
      <c r="L23" s="113">
        <v>7200</v>
      </c>
      <c r="M23" s="132" t="s">
        <v>341</v>
      </c>
      <c r="N23" s="115"/>
      <c r="O23" s="116"/>
      <c r="P23" s="113"/>
      <c r="Q23" s="114"/>
      <c r="R23" s="115"/>
      <c r="S23" s="116"/>
      <c r="T23" s="113"/>
      <c r="U23" s="132"/>
      <c r="V23" s="115"/>
      <c r="W23" s="116"/>
      <c r="X23" s="113"/>
      <c r="Y23" s="114"/>
      <c r="Z23" s="115"/>
      <c r="AA23" s="116"/>
      <c r="AB23" s="113"/>
      <c r="AC23" s="114"/>
      <c r="AD23" s="115"/>
      <c r="AE23" s="116"/>
      <c r="AF23" s="113"/>
      <c r="AG23" s="114"/>
      <c r="AH23" s="115"/>
      <c r="AI23" s="116"/>
      <c r="AJ23" s="113"/>
      <c r="AK23" s="114"/>
      <c r="AL23" s="115"/>
      <c r="AM23" s="130"/>
      <c r="AN23" s="113"/>
      <c r="AO23" s="114"/>
      <c r="AP23" s="115"/>
      <c r="AQ23" s="1"/>
      <c r="AR23" s="134">
        <f t="shared" si="0"/>
        <v>7200</v>
      </c>
      <c r="AS23" s="138">
        <v>6440</v>
      </c>
    </row>
    <row r="24" spans="1:57" hidden="1" thickBot="1" x14ac:dyDescent="0.35">
      <c r="B24" s="7">
        <v>6550</v>
      </c>
      <c r="C24" s="15" t="s">
        <v>20</v>
      </c>
      <c r="D24" s="113"/>
      <c r="E24" s="114"/>
      <c r="F24" s="115"/>
      <c r="G24" s="116"/>
      <c r="H24" s="113"/>
      <c r="I24" s="114"/>
      <c r="J24" s="115"/>
      <c r="K24" s="116"/>
      <c r="L24" s="113"/>
      <c r="M24" s="132"/>
      <c r="N24" s="115"/>
      <c r="O24" s="116"/>
      <c r="P24" s="113"/>
      <c r="Q24" s="114"/>
      <c r="R24" s="115"/>
      <c r="S24" s="116"/>
      <c r="T24" s="113"/>
      <c r="U24" s="132"/>
      <c r="V24" s="115"/>
      <c r="W24" s="116"/>
      <c r="X24" s="113"/>
      <c r="Y24" s="114"/>
      <c r="Z24" s="115"/>
      <c r="AA24" s="116"/>
      <c r="AB24" s="113"/>
      <c r="AC24" s="114"/>
      <c r="AD24" s="115"/>
      <c r="AE24" s="116"/>
      <c r="AF24" s="113"/>
      <c r="AG24" s="114"/>
      <c r="AH24" s="115"/>
      <c r="AI24" s="116"/>
      <c r="AJ24" s="113"/>
      <c r="AK24" s="114"/>
      <c r="AL24" s="115"/>
      <c r="AM24" s="130"/>
      <c r="AN24" s="113"/>
      <c r="AO24" s="114"/>
      <c r="AP24" s="115"/>
      <c r="AQ24" s="1"/>
      <c r="AR24" s="134">
        <f t="shared" si="0"/>
        <v>0</v>
      </c>
      <c r="AS24" s="138">
        <v>6550</v>
      </c>
    </row>
    <row r="25" spans="1:57" hidden="1" thickBot="1" x14ac:dyDescent="0.35">
      <c r="B25" s="7">
        <v>6560</v>
      </c>
      <c r="C25" s="15" t="s">
        <v>21</v>
      </c>
      <c r="D25" s="113"/>
      <c r="E25" s="114"/>
      <c r="F25" s="115"/>
      <c r="G25" s="116"/>
      <c r="H25" s="113"/>
      <c r="I25" s="114"/>
      <c r="J25" s="115"/>
      <c r="K25" s="116"/>
      <c r="L25" s="113"/>
      <c r="M25" s="132"/>
      <c r="N25" s="115"/>
      <c r="O25" s="116"/>
      <c r="P25" s="113"/>
      <c r="Q25" s="114"/>
      <c r="R25" s="115"/>
      <c r="S25" s="116"/>
      <c r="T25" s="113"/>
      <c r="U25" s="132"/>
      <c r="V25" s="115"/>
      <c r="W25" s="116"/>
      <c r="X25" s="113"/>
      <c r="Y25" s="114"/>
      <c r="Z25" s="115"/>
      <c r="AA25" s="116"/>
      <c r="AB25" s="113"/>
      <c r="AC25" s="114"/>
      <c r="AD25" s="115"/>
      <c r="AE25" s="116"/>
      <c r="AF25" s="113"/>
      <c r="AG25" s="114"/>
      <c r="AH25" s="115"/>
      <c r="AI25" s="116"/>
      <c r="AJ25" s="113"/>
      <c r="AK25" s="114"/>
      <c r="AL25" s="115"/>
      <c r="AM25" s="130"/>
      <c r="AN25" s="113"/>
      <c r="AO25" s="114"/>
      <c r="AP25" s="115"/>
      <c r="AQ25" s="1"/>
      <c r="AR25" s="134">
        <f t="shared" si="0"/>
        <v>0</v>
      </c>
      <c r="AS25" s="138">
        <v>6560</v>
      </c>
    </row>
    <row r="26" spans="1:57" ht="15.75" thickBot="1" x14ac:dyDescent="0.3">
      <c r="B26" s="7">
        <v>6580</v>
      </c>
      <c r="C26" s="15" t="s">
        <v>2</v>
      </c>
      <c r="D26" s="113"/>
      <c r="E26" s="114"/>
      <c r="F26" s="115"/>
      <c r="G26" s="116"/>
      <c r="H26" s="113">
        <f>P92</f>
        <v>0</v>
      </c>
      <c r="I26" s="114" t="s">
        <v>269</v>
      </c>
      <c r="J26" s="115"/>
      <c r="K26" s="116"/>
      <c r="L26" s="113"/>
      <c r="M26" s="132"/>
      <c r="N26" s="115"/>
      <c r="O26" s="116"/>
      <c r="P26" s="113"/>
      <c r="Q26" s="114"/>
      <c r="R26" s="115"/>
      <c r="S26" s="116"/>
      <c r="T26" s="113"/>
      <c r="U26" s="132"/>
      <c r="V26" s="115"/>
      <c r="W26" s="116"/>
      <c r="X26" s="113"/>
      <c r="Y26" s="114"/>
      <c r="Z26" s="115"/>
      <c r="AA26" s="116"/>
      <c r="AB26" s="113"/>
      <c r="AC26" s="114"/>
      <c r="AD26" s="115"/>
      <c r="AE26" s="116"/>
      <c r="AF26" s="113"/>
      <c r="AG26" s="114"/>
      <c r="AH26" s="115"/>
      <c r="AI26" s="116"/>
      <c r="AJ26" s="113"/>
      <c r="AK26" s="114"/>
      <c r="AL26" s="115"/>
      <c r="AM26" s="130"/>
      <c r="AN26" s="113"/>
      <c r="AO26" s="114"/>
      <c r="AP26" s="115"/>
      <c r="AQ26" s="1"/>
      <c r="AR26" s="134">
        <f t="shared" si="0"/>
        <v>0</v>
      </c>
      <c r="AS26" s="138">
        <v>6580</v>
      </c>
    </row>
    <row r="27" spans="1:57" hidden="1" thickBot="1" x14ac:dyDescent="0.35">
      <c r="B27" s="7">
        <v>6800</v>
      </c>
      <c r="C27" s="15" t="s">
        <v>22</v>
      </c>
      <c r="D27" s="113"/>
      <c r="E27" s="114"/>
      <c r="F27" s="115"/>
      <c r="G27" s="116"/>
      <c r="H27" s="113"/>
      <c r="I27" s="114"/>
      <c r="J27" s="115"/>
      <c r="K27" s="116"/>
      <c r="L27" s="113"/>
      <c r="M27" s="132"/>
      <c r="N27" s="115"/>
      <c r="O27" s="116"/>
      <c r="P27" s="113"/>
      <c r="Q27" s="114"/>
      <c r="R27" s="115"/>
      <c r="S27" s="116"/>
      <c r="T27" s="113"/>
      <c r="U27" s="132"/>
      <c r="V27" s="115"/>
      <c r="W27" s="116"/>
      <c r="X27" s="113"/>
      <c r="Y27" s="114"/>
      <c r="Z27" s="115"/>
      <c r="AA27" s="116"/>
      <c r="AB27" s="113"/>
      <c r="AC27" s="114"/>
      <c r="AD27" s="115"/>
      <c r="AE27" s="116"/>
      <c r="AF27" s="113"/>
      <c r="AG27" s="114"/>
      <c r="AH27" s="115"/>
      <c r="AI27" s="116"/>
      <c r="AJ27" s="113"/>
      <c r="AK27" s="114"/>
      <c r="AL27" s="115"/>
      <c r="AM27" s="130"/>
      <c r="AN27" s="113"/>
      <c r="AO27" s="114"/>
      <c r="AP27" s="115"/>
      <c r="AQ27" s="1"/>
      <c r="AR27" s="134">
        <f t="shared" si="0"/>
        <v>0</v>
      </c>
      <c r="AS27" s="138">
        <v>6800</v>
      </c>
    </row>
    <row r="28" spans="1:57" hidden="1" thickBot="1" x14ac:dyDescent="0.35">
      <c r="B28" s="7">
        <v>6820</v>
      </c>
      <c r="C28" s="15" t="s">
        <v>23</v>
      </c>
      <c r="D28" s="113"/>
      <c r="E28" s="114"/>
      <c r="F28" s="115"/>
      <c r="G28" s="116"/>
      <c r="H28" s="113"/>
      <c r="I28" s="114"/>
      <c r="J28" s="115"/>
      <c r="K28" s="116"/>
      <c r="L28" s="113"/>
      <c r="M28" s="132"/>
      <c r="N28" s="115"/>
      <c r="O28" s="116"/>
      <c r="P28" s="113"/>
      <c r="Q28" s="114"/>
      <c r="R28" s="115"/>
      <c r="S28" s="116"/>
      <c r="T28" s="113"/>
      <c r="U28" s="132"/>
      <c r="V28" s="115"/>
      <c r="W28" s="116"/>
      <c r="X28" s="113"/>
      <c r="Y28" s="114"/>
      <c r="Z28" s="115"/>
      <c r="AA28" s="116"/>
      <c r="AB28" s="113"/>
      <c r="AC28" s="114"/>
      <c r="AD28" s="115"/>
      <c r="AE28" s="116"/>
      <c r="AF28" s="113"/>
      <c r="AG28" s="114"/>
      <c r="AH28" s="115"/>
      <c r="AI28" s="116"/>
      <c r="AJ28" s="113"/>
      <c r="AK28" s="114"/>
      <c r="AL28" s="115"/>
      <c r="AM28" s="130"/>
      <c r="AN28" s="113"/>
      <c r="AO28" s="114"/>
      <c r="AP28" s="115"/>
      <c r="AQ28" s="1"/>
      <c r="AR28" s="134">
        <f t="shared" si="0"/>
        <v>0</v>
      </c>
      <c r="AS28" s="138">
        <v>6820</v>
      </c>
    </row>
    <row r="29" spans="1:57" hidden="1" thickBot="1" x14ac:dyDescent="0.35">
      <c r="B29" s="7">
        <v>6840</v>
      </c>
      <c r="C29" s="15" t="s">
        <v>24</v>
      </c>
      <c r="D29" s="113"/>
      <c r="E29" s="114"/>
      <c r="F29" s="115"/>
      <c r="G29" s="116"/>
      <c r="H29" s="113"/>
      <c r="I29" s="114"/>
      <c r="J29" s="115"/>
      <c r="K29" s="116"/>
      <c r="L29" s="113"/>
      <c r="M29" s="132"/>
      <c r="N29" s="115"/>
      <c r="O29" s="116"/>
      <c r="P29" s="113"/>
      <c r="Q29" s="114"/>
      <c r="R29" s="115"/>
      <c r="S29" s="116"/>
      <c r="T29" s="113"/>
      <c r="U29" s="132"/>
      <c r="V29" s="115"/>
      <c r="W29" s="116"/>
      <c r="X29" s="113"/>
      <c r="Y29" s="114"/>
      <c r="Z29" s="115"/>
      <c r="AA29" s="116"/>
      <c r="AB29" s="113"/>
      <c r="AC29" s="114"/>
      <c r="AD29" s="115"/>
      <c r="AE29" s="116"/>
      <c r="AF29" s="113"/>
      <c r="AG29" s="114"/>
      <c r="AH29" s="115"/>
      <c r="AI29" s="116"/>
      <c r="AJ29" s="113"/>
      <c r="AK29" s="114"/>
      <c r="AL29" s="115"/>
      <c r="AM29" s="130"/>
      <c r="AN29" s="113"/>
      <c r="AO29" s="114"/>
      <c r="AP29" s="115"/>
      <c r="AQ29" s="1"/>
      <c r="AR29" s="134">
        <f t="shared" si="0"/>
        <v>0</v>
      </c>
      <c r="AS29" s="138">
        <v>6840</v>
      </c>
    </row>
    <row r="30" spans="1:57" ht="75.75" thickBot="1" x14ac:dyDescent="0.3">
      <c r="B30" s="7">
        <v>6860</v>
      </c>
      <c r="C30" s="15" t="s">
        <v>25</v>
      </c>
      <c r="D30" s="113">
        <v>5555</v>
      </c>
      <c r="E30" s="132" t="s">
        <v>325</v>
      </c>
      <c r="F30" s="115"/>
      <c r="G30" s="116"/>
      <c r="H30" s="113"/>
      <c r="I30" s="114"/>
      <c r="J30" s="115"/>
      <c r="K30" s="116"/>
      <c r="L30" s="113"/>
      <c r="M30" s="132"/>
      <c r="N30" s="115"/>
      <c r="O30" s="116"/>
      <c r="P30" s="113">
        <v>600</v>
      </c>
      <c r="Q30" s="114" t="s">
        <v>343</v>
      </c>
      <c r="R30" s="115"/>
      <c r="S30" s="116"/>
      <c r="T30" s="113"/>
      <c r="U30" s="132"/>
      <c r="V30" s="115"/>
      <c r="W30" s="116"/>
      <c r="X30" s="113"/>
      <c r="Y30" s="114"/>
      <c r="Z30" s="115"/>
      <c r="AA30" s="116"/>
      <c r="AB30" s="113"/>
      <c r="AC30" s="114"/>
      <c r="AD30" s="115"/>
      <c r="AE30" s="116"/>
      <c r="AF30" s="113"/>
      <c r="AG30" s="114"/>
      <c r="AH30" s="115"/>
      <c r="AI30" s="116"/>
      <c r="AJ30" s="113"/>
      <c r="AK30" s="114"/>
      <c r="AL30" s="115"/>
      <c r="AM30" s="130"/>
      <c r="AN30" s="113"/>
      <c r="AO30" s="114"/>
      <c r="AP30" s="115"/>
      <c r="AQ30" s="1"/>
      <c r="AR30" s="134">
        <f t="shared" si="0"/>
        <v>6155</v>
      </c>
      <c r="AS30" s="138">
        <v>6860</v>
      </c>
    </row>
    <row r="31" spans="1:57" hidden="1" thickBot="1" x14ac:dyDescent="0.35">
      <c r="B31" s="7">
        <v>6910</v>
      </c>
      <c r="C31" s="15" t="s">
        <v>26</v>
      </c>
      <c r="D31" s="113"/>
      <c r="E31" s="114"/>
      <c r="F31" s="115"/>
      <c r="G31" s="116"/>
      <c r="H31" s="113"/>
      <c r="I31" s="114"/>
      <c r="J31" s="115"/>
      <c r="K31" s="116"/>
      <c r="L31" s="113"/>
      <c r="M31" s="132"/>
      <c r="N31" s="115"/>
      <c r="O31" s="116"/>
      <c r="P31" s="113"/>
      <c r="Q31" s="114"/>
      <c r="R31" s="115"/>
      <c r="S31" s="116"/>
      <c r="T31" s="113"/>
      <c r="U31" s="132"/>
      <c r="V31" s="115"/>
      <c r="W31" s="116"/>
      <c r="X31" s="113"/>
      <c r="Y31" s="114"/>
      <c r="Z31" s="115"/>
      <c r="AA31" s="116"/>
      <c r="AB31" s="113"/>
      <c r="AC31" s="114"/>
      <c r="AD31" s="115"/>
      <c r="AE31" s="116"/>
      <c r="AF31" s="113"/>
      <c r="AG31" s="114"/>
      <c r="AH31" s="115"/>
      <c r="AI31" s="116"/>
      <c r="AJ31" s="113"/>
      <c r="AK31" s="114"/>
      <c r="AL31" s="115"/>
      <c r="AM31" s="130"/>
      <c r="AN31" s="113"/>
      <c r="AO31" s="114"/>
      <c r="AP31" s="115"/>
      <c r="AQ31" s="1"/>
      <c r="AR31" s="134">
        <f t="shared" si="0"/>
        <v>0</v>
      </c>
      <c r="AS31" s="138">
        <v>6910</v>
      </c>
    </row>
    <row r="32" spans="1:57" hidden="1" thickBot="1" x14ac:dyDescent="0.35">
      <c r="B32" s="7">
        <v>6940</v>
      </c>
      <c r="C32" s="15" t="s">
        <v>49</v>
      </c>
      <c r="D32" s="113"/>
      <c r="E32" s="114"/>
      <c r="F32" s="115"/>
      <c r="G32" s="116"/>
      <c r="H32" s="113"/>
      <c r="I32" s="114"/>
      <c r="J32" s="115"/>
      <c r="K32" s="116"/>
      <c r="L32" s="113"/>
      <c r="M32" s="132"/>
      <c r="N32" s="115"/>
      <c r="O32" s="116"/>
      <c r="P32" s="113"/>
      <c r="Q32" s="114"/>
      <c r="R32" s="115"/>
      <c r="S32" s="116"/>
      <c r="T32" s="113"/>
      <c r="U32" s="132"/>
      <c r="V32" s="115"/>
      <c r="W32" s="116"/>
      <c r="X32" s="113"/>
      <c r="Y32" s="114"/>
      <c r="Z32" s="115"/>
      <c r="AA32" s="116"/>
      <c r="AB32" s="113"/>
      <c r="AC32" s="114"/>
      <c r="AD32" s="115"/>
      <c r="AE32" s="116"/>
      <c r="AF32" s="113"/>
      <c r="AG32" s="114"/>
      <c r="AH32" s="115"/>
      <c r="AI32" s="116"/>
      <c r="AJ32" s="113"/>
      <c r="AK32" s="114"/>
      <c r="AL32" s="115"/>
      <c r="AM32" s="130"/>
      <c r="AN32" s="113"/>
      <c r="AO32" s="114"/>
      <c r="AP32" s="115"/>
      <c r="AQ32" s="1"/>
      <c r="AR32" s="134">
        <f t="shared" si="0"/>
        <v>0</v>
      </c>
      <c r="AS32" s="138">
        <v>6940</v>
      </c>
    </row>
    <row r="33" spans="2:45" ht="30.75" thickBot="1" x14ac:dyDescent="0.3">
      <c r="B33" s="7">
        <v>7000</v>
      </c>
      <c r="C33" s="15" t="s">
        <v>27</v>
      </c>
      <c r="D33" s="113"/>
      <c r="E33" s="114"/>
      <c r="F33" s="115"/>
      <c r="G33" s="116"/>
      <c r="H33" s="113"/>
      <c r="I33" s="114"/>
      <c r="J33" s="115"/>
      <c r="K33" s="116"/>
      <c r="L33" s="113">
        <f>15000/2</f>
        <v>7500</v>
      </c>
      <c r="M33" s="132" t="s">
        <v>342</v>
      </c>
      <c r="N33" s="115"/>
      <c r="O33" s="116"/>
      <c r="P33" s="113"/>
      <c r="Q33" s="114"/>
      <c r="R33" s="115"/>
      <c r="S33" s="116"/>
      <c r="T33" s="113"/>
      <c r="U33" s="132"/>
      <c r="V33" s="115"/>
      <c r="W33" s="116"/>
      <c r="X33" s="113"/>
      <c r="Y33" s="114"/>
      <c r="Z33" s="115"/>
      <c r="AA33" s="116"/>
      <c r="AB33" s="113"/>
      <c r="AC33" s="114"/>
      <c r="AD33" s="115"/>
      <c r="AE33" s="116"/>
      <c r="AF33" s="113"/>
      <c r="AG33" s="114"/>
      <c r="AH33" s="115"/>
      <c r="AI33" s="116"/>
      <c r="AJ33" s="113"/>
      <c r="AK33" s="114"/>
      <c r="AL33" s="115"/>
      <c r="AM33" s="130"/>
      <c r="AN33" s="113"/>
      <c r="AO33" s="114"/>
      <c r="AP33" s="115"/>
      <c r="AQ33" s="1"/>
      <c r="AR33" s="134">
        <f t="shared" si="0"/>
        <v>7500</v>
      </c>
      <c r="AS33" s="138">
        <v>7000</v>
      </c>
    </row>
    <row r="34" spans="2:45" ht="15.75" thickBot="1" x14ac:dyDescent="0.3">
      <c r="B34" s="7">
        <v>7100</v>
      </c>
      <c r="C34" s="15" t="s">
        <v>28</v>
      </c>
      <c r="D34" s="113">
        <v>2296</v>
      </c>
      <c r="E34" s="114" t="s">
        <v>324</v>
      </c>
      <c r="F34" s="115"/>
      <c r="G34" s="116"/>
      <c r="H34" s="113"/>
      <c r="I34" s="114"/>
      <c r="J34" s="115"/>
      <c r="K34" s="116"/>
      <c r="L34" s="113"/>
      <c r="M34" s="132"/>
      <c r="N34" s="115"/>
      <c r="O34" s="116"/>
      <c r="P34" s="113"/>
      <c r="Q34" s="114"/>
      <c r="R34" s="115"/>
      <c r="S34" s="116"/>
      <c r="T34" s="113"/>
      <c r="U34" s="132"/>
      <c r="V34" s="115"/>
      <c r="W34" s="116"/>
      <c r="X34" s="113"/>
      <c r="Y34" s="114"/>
      <c r="Z34" s="115"/>
      <c r="AA34" s="116"/>
      <c r="AB34" s="113"/>
      <c r="AC34" s="114"/>
      <c r="AD34" s="115"/>
      <c r="AE34" s="116"/>
      <c r="AF34" s="113"/>
      <c r="AG34" s="114"/>
      <c r="AH34" s="115"/>
      <c r="AI34" s="116"/>
      <c r="AJ34" s="113"/>
      <c r="AK34" s="114"/>
      <c r="AL34" s="115"/>
      <c r="AM34" s="130"/>
      <c r="AN34" s="113"/>
      <c r="AO34" s="114"/>
      <c r="AP34" s="115"/>
      <c r="AQ34" s="1"/>
      <c r="AR34" s="134">
        <f t="shared" si="0"/>
        <v>2296</v>
      </c>
      <c r="AS34" s="138">
        <v>7100</v>
      </c>
    </row>
    <row r="35" spans="2:45" hidden="1" thickBot="1" x14ac:dyDescent="0.35">
      <c r="B35" s="7">
        <v>7101</v>
      </c>
      <c r="C35" s="15" t="s">
        <v>29</v>
      </c>
      <c r="D35" s="113"/>
      <c r="E35" s="114"/>
      <c r="F35" s="115"/>
      <c r="G35" s="116"/>
      <c r="H35" s="113"/>
      <c r="I35" s="114"/>
      <c r="J35" s="115"/>
      <c r="K35" s="116"/>
      <c r="L35" s="113"/>
      <c r="M35" s="132"/>
      <c r="N35" s="115"/>
      <c r="O35" s="116"/>
      <c r="P35" s="113"/>
      <c r="Q35" s="114"/>
      <c r="R35" s="115"/>
      <c r="S35" s="116"/>
      <c r="T35" s="113"/>
      <c r="U35" s="132"/>
      <c r="V35" s="115"/>
      <c r="W35" s="116"/>
      <c r="X35" s="113"/>
      <c r="Y35" s="114"/>
      <c r="Z35" s="115"/>
      <c r="AA35" s="116"/>
      <c r="AB35" s="113"/>
      <c r="AC35" s="114"/>
      <c r="AD35" s="115"/>
      <c r="AE35" s="116"/>
      <c r="AF35" s="113"/>
      <c r="AG35" s="114"/>
      <c r="AH35" s="115"/>
      <c r="AI35" s="116"/>
      <c r="AJ35" s="113"/>
      <c r="AK35" s="114"/>
      <c r="AL35" s="115"/>
      <c r="AM35" s="130"/>
      <c r="AN35" s="113"/>
      <c r="AO35" s="114"/>
      <c r="AP35" s="115"/>
      <c r="AQ35" s="1"/>
      <c r="AR35" s="134">
        <f t="shared" si="0"/>
        <v>0</v>
      </c>
      <c r="AS35" s="138">
        <v>7101</v>
      </c>
    </row>
    <row r="36" spans="2:45" ht="75.75" thickBot="1" x14ac:dyDescent="0.3">
      <c r="B36" s="7">
        <v>7110</v>
      </c>
      <c r="C36" s="15" t="s">
        <v>30</v>
      </c>
      <c r="D36" s="113"/>
      <c r="E36" s="114"/>
      <c r="F36" s="115"/>
      <c r="G36" s="116"/>
      <c r="H36" s="113"/>
      <c r="I36" s="114"/>
      <c r="J36" s="115"/>
      <c r="K36" s="116"/>
      <c r="L36" s="113">
        <f>66000/2</f>
        <v>33000</v>
      </c>
      <c r="M36" s="132" t="s">
        <v>348</v>
      </c>
      <c r="N36" s="115"/>
      <c r="O36" s="116"/>
      <c r="P36" s="113"/>
      <c r="Q36" s="114"/>
      <c r="R36" s="115"/>
      <c r="S36" s="116"/>
      <c r="T36" s="113">
        <v>50000</v>
      </c>
      <c r="U36" s="132" t="s">
        <v>346</v>
      </c>
      <c r="V36" s="115"/>
      <c r="W36" s="116"/>
      <c r="X36" s="113"/>
      <c r="Y36" s="114"/>
      <c r="Z36" s="115"/>
      <c r="AA36" s="116"/>
      <c r="AB36" s="113"/>
      <c r="AC36" s="114"/>
      <c r="AD36" s="115"/>
      <c r="AE36" s="116"/>
      <c r="AF36" s="113"/>
      <c r="AG36" s="114"/>
      <c r="AH36" s="115"/>
      <c r="AI36" s="116"/>
      <c r="AJ36" s="113"/>
      <c r="AK36" s="114"/>
      <c r="AL36" s="115"/>
      <c r="AM36" s="130"/>
      <c r="AN36" s="113"/>
      <c r="AO36" s="114"/>
      <c r="AP36" s="115"/>
      <c r="AQ36" s="1"/>
      <c r="AR36" s="134">
        <f t="shared" si="0"/>
        <v>83000</v>
      </c>
      <c r="AS36" s="138">
        <v>7110</v>
      </c>
    </row>
    <row r="37" spans="2:45" ht="15.75" thickBot="1" x14ac:dyDescent="0.3">
      <c r="B37" s="7">
        <v>7141</v>
      </c>
      <c r="C37" s="15" t="s">
        <v>31</v>
      </c>
      <c r="D37" s="113"/>
      <c r="E37" s="114"/>
      <c r="F37" s="115"/>
      <c r="G37" s="116"/>
      <c r="H37" s="113"/>
      <c r="I37" s="114"/>
      <c r="J37" s="115"/>
      <c r="K37" s="116"/>
      <c r="L37" s="113">
        <f>108400/2</f>
        <v>54200</v>
      </c>
      <c r="M37" s="132" t="s">
        <v>348</v>
      </c>
      <c r="N37" s="115"/>
      <c r="O37" s="116"/>
      <c r="P37" s="113"/>
      <c r="Q37" s="114"/>
      <c r="R37" s="115"/>
      <c r="S37" s="116"/>
      <c r="T37" s="113">
        <v>51200</v>
      </c>
      <c r="U37" s="132" t="s">
        <v>347</v>
      </c>
      <c r="V37" s="115"/>
      <c r="W37" s="116"/>
      <c r="X37" s="113"/>
      <c r="Y37" s="114"/>
      <c r="Z37" s="115"/>
      <c r="AA37" s="116"/>
      <c r="AB37" s="113"/>
      <c r="AC37" s="114"/>
      <c r="AD37" s="115"/>
      <c r="AE37" s="116"/>
      <c r="AF37" s="113"/>
      <c r="AG37" s="114"/>
      <c r="AH37" s="115"/>
      <c r="AI37" s="116"/>
      <c r="AJ37" s="113"/>
      <c r="AK37" s="114"/>
      <c r="AL37" s="115"/>
      <c r="AM37" s="130"/>
      <c r="AN37" s="113"/>
      <c r="AO37" s="114"/>
      <c r="AP37" s="115"/>
      <c r="AQ37" s="1"/>
      <c r="AR37" s="134">
        <f t="shared" si="0"/>
        <v>105400</v>
      </c>
      <c r="AS37" s="138">
        <v>7141</v>
      </c>
    </row>
    <row r="38" spans="2:45" ht="15.75" thickBot="1" x14ac:dyDescent="0.3">
      <c r="B38" s="7">
        <v>7145</v>
      </c>
      <c r="C38" s="15" t="s">
        <v>32</v>
      </c>
      <c r="D38" s="113">
        <v>283</v>
      </c>
      <c r="E38" s="114" t="s">
        <v>324</v>
      </c>
      <c r="F38" s="115"/>
      <c r="G38" s="116"/>
      <c r="H38" s="113"/>
      <c r="I38" s="114"/>
      <c r="J38" s="115"/>
      <c r="K38" s="116"/>
      <c r="L38" s="113">
        <f>15000/2</f>
        <v>7500</v>
      </c>
      <c r="M38" s="132" t="s">
        <v>348</v>
      </c>
      <c r="N38" s="115"/>
      <c r="O38" s="116"/>
      <c r="P38" s="113"/>
      <c r="Q38" s="114"/>
      <c r="R38" s="115"/>
      <c r="S38" s="116"/>
      <c r="T38" s="113"/>
      <c r="U38" s="132"/>
      <c r="V38" s="115"/>
      <c r="W38" s="116"/>
      <c r="X38" s="113"/>
      <c r="Y38" s="114"/>
      <c r="Z38" s="115"/>
      <c r="AA38" s="116"/>
      <c r="AB38" s="113"/>
      <c r="AC38" s="114"/>
      <c r="AD38" s="115"/>
      <c r="AE38" s="116"/>
      <c r="AF38" s="113"/>
      <c r="AG38" s="114"/>
      <c r="AH38" s="115"/>
      <c r="AI38" s="116"/>
      <c r="AJ38" s="113"/>
      <c r="AK38" s="114"/>
      <c r="AL38" s="115"/>
      <c r="AM38" s="130"/>
      <c r="AN38" s="113"/>
      <c r="AO38" s="114"/>
      <c r="AP38" s="115"/>
      <c r="AQ38" s="1"/>
      <c r="AR38" s="134">
        <f t="shared" si="0"/>
        <v>7783</v>
      </c>
      <c r="AS38" s="138">
        <v>7145</v>
      </c>
    </row>
    <row r="39" spans="2:45" ht="15.75" thickBot="1" x14ac:dyDescent="0.3">
      <c r="B39" s="7">
        <v>7162</v>
      </c>
      <c r="C39" s="15" t="s">
        <v>33</v>
      </c>
      <c r="D39" s="113"/>
      <c r="E39" s="114"/>
      <c r="F39" s="115"/>
      <c r="G39" s="116"/>
      <c r="H39" s="113"/>
      <c r="I39" s="114"/>
      <c r="J39" s="115"/>
      <c r="K39" s="116"/>
      <c r="L39" s="113">
        <f>37000/2</f>
        <v>18500</v>
      </c>
      <c r="M39" s="132" t="s">
        <v>349</v>
      </c>
      <c r="N39" s="115"/>
      <c r="O39" s="116"/>
      <c r="P39" s="113"/>
      <c r="Q39" s="114"/>
      <c r="R39" s="115"/>
      <c r="S39" s="116"/>
      <c r="T39" s="113"/>
      <c r="U39" s="132"/>
      <c r="V39" s="115"/>
      <c r="W39" s="116"/>
      <c r="X39" s="113"/>
      <c r="Y39" s="114"/>
      <c r="Z39" s="115"/>
      <c r="AA39" s="116"/>
      <c r="AB39" s="113"/>
      <c r="AC39" s="114"/>
      <c r="AD39" s="115"/>
      <c r="AE39" s="116"/>
      <c r="AF39" s="113"/>
      <c r="AG39" s="114"/>
      <c r="AH39" s="115"/>
      <c r="AI39" s="116"/>
      <c r="AJ39" s="113"/>
      <c r="AK39" s="114"/>
      <c r="AL39" s="115"/>
      <c r="AM39" s="130"/>
      <c r="AN39" s="113"/>
      <c r="AO39" s="114"/>
      <c r="AP39" s="115"/>
      <c r="AQ39" s="1"/>
      <c r="AR39" s="134">
        <f t="shared" si="0"/>
        <v>18500</v>
      </c>
      <c r="AS39" s="138">
        <v>7162</v>
      </c>
    </row>
    <row r="40" spans="2:45" hidden="1" thickBot="1" x14ac:dyDescent="0.35">
      <c r="B40" s="7">
        <v>7320</v>
      </c>
      <c r="C40" s="15" t="s">
        <v>34</v>
      </c>
      <c r="D40" s="113"/>
      <c r="E40" s="114"/>
      <c r="F40" s="115"/>
      <c r="G40" s="116"/>
      <c r="H40" s="113"/>
      <c r="I40" s="114"/>
      <c r="J40" s="115"/>
      <c r="K40" s="116"/>
      <c r="L40" s="113"/>
      <c r="M40" s="132"/>
      <c r="N40" s="115"/>
      <c r="O40" s="116"/>
      <c r="P40" s="113"/>
      <c r="Q40" s="114"/>
      <c r="R40" s="115"/>
      <c r="S40" s="116"/>
      <c r="T40" s="113"/>
      <c r="U40" s="132"/>
      <c r="V40" s="115"/>
      <c r="W40" s="116"/>
      <c r="X40" s="113"/>
      <c r="Y40" s="114"/>
      <c r="Z40" s="115"/>
      <c r="AA40" s="116"/>
      <c r="AB40" s="113"/>
      <c r="AC40" s="114"/>
      <c r="AD40" s="115"/>
      <c r="AE40" s="116"/>
      <c r="AF40" s="113"/>
      <c r="AG40" s="114"/>
      <c r="AH40" s="115"/>
      <c r="AI40" s="116"/>
      <c r="AJ40" s="113"/>
      <c r="AK40" s="114"/>
      <c r="AL40" s="115"/>
      <c r="AM40" s="130"/>
      <c r="AN40" s="113"/>
      <c r="AO40" s="114"/>
      <c r="AP40" s="115"/>
      <c r="AQ40" s="1"/>
      <c r="AR40" s="134">
        <f t="shared" si="0"/>
        <v>0</v>
      </c>
      <c r="AS40" s="138">
        <v>7320</v>
      </c>
    </row>
    <row r="41" spans="2:45" hidden="1" thickBot="1" x14ac:dyDescent="0.35">
      <c r="B41" s="7">
        <v>7350</v>
      </c>
      <c r="C41" s="15" t="s">
        <v>35</v>
      </c>
      <c r="D41" s="113"/>
      <c r="E41" s="114"/>
      <c r="F41" s="115"/>
      <c r="G41" s="116"/>
      <c r="H41" s="113"/>
      <c r="I41" s="114"/>
      <c r="J41" s="115"/>
      <c r="K41" s="116"/>
      <c r="L41" s="113"/>
      <c r="M41" s="132"/>
      <c r="N41" s="115"/>
      <c r="O41" s="116"/>
      <c r="P41" s="113"/>
      <c r="Q41" s="114"/>
      <c r="R41" s="115"/>
      <c r="S41" s="116"/>
      <c r="T41" s="113"/>
      <c r="U41" s="132"/>
      <c r="V41" s="115"/>
      <c r="W41" s="116"/>
      <c r="X41" s="113"/>
      <c r="Y41" s="114"/>
      <c r="Z41" s="115"/>
      <c r="AA41" s="116"/>
      <c r="AB41" s="113"/>
      <c r="AC41" s="114"/>
      <c r="AD41" s="115"/>
      <c r="AE41" s="116"/>
      <c r="AF41" s="113"/>
      <c r="AG41" s="114"/>
      <c r="AH41" s="115"/>
      <c r="AI41" s="116"/>
      <c r="AJ41" s="113"/>
      <c r="AK41" s="114"/>
      <c r="AL41" s="115"/>
      <c r="AM41" s="130"/>
      <c r="AN41" s="113"/>
      <c r="AO41" s="114"/>
      <c r="AP41" s="115"/>
      <c r="AQ41" s="1"/>
      <c r="AR41" s="134">
        <f t="shared" si="0"/>
        <v>0</v>
      </c>
      <c r="AS41" s="138">
        <v>7350</v>
      </c>
    </row>
    <row r="42" spans="2:45" hidden="1" thickBot="1" x14ac:dyDescent="0.35">
      <c r="B42" s="7">
        <v>7400</v>
      </c>
      <c r="C42" s="15" t="s">
        <v>36</v>
      </c>
      <c r="D42" s="113"/>
      <c r="E42" s="114"/>
      <c r="F42" s="115"/>
      <c r="G42" s="116"/>
      <c r="H42" s="113"/>
      <c r="I42" s="114"/>
      <c r="J42" s="115"/>
      <c r="K42" s="116"/>
      <c r="L42" s="113"/>
      <c r="M42" s="132"/>
      <c r="N42" s="115"/>
      <c r="O42" s="116"/>
      <c r="P42" s="113"/>
      <c r="Q42" s="114"/>
      <c r="R42" s="115"/>
      <c r="S42" s="116"/>
      <c r="T42" s="113"/>
      <c r="U42" s="132"/>
      <c r="V42" s="115"/>
      <c r="W42" s="116"/>
      <c r="X42" s="113"/>
      <c r="Y42" s="114"/>
      <c r="Z42" s="115"/>
      <c r="AA42" s="116"/>
      <c r="AB42" s="113"/>
      <c r="AC42" s="114"/>
      <c r="AD42" s="115"/>
      <c r="AE42" s="116"/>
      <c r="AF42" s="113"/>
      <c r="AG42" s="114"/>
      <c r="AH42" s="115"/>
      <c r="AI42" s="116"/>
      <c r="AJ42" s="113"/>
      <c r="AK42" s="114"/>
      <c r="AL42" s="115"/>
      <c r="AM42" s="130"/>
      <c r="AN42" s="113"/>
      <c r="AO42" s="114"/>
      <c r="AP42" s="115"/>
      <c r="AQ42" s="1"/>
      <c r="AR42" s="134">
        <f t="shared" si="0"/>
        <v>0</v>
      </c>
      <c r="AS42" s="138">
        <v>7400</v>
      </c>
    </row>
    <row r="43" spans="2:45" hidden="1" thickBot="1" x14ac:dyDescent="0.35">
      <c r="B43" s="7">
        <v>7411</v>
      </c>
      <c r="C43" s="15" t="s">
        <v>37</v>
      </c>
      <c r="D43" s="113"/>
      <c r="E43" s="114"/>
      <c r="F43" s="115"/>
      <c r="G43" s="116"/>
      <c r="H43" s="113"/>
      <c r="I43" s="114"/>
      <c r="J43" s="115"/>
      <c r="K43" s="116"/>
      <c r="L43" s="113"/>
      <c r="M43" s="132"/>
      <c r="N43" s="115"/>
      <c r="O43" s="116"/>
      <c r="P43" s="113"/>
      <c r="Q43" s="114"/>
      <c r="R43" s="115"/>
      <c r="S43" s="116"/>
      <c r="T43" s="113"/>
      <c r="U43" s="132"/>
      <c r="V43" s="115"/>
      <c r="W43" s="116"/>
      <c r="X43" s="113"/>
      <c r="Y43" s="114"/>
      <c r="Z43" s="115"/>
      <c r="AA43" s="116"/>
      <c r="AB43" s="113"/>
      <c r="AC43" s="114"/>
      <c r="AD43" s="115"/>
      <c r="AE43" s="116"/>
      <c r="AF43" s="113"/>
      <c r="AG43" s="114"/>
      <c r="AH43" s="115"/>
      <c r="AI43" s="116"/>
      <c r="AJ43" s="113"/>
      <c r="AK43" s="114"/>
      <c r="AL43" s="115"/>
      <c r="AM43" s="130"/>
      <c r="AN43" s="113"/>
      <c r="AO43" s="114"/>
      <c r="AP43" s="115"/>
      <c r="AQ43" s="1"/>
      <c r="AR43" s="134">
        <f t="shared" si="0"/>
        <v>0</v>
      </c>
      <c r="AS43" s="138">
        <v>7411</v>
      </c>
    </row>
    <row r="44" spans="2:45" hidden="1" thickBot="1" x14ac:dyDescent="0.35">
      <c r="B44" s="7">
        <v>7420</v>
      </c>
      <c r="C44" s="15" t="s">
        <v>38</v>
      </c>
      <c r="D44" s="113"/>
      <c r="E44" s="114"/>
      <c r="F44" s="115"/>
      <c r="G44" s="116"/>
      <c r="H44" s="113"/>
      <c r="I44" s="114"/>
      <c r="J44" s="115"/>
      <c r="K44" s="116"/>
      <c r="L44" s="113"/>
      <c r="M44" s="132"/>
      <c r="N44" s="115"/>
      <c r="O44" s="116"/>
      <c r="P44" s="113"/>
      <c r="Q44" s="114"/>
      <c r="R44" s="115"/>
      <c r="S44" s="116"/>
      <c r="T44" s="113"/>
      <c r="U44" s="132"/>
      <c r="V44" s="115"/>
      <c r="W44" s="116"/>
      <c r="X44" s="113"/>
      <c r="Y44" s="114"/>
      <c r="Z44" s="115"/>
      <c r="AA44" s="116"/>
      <c r="AB44" s="113"/>
      <c r="AC44" s="114"/>
      <c r="AD44" s="115"/>
      <c r="AE44" s="116"/>
      <c r="AF44" s="113"/>
      <c r="AG44" s="114"/>
      <c r="AH44" s="115"/>
      <c r="AI44" s="116"/>
      <c r="AJ44" s="113"/>
      <c r="AK44" s="114"/>
      <c r="AL44" s="115"/>
      <c r="AM44" s="130"/>
      <c r="AN44" s="113"/>
      <c r="AO44" s="114"/>
      <c r="AP44" s="115"/>
      <c r="AQ44" s="1"/>
      <c r="AR44" s="134">
        <f t="shared" si="0"/>
        <v>0</v>
      </c>
      <c r="AS44" s="138">
        <v>7420</v>
      </c>
    </row>
    <row r="45" spans="2:45" hidden="1" thickBot="1" x14ac:dyDescent="0.35">
      <c r="B45" s="7">
        <v>7425</v>
      </c>
      <c r="C45" s="15" t="s">
        <v>39</v>
      </c>
      <c r="D45" s="113"/>
      <c r="E45" s="114"/>
      <c r="F45" s="115"/>
      <c r="G45" s="116"/>
      <c r="H45" s="113"/>
      <c r="I45" s="114"/>
      <c r="J45" s="115"/>
      <c r="K45" s="116"/>
      <c r="L45" s="113"/>
      <c r="M45" s="132"/>
      <c r="N45" s="115"/>
      <c r="O45" s="116"/>
      <c r="P45" s="113"/>
      <c r="Q45" s="114"/>
      <c r="R45" s="115"/>
      <c r="S45" s="116"/>
      <c r="T45" s="113"/>
      <c r="U45" s="132"/>
      <c r="V45" s="115"/>
      <c r="W45" s="116"/>
      <c r="X45" s="113"/>
      <c r="Y45" s="114"/>
      <c r="Z45" s="115"/>
      <c r="AA45" s="116"/>
      <c r="AB45" s="113"/>
      <c r="AC45" s="114"/>
      <c r="AD45" s="115"/>
      <c r="AE45" s="116"/>
      <c r="AF45" s="113"/>
      <c r="AG45" s="114"/>
      <c r="AH45" s="115"/>
      <c r="AI45" s="116"/>
      <c r="AJ45" s="113"/>
      <c r="AK45" s="114"/>
      <c r="AL45" s="115"/>
      <c r="AM45" s="130"/>
      <c r="AN45" s="113"/>
      <c r="AO45" s="114"/>
      <c r="AP45" s="115"/>
      <c r="AQ45" s="1"/>
      <c r="AR45" s="134">
        <f t="shared" si="0"/>
        <v>0</v>
      </c>
      <c r="AS45" s="138">
        <v>7425</v>
      </c>
    </row>
    <row r="46" spans="2:45" hidden="1" thickBot="1" x14ac:dyDescent="0.35">
      <c r="B46" s="7">
        <v>7430</v>
      </c>
      <c r="C46" s="15" t="s">
        <v>40</v>
      </c>
      <c r="D46" s="113"/>
      <c r="E46" s="114"/>
      <c r="F46" s="115"/>
      <c r="G46" s="116"/>
      <c r="H46" s="113"/>
      <c r="I46" s="114"/>
      <c r="J46" s="115"/>
      <c r="K46" s="116"/>
      <c r="L46" s="113"/>
      <c r="M46" s="132"/>
      <c r="N46" s="115"/>
      <c r="O46" s="116"/>
      <c r="P46" s="113"/>
      <c r="Q46" s="114"/>
      <c r="R46" s="115"/>
      <c r="S46" s="116"/>
      <c r="T46" s="113"/>
      <c r="U46" s="132"/>
      <c r="V46" s="115"/>
      <c r="W46" s="116"/>
      <c r="X46" s="113"/>
      <c r="Y46" s="114"/>
      <c r="Z46" s="115"/>
      <c r="AA46" s="116"/>
      <c r="AB46" s="113"/>
      <c r="AC46" s="114"/>
      <c r="AD46" s="115"/>
      <c r="AE46" s="116"/>
      <c r="AF46" s="113"/>
      <c r="AG46" s="114"/>
      <c r="AH46" s="115"/>
      <c r="AI46" s="116"/>
      <c r="AJ46" s="113"/>
      <c r="AK46" s="114"/>
      <c r="AL46" s="115"/>
      <c r="AM46" s="130"/>
      <c r="AN46" s="113"/>
      <c r="AO46" s="114"/>
      <c r="AP46" s="115"/>
      <c r="AQ46" s="1"/>
      <c r="AR46" s="134">
        <f t="shared" si="0"/>
        <v>0</v>
      </c>
      <c r="AS46" s="138">
        <v>7430</v>
      </c>
    </row>
    <row r="47" spans="2:45" hidden="1" thickBot="1" x14ac:dyDescent="0.35">
      <c r="B47" s="7">
        <v>7500</v>
      </c>
      <c r="C47" s="15" t="s">
        <v>41</v>
      </c>
      <c r="D47" s="113"/>
      <c r="E47" s="114"/>
      <c r="F47" s="115"/>
      <c r="G47" s="116"/>
      <c r="H47" s="113"/>
      <c r="I47" s="114"/>
      <c r="J47" s="115"/>
      <c r="K47" s="116"/>
      <c r="L47" s="113"/>
      <c r="M47" s="132"/>
      <c r="N47" s="115"/>
      <c r="O47" s="116"/>
      <c r="P47" s="113"/>
      <c r="Q47" s="114"/>
      <c r="R47" s="115"/>
      <c r="S47" s="116"/>
      <c r="T47" s="113"/>
      <c r="U47" s="132"/>
      <c r="V47" s="115"/>
      <c r="W47" s="116"/>
      <c r="X47" s="113"/>
      <c r="Y47" s="114"/>
      <c r="Z47" s="115"/>
      <c r="AA47" s="116"/>
      <c r="AB47" s="113"/>
      <c r="AC47" s="114"/>
      <c r="AD47" s="115"/>
      <c r="AE47" s="116"/>
      <c r="AF47" s="113"/>
      <c r="AG47" s="114"/>
      <c r="AH47" s="115"/>
      <c r="AI47" s="116"/>
      <c r="AJ47" s="113"/>
      <c r="AK47" s="114"/>
      <c r="AL47" s="115"/>
      <c r="AM47" s="130"/>
      <c r="AN47" s="113"/>
      <c r="AO47" s="114"/>
      <c r="AP47" s="115"/>
      <c r="AQ47" s="1"/>
      <c r="AR47" s="134">
        <f t="shared" si="0"/>
        <v>0</v>
      </c>
      <c r="AS47" s="138">
        <v>7500</v>
      </c>
    </row>
    <row r="48" spans="2:45" hidden="1" thickBot="1" x14ac:dyDescent="0.35">
      <c r="B48" s="7">
        <v>7746</v>
      </c>
      <c r="C48" s="15" t="s">
        <v>42</v>
      </c>
      <c r="D48" s="113"/>
      <c r="E48" s="114"/>
      <c r="F48" s="115"/>
      <c r="G48" s="116"/>
      <c r="H48" s="113"/>
      <c r="I48" s="114"/>
      <c r="J48" s="115"/>
      <c r="K48" s="116"/>
      <c r="L48" s="113"/>
      <c r="M48" s="132"/>
      <c r="N48" s="115"/>
      <c r="O48" s="116"/>
      <c r="P48" s="113"/>
      <c r="Q48" s="114"/>
      <c r="R48" s="115"/>
      <c r="S48" s="116"/>
      <c r="T48" s="113"/>
      <c r="U48" s="132"/>
      <c r="V48" s="115"/>
      <c r="W48" s="116"/>
      <c r="X48" s="113"/>
      <c r="Y48" s="114"/>
      <c r="Z48" s="115"/>
      <c r="AA48" s="116"/>
      <c r="AB48" s="113"/>
      <c r="AC48" s="114"/>
      <c r="AD48" s="115"/>
      <c r="AE48" s="116"/>
      <c r="AF48" s="113"/>
      <c r="AG48" s="114"/>
      <c r="AH48" s="115"/>
      <c r="AI48" s="116"/>
      <c r="AJ48" s="113"/>
      <c r="AK48" s="114"/>
      <c r="AL48" s="115"/>
      <c r="AM48" s="130"/>
      <c r="AN48" s="113"/>
      <c r="AO48" s="114"/>
      <c r="AP48" s="115"/>
      <c r="AQ48" s="1"/>
      <c r="AR48" s="134">
        <f t="shared" si="0"/>
        <v>0</v>
      </c>
      <c r="AS48" s="138">
        <v>7746</v>
      </c>
    </row>
    <row r="49" spans="2:45" hidden="1" thickBot="1" x14ac:dyDescent="0.35">
      <c r="B49" s="7">
        <v>7770</v>
      </c>
      <c r="C49" s="15" t="s">
        <v>43</v>
      </c>
      <c r="D49" s="113"/>
      <c r="E49" s="114"/>
      <c r="F49" s="115"/>
      <c r="G49" s="116"/>
      <c r="H49" s="113"/>
      <c r="I49" s="114"/>
      <c r="J49" s="115"/>
      <c r="K49" s="116"/>
      <c r="L49" s="113"/>
      <c r="M49" s="132"/>
      <c r="N49" s="115"/>
      <c r="O49" s="116"/>
      <c r="P49" s="113"/>
      <c r="Q49" s="114"/>
      <c r="R49" s="115"/>
      <c r="S49" s="116"/>
      <c r="T49" s="113"/>
      <c r="U49" s="132"/>
      <c r="V49" s="115"/>
      <c r="W49" s="116"/>
      <c r="X49" s="113"/>
      <c r="Y49" s="114"/>
      <c r="Z49" s="115"/>
      <c r="AA49" s="116"/>
      <c r="AB49" s="113"/>
      <c r="AC49" s="114"/>
      <c r="AD49" s="115"/>
      <c r="AE49" s="116"/>
      <c r="AF49" s="113"/>
      <c r="AG49" s="114"/>
      <c r="AH49" s="115"/>
      <c r="AI49" s="116"/>
      <c r="AJ49" s="113"/>
      <c r="AK49" s="114"/>
      <c r="AL49" s="115"/>
      <c r="AM49" s="130"/>
      <c r="AN49" s="113"/>
      <c r="AO49" s="114"/>
      <c r="AP49" s="115"/>
      <c r="AQ49" s="1"/>
      <c r="AR49" s="134">
        <f t="shared" si="0"/>
        <v>0</v>
      </c>
      <c r="AS49" s="138">
        <v>7770</v>
      </c>
    </row>
    <row r="50" spans="2:45" hidden="1" thickBot="1" x14ac:dyDescent="0.35">
      <c r="B50" s="10">
        <v>7775</v>
      </c>
      <c r="C50" s="16" t="s">
        <v>44</v>
      </c>
      <c r="D50" s="113"/>
      <c r="E50" s="118"/>
      <c r="F50" s="119"/>
      <c r="G50" s="116"/>
      <c r="H50" s="117"/>
      <c r="I50" s="118"/>
      <c r="J50" s="119"/>
      <c r="K50" s="116"/>
      <c r="L50" s="117"/>
      <c r="M50" s="192"/>
      <c r="N50" s="119"/>
      <c r="O50" s="116"/>
      <c r="P50" s="117"/>
      <c r="Q50" s="118"/>
      <c r="R50" s="119"/>
      <c r="S50" s="116"/>
      <c r="T50" s="117"/>
      <c r="U50" s="192"/>
      <c r="V50" s="119"/>
      <c r="W50" s="116"/>
      <c r="X50" s="117"/>
      <c r="Y50" s="118"/>
      <c r="Z50" s="119"/>
      <c r="AA50" s="116"/>
      <c r="AB50" s="117"/>
      <c r="AC50" s="118"/>
      <c r="AD50" s="119"/>
      <c r="AE50" s="116"/>
      <c r="AF50" s="117"/>
      <c r="AG50" s="118"/>
      <c r="AH50" s="119"/>
      <c r="AI50" s="116"/>
      <c r="AJ50" s="117"/>
      <c r="AK50" s="118"/>
      <c r="AL50" s="119"/>
      <c r="AM50" s="130"/>
      <c r="AN50" s="117"/>
      <c r="AO50" s="118"/>
      <c r="AP50" s="119"/>
      <c r="AQ50" s="1"/>
      <c r="AR50" s="134">
        <f t="shared" si="0"/>
        <v>0</v>
      </c>
      <c r="AS50" s="142">
        <v>7775</v>
      </c>
    </row>
    <row r="51" spans="2:45" ht="15.75" thickBot="1" x14ac:dyDescent="0.3">
      <c r="B51" s="32"/>
      <c r="C51" s="33" t="s">
        <v>74</v>
      </c>
      <c r="D51" s="129">
        <f>SUM(D12:D50)</f>
        <v>8134</v>
      </c>
      <c r="E51" s="129"/>
      <c r="F51" s="129">
        <f t="shared" ref="F51" si="4">SUM(F12:F50)</f>
        <v>0</v>
      </c>
      <c r="G51" s="130"/>
      <c r="H51" s="129">
        <f t="shared" ref="H51:J51" si="5">SUM(H12:H50)</f>
        <v>141456.96000000002</v>
      </c>
      <c r="I51" s="129"/>
      <c r="J51" s="129">
        <f t="shared" si="5"/>
        <v>0</v>
      </c>
      <c r="K51" s="130"/>
      <c r="L51" s="129">
        <f>SUM(L12:L50)</f>
        <v>129900</v>
      </c>
      <c r="M51" s="193"/>
      <c r="N51" s="129">
        <f t="shared" ref="N51" si="6">SUM(N12:N50)</f>
        <v>0</v>
      </c>
      <c r="O51" s="130"/>
      <c r="P51" s="129">
        <f t="shared" ref="P51:R51" si="7">SUM(P12:P50)</f>
        <v>41493.440000000002</v>
      </c>
      <c r="Q51" s="129"/>
      <c r="R51" s="129">
        <f t="shared" si="7"/>
        <v>0</v>
      </c>
      <c r="S51" s="130"/>
      <c r="T51" s="129">
        <f t="shared" ref="T51:V51" si="8">SUM(T12:T50)</f>
        <v>101200</v>
      </c>
      <c r="U51" s="193"/>
      <c r="V51" s="129">
        <f t="shared" si="8"/>
        <v>0</v>
      </c>
      <c r="W51" s="130"/>
      <c r="X51" s="129">
        <f t="shared" ref="X51:Z51" si="9">SUM(X12:X50)</f>
        <v>0</v>
      </c>
      <c r="Y51" s="129"/>
      <c r="Z51" s="129">
        <f t="shared" si="9"/>
        <v>0</v>
      </c>
      <c r="AA51" s="130"/>
      <c r="AB51" s="129">
        <f t="shared" ref="AB51" si="10">SUM(AB12:AB50)</f>
        <v>0</v>
      </c>
      <c r="AC51" s="129"/>
      <c r="AD51" s="129"/>
      <c r="AE51" s="130"/>
      <c r="AF51" s="129">
        <f t="shared" ref="AF51" si="11">SUM(AF12:AF50)</f>
        <v>0</v>
      </c>
      <c r="AG51" s="129"/>
      <c r="AH51" s="129"/>
      <c r="AI51" s="130"/>
      <c r="AJ51" s="129">
        <f t="shared" ref="AJ51" si="12">SUM(AJ12:AJ50)</f>
        <v>0</v>
      </c>
      <c r="AK51" s="129"/>
      <c r="AL51" s="129"/>
      <c r="AM51" s="130"/>
      <c r="AN51" s="129">
        <f t="shared" ref="AN51" si="13">SUM(AN12:AN50)</f>
        <v>0</v>
      </c>
      <c r="AO51" s="129"/>
      <c r="AP51" s="129"/>
      <c r="AQ51" s="1"/>
      <c r="AR51" s="134">
        <f>AN51+AJ51+AF51+AB51+X51+T51+P51+H51+D51+L51</f>
        <v>422184.4</v>
      </c>
      <c r="AS51" s="145"/>
    </row>
    <row r="52" spans="2:45" ht="15.75" thickBot="1" x14ac:dyDescent="0.3">
      <c r="C52" s="18" t="s">
        <v>51</v>
      </c>
      <c r="D52" s="136">
        <f>D11-D51</f>
        <v>-8134</v>
      </c>
      <c r="E52" s="136"/>
      <c r="F52" s="136">
        <f t="shared" ref="F52" si="14">F11-F51</f>
        <v>0</v>
      </c>
      <c r="G52" s="130"/>
      <c r="H52" s="136">
        <f>H11-H51</f>
        <v>-141456.96000000002</v>
      </c>
      <c r="I52" s="136"/>
      <c r="J52" s="136">
        <f t="shared" ref="J52" si="15">J11-J51</f>
        <v>0</v>
      </c>
      <c r="K52" s="130"/>
      <c r="L52" s="136">
        <f>L11-L51</f>
        <v>-83400</v>
      </c>
      <c r="M52" s="211"/>
      <c r="N52" s="136">
        <f t="shared" ref="N52" si="16">N11-N51</f>
        <v>0</v>
      </c>
      <c r="O52" s="130"/>
      <c r="P52" s="136">
        <f>P11-P51</f>
        <v>-13993.440000000002</v>
      </c>
      <c r="Q52" s="136"/>
      <c r="R52" s="136">
        <f t="shared" ref="R52" si="17">R11-R51</f>
        <v>0</v>
      </c>
      <c r="S52" s="130"/>
      <c r="T52" s="136">
        <f>T11-T51</f>
        <v>-101200</v>
      </c>
      <c r="U52" s="211"/>
      <c r="V52" s="136">
        <f t="shared" ref="V52" si="18">V11-V51</f>
        <v>0</v>
      </c>
      <c r="W52" s="130"/>
      <c r="X52" s="136">
        <f>X11-X51</f>
        <v>0</v>
      </c>
      <c r="Y52" s="136"/>
      <c r="Z52" s="136">
        <f t="shared" ref="Z52" si="19">Z11-Z51</f>
        <v>0</v>
      </c>
      <c r="AA52" s="130"/>
      <c r="AB52" s="136">
        <f t="shared" ref="AB52" si="20">AB11+AB51</f>
        <v>0</v>
      </c>
      <c r="AC52" s="136"/>
      <c r="AD52" s="136"/>
      <c r="AE52" s="130"/>
      <c r="AF52" s="136">
        <f t="shared" ref="AF52" si="21">AF11+AF51</f>
        <v>0</v>
      </c>
      <c r="AG52" s="136"/>
      <c r="AH52" s="136"/>
      <c r="AI52" s="130"/>
      <c r="AJ52" s="136">
        <f t="shared" ref="AJ52" si="22">AJ11+AJ51</f>
        <v>0</v>
      </c>
      <c r="AK52" s="136"/>
      <c r="AL52" s="136"/>
      <c r="AM52" s="130"/>
      <c r="AN52" s="136">
        <f>AN11+AN51</f>
        <v>0</v>
      </c>
      <c r="AO52" s="136"/>
      <c r="AP52" s="136"/>
      <c r="AQ52" s="1"/>
      <c r="AR52" s="136">
        <f>AR11-AR51</f>
        <v>-348184.4</v>
      </c>
      <c r="AS52" s="143"/>
    </row>
    <row r="53" spans="2:45" x14ac:dyDescent="0.25">
      <c r="D53" s="19"/>
      <c r="E53" s="19"/>
      <c r="F53" s="19"/>
      <c r="G53" s="9"/>
      <c r="I53" s="1"/>
      <c r="K53" s="9"/>
      <c r="L53" s="1"/>
      <c r="P53" s="1"/>
      <c r="W53" s="9"/>
      <c r="AA53" s="9"/>
      <c r="AB53" s="1"/>
      <c r="AC53" s="9"/>
      <c r="AG53" s="9"/>
      <c r="AH53" s="1"/>
      <c r="AI53" s="9"/>
      <c r="AN53" s="1"/>
      <c r="AP53" s="1"/>
      <c r="AQ53" s="1"/>
      <c r="AR53" s="1"/>
      <c r="AS53" s="1"/>
    </row>
    <row r="54" spans="2:45" x14ac:dyDescent="0.25">
      <c r="H54" s="274"/>
      <c r="I54" s="274"/>
      <c r="J54" s="274"/>
      <c r="K54"/>
      <c r="L54" s="274"/>
      <c r="M54" s="274"/>
      <c r="N54" s="274"/>
      <c r="O54"/>
      <c r="P54"/>
      <c r="Q54"/>
    </row>
    <row r="55" spans="2:45" x14ac:dyDescent="0.25">
      <c r="H55" s="274"/>
      <c r="I55" s="274"/>
      <c r="J55" s="274"/>
      <c r="K55"/>
      <c r="L55" s="274"/>
      <c r="M55" s="274"/>
      <c r="N55" s="274"/>
      <c r="O55"/>
      <c r="P55"/>
      <c r="Q55"/>
    </row>
    <row r="56" spans="2:45" x14ac:dyDescent="0.25">
      <c r="H56"/>
      <c r="I56"/>
      <c r="J56"/>
      <c r="K56"/>
      <c r="L56"/>
      <c r="M56"/>
      <c r="N56"/>
      <c r="O56"/>
      <c r="P56"/>
      <c r="Q56"/>
    </row>
    <row r="57" spans="2:45" x14ac:dyDescent="0.25">
      <c r="H57" s="274"/>
      <c r="I57" s="274"/>
      <c r="J57" s="274"/>
      <c r="K57" s="274"/>
      <c r="L57" s="274"/>
      <c r="M57"/>
      <c r="N57"/>
      <c r="O57"/>
      <c r="P57"/>
      <c r="Q57"/>
    </row>
    <row r="58" spans="2:45" x14ac:dyDescent="0.25">
      <c r="H58"/>
      <c r="I58"/>
      <c r="J58"/>
      <c r="K58"/>
      <c r="L58"/>
      <c r="M58"/>
      <c r="N58"/>
      <c r="O58"/>
      <c r="P58"/>
      <c r="Q58"/>
    </row>
    <row r="59" spans="2:45" x14ac:dyDescent="0.25">
      <c r="H59"/>
      <c r="I59"/>
      <c r="J59"/>
      <c r="K59"/>
      <c r="L59"/>
      <c r="M59"/>
      <c r="N59"/>
      <c r="O59"/>
      <c r="P59"/>
      <c r="Q59"/>
    </row>
    <row r="60" spans="2:45" x14ac:dyDescent="0.25">
      <c r="H60"/>
      <c r="I60"/>
      <c r="J60"/>
      <c r="K60"/>
      <c r="L60"/>
      <c r="M60"/>
      <c r="N60"/>
      <c r="O60"/>
      <c r="P60"/>
      <c r="Q60"/>
    </row>
    <row r="61" spans="2:45" x14ac:dyDescent="0.25">
      <c r="H61"/>
      <c r="I61"/>
      <c r="J61"/>
      <c r="K61"/>
      <c r="L61"/>
      <c r="M61"/>
      <c r="N61"/>
      <c r="O61"/>
      <c r="P61"/>
      <c r="Q61"/>
    </row>
    <row r="62" spans="2:45" x14ac:dyDescent="0.25">
      <c r="H62"/>
      <c r="I62"/>
      <c r="J62"/>
      <c r="K62"/>
      <c r="L62"/>
      <c r="M62"/>
      <c r="N62"/>
      <c r="O62"/>
      <c r="P62"/>
      <c r="Q62"/>
    </row>
    <row r="63" spans="2:45" x14ac:dyDescent="0.25">
      <c r="H63"/>
      <c r="I63"/>
      <c r="J63"/>
      <c r="K63"/>
      <c r="L63"/>
      <c r="M63"/>
      <c r="N63"/>
      <c r="O63"/>
      <c r="P63"/>
      <c r="Q63"/>
    </row>
    <row r="64" spans="2:45" x14ac:dyDescent="0.25">
      <c r="H64"/>
      <c r="I64"/>
      <c r="J64"/>
      <c r="K64"/>
      <c r="L64"/>
      <c r="M64"/>
      <c r="N64"/>
      <c r="O64"/>
      <c r="P64"/>
      <c r="Q64"/>
    </row>
    <row r="65" spans="3:17" x14ac:dyDescent="0.25">
      <c r="H65"/>
      <c r="I65"/>
      <c r="J65"/>
      <c r="K65"/>
      <c r="L65"/>
      <c r="M65"/>
      <c r="N65"/>
      <c r="O65"/>
      <c r="P65"/>
      <c r="Q65"/>
    </row>
    <row r="66" spans="3:17" x14ac:dyDescent="0.25">
      <c r="H66"/>
      <c r="I66"/>
      <c r="J66"/>
      <c r="K66"/>
      <c r="L66"/>
      <c r="M66"/>
      <c r="N66"/>
      <c r="O66"/>
      <c r="P66"/>
      <c r="Q66"/>
    </row>
    <row r="67" spans="3:17" x14ac:dyDescent="0.25">
      <c r="H67"/>
      <c r="I67"/>
      <c r="J67"/>
      <c r="K67"/>
      <c r="L67"/>
      <c r="M67"/>
      <c r="N67"/>
      <c r="O67"/>
      <c r="P67"/>
      <c r="Q67"/>
    </row>
    <row r="68" spans="3:17" x14ac:dyDescent="0.25">
      <c r="H68"/>
      <c r="I68"/>
      <c r="J68"/>
      <c r="K68"/>
      <c r="L68"/>
      <c r="M68"/>
      <c r="N68"/>
      <c r="O68"/>
      <c r="P68"/>
      <c r="Q68"/>
    </row>
    <row r="69" spans="3:17" x14ac:dyDescent="0.25">
      <c r="H69"/>
      <c r="I69"/>
      <c r="J69"/>
      <c r="K69"/>
      <c r="L69"/>
      <c r="M69"/>
      <c r="N69"/>
      <c r="O69"/>
      <c r="P69"/>
      <c r="Q69"/>
    </row>
    <row r="70" spans="3:17" x14ac:dyDescent="0.25">
      <c r="H70"/>
      <c r="I70"/>
      <c r="J70"/>
      <c r="K70"/>
      <c r="L70"/>
      <c r="M70"/>
      <c r="N70"/>
      <c r="O70"/>
      <c r="P70"/>
      <c r="Q70"/>
    </row>
    <row r="71" spans="3:17" x14ac:dyDescent="0.25">
      <c r="H71"/>
      <c r="I71"/>
      <c r="J71"/>
      <c r="K71"/>
      <c r="L71"/>
      <c r="M71"/>
      <c r="N71"/>
      <c r="O71"/>
      <c r="P71"/>
      <c r="Q71"/>
    </row>
    <row r="72" spans="3:17" x14ac:dyDescent="0.25">
      <c r="H72"/>
      <c r="I72"/>
      <c r="J72"/>
      <c r="K72"/>
      <c r="L72"/>
      <c r="M72"/>
      <c r="N72"/>
      <c r="O72"/>
      <c r="P72"/>
      <c r="Q72"/>
    </row>
    <row r="73" spans="3:17" x14ac:dyDescent="0.25">
      <c r="H73"/>
      <c r="I73"/>
      <c r="J73"/>
      <c r="K73"/>
      <c r="L73"/>
      <c r="M73"/>
      <c r="N73"/>
      <c r="O73"/>
      <c r="P73"/>
      <c r="Q73"/>
    </row>
    <row r="74" spans="3:17" x14ac:dyDescent="0.25">
      <c r="H74"/>
      <c r="I74"/>
      <c r="J74"/>
      <c r="K74"/>
      <c r="L74"/>
      <c r="M74"/>
      <c r="N74"/>
      <c r="O74"/>
      <c r="P74"/>
      <c r="Q74"/>
    </row>
    <row r="75" spans="3:17" x14ac:dyDescent="0.25">
      <c r="H75"/>
      <c r="I75"/>
      <c r="J75"/>
      <c r="K75"/>
      <c r="L75"/>
      <c r="M75"/>
      <c r="N75"/>
      <c r="O75"/>
      <c r="P75"/>
      <c r="Q75"/>
    </row>
    <row r="76" spans="3:17" x14ac:dyDescent="0.25">
      <c r="H76"/>
      <c r="I76"/>
      <c r="J76"/>
      <c r="K76"/>
      <c r="L76"/>
      <c r="M76"/>
      <c r="N76"/>
      <c r="O76"/>
      <c r="P76"/>
      <c r="Q76"/>
    </row>
    <row r="77" spans="3:17" x14ac:dyDescent="0.25">
      <c r="F77" s="112"/>
      <c r="H77"/>
      <c r="I77"/>
      <c r="J77"/>
      <c r="K77"/>
      <c r="L77"/>
      <c r="M77"/>
      <c r="N77"/>
      <c r="O77"/>
      <c r="P77"/>
      <c r="Q77"/>
    </row>
    <row r="78" spans="3:17" x14ac:dyDescent="0.25">
      <c r="H78"/>
      <c r="I78"/>
      <c r="J78"/>
      <c r="K78"/>
      <c r="L78"/>
      <c r="M78"/>
      <c r="N78"/>
      <c r="O78"/>
      <c r="P78"/>
      <c r="Q78"/>
    </row>
    <row r="79" spans="3:17" x14ac:dyDescent="0.25">
      <c r="H79"/>
      <c r="I79"/>
      <c r="J79"/>
      <c r="K79"/>
      <c r="L79"/>
      <c r="M79"/>
      <c r="N79"/>
      <c r="O79"/>
      <c r="P79"/>
      <c r="Q79"/>
    </row>
    <row r="80" spans="3:17" x14ac:dyDescent="0.25">
      <c r="C80" s="85"/>
      <c r="D80" s="86"/>
      <c r="E80" s="85"/>
      <c r="H80"/>
      <c r="I80"/>
      <c r="J80"/>
      <c r="K80"/>
      <c r="L80"/>
      <c r="M80"/>
      <c r="N80"/>
      <c r="O80"/>
      <c r="P80"/>
      <c r="Q80"/>
    </row>
    <row r="81" spans="8:17" x14ac:dyDescent="0.25">
      <c r="H81"/>
      <c r="I81"/>
      <c r="J81"/>
      <c r="K81"/>
      <c r="L81"/>
      <c r="M81"/>
      <c r="N81"/>
      <c r="O81"/>
      <c r="P81"/>
      <c r="Q81"/>
    </row>
    <row r="82" spans="8:17" x14ac:dyDescent="0.25">
      <c r="H82"/>
      <c r="I82"/>
      <c r="J82"/>
      <c r="K82"/>
      <c r="L82"/>
      <c r="M82"/>
      <c r="N82"/>
      <c r="O82"/>
      <c r="P82"/>
      <c r="Q82"/>
    </row>
    <row r="83" spans="8:17" x14ac:dyDescent="0.25">
      <c r="H83"/>
      <c r="I83"/>
      <c r="J83"/>
      <c r="K83"/>
      <c r="L83"/>
      <c r="M83"/>
      <c r="N83"/>
      <c r="O83"/>
      <c r="P83"/>
      <c r="Q83"/>
    </row>
    <row r="84" spans="8:17" x14ac:dyDescent="0.25">
      <c r="H84"/>
      <c r="I84"/>
      <c r="J84"/>
      <c r="K84"/>
      <c r="L84"/>
      <c r="M84"/>
      <c r="N84"/>
      <c r="O84"/>
      <c r="P84"/>
      <c r="Q84"/>
    </row>
    <row r="85" spans="8:17" x14ac:dyDescent="0.25">
      <c r="H85"/>
      <c r="I85"/>
      <c r="J85"/>
      <c r="K85"/>
      <c r="L85"/>
      <c r="M85"/>
      <c r="N85"/>
      <c r="O85"/>
      <c r="P85"/>
      <c r="Q85"/>
    </row>
    <row r="86" spans="8:17" x14ac:dyDescent="0.25">
      <c r="H86"/>
      <c r="I86"/>
      <c r="J86"/>
      <c r="K86"/>
      <c r="L86"/>
      <c r="M86"/>
      <c r="N86"/>
      <c r="O86"/>
      <c r="P86"/>
      <c r="Q86"/>
    </row>
    <row r="87" spans="8:17" x14ac:dyDescent="0.25">
      <c r="H87"/>
      <c r="I87"/>
      <c r="J87"/>
      <c r="K87"/>
      <c r="L87"/>
      <c r="M87"/>
      <c r="N87"/>
      <c r="O87"/>
      <c r="P87"/>
      <c r="Q87"/>
    </row>
    <row r="88" spans="8:17" x14ac:dyDescent="0.25">
      <c r="H88"/>
      <c r="I88"/>
      <c r="J88"/>
      <c r="K88"/>
      <c r="L88"/>
      <c r="M88"/>
      <c r="N88"/>
      <c r="O88"/>
      <c r="P88"/>
      <c r="Q88"/>
    </row>
    <row r="89" spans="8:17" x14ac:dyDescent="0.25">
      <c r="H89"/>
      <c r="I89"/>
      <c r="J89"/>
      <c r="K89"/>
      <c r="L89"/>
      <c r="M89"/>
      <c r="N89"/>
      <c r="O89"/>
      <c r="P89"/>
      <c r="Q89"/>
    </row>
    <row r="90" spans="8:17" x14ac:dyDescent="0.25">
      <c r="H90"/>
      <c r="I90"/>
      <c r="J90"/>
      <c r="K90"/>
      <c r="L90"/>
      <c r="M90"/>
      <c r="N90"/>
      <c r="O90"/>
      <c r="P90"/>
      <c r="Q90"/>
    </row>
    <row r="91" spans="8:17" x14ac:dyDescent="0.25">
      <c r="H91"/>
      <c r="I91"/>
      <c r="J91"/>
      <c r="K91"/>
      <c r="L91"/>
      <c r="M91"/>
      <c r="N91"/>
      <c r="O91"/>
      <c r="P91"/>
      <c r="Q91"/>
    </row>
    <row r="92" spans="8:17" x14ac:dyDescent="0.25">
      <c r="H92"/>
      <c r="I92"/>
      <c r="J92"/>
      <c r="K92"/>
      <c r="L92"/>
      <c r="M92"/>
      <c r="N92"/>
      <c r="O92"/>
      <c r="P92"/>
      <c r="Q92"/>
    </row>
    <row r="93" spans="8:17" x14ac:dyDescent="0.25">
      <c r="H93"/>
      <c r="I93"/>
      <c r="J93"/>
      <c r="K93"/>
      <c r="L93"/>
      <c r="M93"/>
      <c r="N93"/>
      <c r="O93"/>
      <c r="P93"/>
      <c r="Q93"/>
    </row>
    <row r="94" spans="8:17" x14ac:dyDescent="0.25">
      <c r="H94"/>
      <c r="I94"/>
      <c r="J94"/>
      <c r="K94"/>
      <c r="L94"/>
      <c r="M94"/>
      <c r="N94"/>
      <c r="O94"/>
      <c r="P94"/>
      <c r="Q94"/>
    </row>
  </sheetData>
  <sheetProtection algorithmName="SHA-512" hashValue="jWU5vl/sw53e/UnqH52ezqe8zKrt0AfTXj3Ezpsh3bNFzumwPSX8quefWji9gsYZDBQu/y0yAP/dA3l1riMqmQ==" saltValue="52gKkVqfzYtX/JWuKkt8/w==" spinCount="100000" sheet="1" objects="1" scenarios="1" selectLockedCells="1"/>
  <protectedRanges>
    <protectedRange sqref="D17 I17 Q17 T17:U17 X17:Y17 AB17:AC17 AF17:AG17 AJ17:AK17 AN17:AO17 M17" name="Område2_2_1"/>
    <protectedRange password="8B3B" sqref="D19 I19 Q19 T19:U19 X19:Y19 AB19:AC19 AF19:AG19 AJ19:AK19 AN19:AO19 M19" name="Område1_2_1"/>
  </protectedRanges>
  <mergeCells count="15">
    <mergeCell ref="H57:L57"/>
    <mergeCell ref="L54:N55"/>
    <mergeCell ref="H54:J55"/>
    <mergeCell ref="M1:N1"/>
    <mergeCell ref="AO1:AP1"/>
    <mergeCell ref="AC1:AD1"/>
    <mergeCell ref="AG1:AH1"/>
    <mergeCell ref="AK1:AL1"/>
    <mergeCell ref="B2:C2"/>
    <mergeCell ref="E1:F1"/>
    <mergeCell ref="I1:J1"/>
    <mergeCell ref="U1:V1"/>
    <mergeCell ref="Y1:Z1"/>
    <mergeCell ref="B1:C1"/>
    <mergeCell ref="Q1:R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4"/>
  <sheetViews>
    <sheetView zoomScale="70" zoomScaleNormal="70" zoomScalePageLayoutView="90" workbookViewId="0">
      <pane xSplit="3" topLeftCell="D1" activePane="topRight" state="frozen"/>
      <selection pane="topRight" activeCell="H45" sqref="H45"/>
    </sheetView>
  </sheetViews>
  <sheetFormatPr baseColWidth="10" defaultColWidth="11.42578125" defaultRowHeight="15" x14ac:dyDescent="0.25"/>
  <cols>
    <col min="1" max="1" width="9.42578125" style="1" bestFit="1" customWidth="1"/>
    <col min="2" max="2" width="8.5703125" style="1" bestFit="1" customWidth="1"/>
    <col min="3" max="3" width="37.5703125" style="1" bestFit="1" customWidth="1"/>
    <col min="4" max="4" width="17.140625" style="9" bestFit="1" customWidth="1"/>
    <col min="5" max="5" width="16.42578125" style="1" bestFit="1" customWidth="1"/>
    <col min="6" max="6" width="19.140625" style="9" bestFit="1" customWidth="1"/>
    <col min="7" max="7" width="3.5703125" style="1" customWidth="1"/>
    <col min="8" max="8" width="17.140625" style="1" bestFit="1" customWidth="1"/>
    <col min="9" max="9" width="30.28515625" style="9" bestFit="1" customWidth="1"/>
    <col min="10" max="10" width="19.140625" style="1" bestFit="1" customWidth="1"/>
    <col min="11" max="11" width="4.5703125" style="1" customWidth="1"/>
    <col min="12" max="12" width="17.140625" style="9" bestFit="1" customWidth="1"/>
    <col min="13" max="13" width="16.42578125" style="1" bestFit="1" customWidth="1"/>
    <col min="14" max="14" width="19.140625" style="1" bestFit="1" customWidth="1"/>
    <col min="15" max="15" width="4.5703125" style="9" customWidth="1"/>
    <col min="16" max="16" width="17.140625" style="1" bestFit="1" customWidth="1"/>
    <col min="17" max="17" width="16.42578125" style="1" bestFit="1" customWidth="1"/>
    <col min="18" max="18" width="19.140625" style="9" bestFit="1" customWidth="1"/>
    <col min="19" max="19" width="4.5703125" style="1" customWidth="1"/>
    <col min="20" max="20" width="17.140625" style="1" bestFit="1" customWidth="1"/>
    <col min="21" max="21" width="16.42578125" style="9" bestFit="1" customWidth="1"/>
    <col min="22" max="22" width="19.140625" style="1" bestFit="1" customWidth="1"/>
    <col min="23" max="23" width="5.42578125" style="1" customWidth="1"/>
    <col min="24" max="24" width="16.5703125" style="9" bestFit="1" customWidth="1"/>
    <col min="25" max="25" width="13.42578125" style="1" customWidth="1"/>
    <col min="26" max="26" width="6.42578125" style="1" bestFit="1" customWidth="1"/>
    <col min="27" max="27" width="4.5703125" style="9" customWidth="1"/>
    <col min="28" max="28" width="13.42578125" style="1" bestFit="1" customWidth="1"/>
    <col min="29" max="29" width="25.5703125" style="1" customWidth="1"/>
    <col min="30" max="30" width="4.5703125" style="9" customWidth="1"/>
    <col min="31" max="31" width="13.42578125" style="1" bestFit="1" customWidth="1"/>
    <col min="32" max="32" width="25.5703125" style="1" customWidth="1"/>
    <col min="33" max="33" width="4.5703125" style="9" customWidth="1"/>
    <col min="34" max="34" width="13.42578125" style="1" bestFit="1" customWidth="1"/>
    <col min="35" max="35" width="25.5703125" style="1" customWidth="1"/>
    <col min="36" max="53" width="4.5703125" style="9" customWidth="1"/>
    <col min="54" max="16384" width="11.42578125" style="1"/>
  </cols>
  <sheetData>
    <row r="1" spans="1:53" ht="15.75" thickBot="1" x14ac:dyDescent="0.3">
      <c r="A1" s="39"/>
      <c r="B1" s="260" t="s">
        <v>76</v>
      </c>
      <c r="C1" s="261"/>
      <c r="D1" s="25">
        <v>90000</v>
      </c>
      <c r="E1" s="264" t="s">
        <v>53</v>
      </c>
      <c r="F1" s="265"/>
      <c r="G1" s="2"/>
      <c r="H1" s="25">
        <v>91000</v>
      </c>
      <c r="I1" s="264" t="s">
        <v>69</v>
      </c>
      <c r="J1" s="265" t="s">
        <v>54</v>
      </c>
      <c r="K1" s="2"/>
      <c r="L1" s="25">
        <v>92000</v>
      </c>
      <c r="M1" s="264" t="s">
        <v>193</v>
      </c>
      <c r="N1" s="265"/>
      <c r="O1" s="2"/>
      <c r="P1" s="25"/>
      <c r="Q1" s="264"/>
      <c r="R1" s="265"/>
      <c r="S1" s="2"/>
      <c r="T1" s="25"/>
      <c r="U1" s="264"/>
      <c r="V1" s="265"/>
      <c r="X1" s="1"/>
      <c r="Y1" s="43"/>
      <c r="Z1" s="42"/>
      <c r="AA1" s="40"/>
      <c r="AB1" s="42"/>
      <c r="AC1" s="42"/>
      <c r="AD1" s="40"/>
      <c r="AE1" s="42"/>
      <c r="AF1" s="42"/>
      <c r="AG1" s="40"/>
      <c r="AH1" s="42"/>
      <c r="AI1" s="4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thickBot="1" x14ac:dyDescent="0.35">
      <c r="A2" s="38"/>
      <c r="B2" s="260" t="s">
        <v>75</v>
      </c>
      <c r="C2" s="261"/>
      <c r="D2" s="20"/>
      <c r="E2" s="21"/>
      <c r="F2" s="22"/>
      <c r="G2" s="3"/>
      <c r="H2" s="20"/>
      <c r="I2" s="21"/>
      <c r="J2" s="22"/>
      <c r="K2" s="3"/>
      <c r="L2" s="20"/>
      <c r="M2" s="21"/>
      <c r="N2" s="22"/>
      <c r="O2" s="3"/>
      <c r="P2" s="20"/>
      <c r="Q2" s="21"/>
      <c r="R2" s="22"/>
      <c r="S2" s="3"/>
      <c r="T2" s="20"/>
      <c r="U2" s="21"/>
      <c r="V2" s="22"/>
      <c r="X2" s="1"/>
      <c r="Y2" s="43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thickBot="1" x14ac:dyDescent="0.35">
      <c r="B3" s="4" t="s">
        <v>0</v>
      </c>
      <c r="C3" s="24" t="s">
        <v>47</v>
      </c>
      <c r="D3" s="35" t="s">
        <v>71</v>
      </c>
      <c r="E3" s="36" t="s">
        <v>70</v>
      </c>
      <c r="F3" s="37" t="s">
        <v>72</v>
      </c>
      <c r="G3" s="5"/>
      <c r="H3" s="35" t="s">
        <v>71</v>
      </c>
      <c r="I3" s="36" t="s">
        <v>70</v>
      </c>
      <c r="J3" s="37" t="s">
        <v>72</v>
      </c>
      <c r="K3" s="5"/>
      <c r="L3" s="35" t="s">
        <v>71</v>
      </c>
      <c r="M3" s="36" t="s">
        <v>70</v>
      </c>
      <c r="N3" s="37" t="s">
        <v>72</v>
      </c>
      <c r="O3" s="5"/>
      <c r="P3" s="35" t="s">
        <v>71</v>
      </c>
      <c r="Q3" s="36" t="s">
        <v>70</v>
      </c>
      <c r="R3" s="37" t="s">
        <v>72</v>
      </c>
      <c r="S3" s="5"/>
      <c r="T3" s="35" t="s">
        <v>71</v>
      </c>
      <c r="U3" s="36" t="s">
        <v>70</v>
      </c>
      <c r="V3" s="37" t="s">
        <v>72</v>
      </c>
      <c r="X3" s="133" t="s">
        <v>52</v>
      </c>
      <c r="Y3" s="137" t="s">
        <v>0</v>
      </c>
      <c r="Z3" s="44"/>
      <c r="AA3" s="42"/>
      <c r="AB3" s="42"/>
      <c r="AC3" s="44"/>
      <c r="AD3" s="42"/>
      <c r="AE3" s="42"/>
      <c r="AF3" s="44"/>
      <c r="AG3" s="42"/>
      <c r="AH3" s="42"/>
      <c r="AI3" s="4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thickBot="1" x14ac:dyDescent="0.35">
      <c r="A4" s="6" t="s">
        <v>45</v>
      </c>
      <c r="B4" s="7">
        <v>3100</v>
      </c>
      <c r="C4" s="23" t="s">
        <v>3</v>
      </c>
      <c r="D4" s="113"/>
      <c r="E4" s="114"/>
      <c r="F4" s="115"/>
      <c r="G4" s="116"/>
      <c r="H4" s="113"/>
      <c r="I4" s="114"/>
      <c r="J4" s="115"/>
      <c r="K4" s="116"/>
      <c r="L4" s="113"/>
      <c r="M4" s="114"/>
      <c r="N4" s="115"/>
      <c r="O4" s="116"/>
      <c r="P4" s="113"/>
      <c r="Q4" s="114"/>
      <c r="R4" s="115"/>
      <c r="S4" s="116"/>
      <c r="T4" s="113"/>
      <c r="U4" s="114"/>
      <c r="V4" s="115"/>
      <c r="X4" s="134">
        <f t="shared" ref="X4:X51" si="0">T4+P4+L4+H4+D4</f>
        <v>0</v>
      </c>
      <c r="Y4" s="138">
        <v>3100</v>
      </c>
      <c r="Z4" s="43"/>
      <c r="AA4" s="43"/>
      <c r="AB4" s="45"/>
      <c r="AC4" s="43"/>
      <c r="AD4" s="43"/>
      <c r="AE4" s="45"/>
      <c r="AF4" s="43"/>
      <c r="AG4" s="43"/>
      <c r="AH4" s="45"/>
      <c r="AI4" s="43"/>
    </row>
    <row r="5" spans="1:53" hidden="1" thickBot="1" x14ac:dyDescent="0.35">
      <c r="B5" s="7">
        <v>3120</v>
      </c>
      <c r="C5" s="8" t="s">
        <v>4</v>
      </c>
      <c r="D5" s="113"/>
      <c r="E5" s="114"/>
      <c r="F5" s="115"/>
      <c r="G5" s="116"/>
      <c r="H5" s="113"/>
      <c r="I5" s="114"/>
      <c r="J5" s="115"/>
      <c r="K5" s="116"/>
      <c r="L5" s="113"/>
      <c r="M5" s="114"/>
      <c r="N5" s="115"/>
      <c r="O5" s="116"/>
      <c r="P5" s="113"/>
      <c r="Q5" s="114"/>
      <c r="R5" s="115"/>
      <c r="S5" s="116"/>
      <c r="T5" s="113"/>
      <c r="U5" s="114"/>
      <c r="V5" s="115"/>
      <c r="X5" s="134">
        <f t="shared" si="0"/>
        <v>0</v>
      </c>
      <c r="Y5" s="138">
        <v>3120</v>
      </c>
      <c r="Z5" s="43"/>
      <c r="AA5" s="43"/>
      <c r="AB5" s="45"/>
      <c r="AC5" s="43"/>
      <c r="AD5" s="43"/>
      <c r="AE5" s="45"/>
      <c r="AF5" s="43"/>
      <c r="AG5" s="43"/>
      <c r="AH5" s="45"/>
      <c r="AI5" s="43"/>
    </row>
    <row r="6" spans="1:53" hidden="1" thickBot="1" x14ac:dyDescent="0.35">
      <c r="B6" s="7">
        <v>3400</v>
      </c>
      <c r="C6" s="8" t="s">
        <v>5</v>
      </c>
      <c r="D6" s="113"/>
      <c r="E6" s="114"/>
      <c r="F6" s="115"/>
      <c r="G6" s="116"/>
      <c r="H6" s="113"/>
      <c r="I6" s="114"/>
      <c r="J6" s="115"/>
      <c r="K6" s="116"/>
      <c r="L6" s="113"/>
      <c r="M6" s="114"/>
      <c r="N6" s="115"/>
      <c r="O6" s="116"/>
      <c r="P6" s="113"/>
      <c r="Q6" s="114"/>
      <c r="R6" s="115"/>
      <c r="S6" s="116"/>
      <c r="T6" s="113"/>
      <c r="U6" s="114"/>
      <c r="V6" s="115"/>
      <c r="X6" s="134">
        <f t="shared" si="0"/>
        <v>0</v>
      </c>
      <c r="Y6" s="138">
        <v>3400</v>
      </c>
      <c r="Z6" s="43"/>
      <c r="AA6" s="43"/>
      <c r="AB6" s="45"/>
      <c r="AC6" s="43"/>
      <c r="AD6" s="43"/>
      <c r="AE6" s="45"/>
      <c r="AF6" s="43"/>
      <c r="AG6" s="43"/>
      <c r="AH6" s="45"/>
      <c r="AI6" s="43"/>
    </row>
    <row r="7" spans="1:53" hidden="1" thickBot="1" x14ac:dyDescent="0.35">
      <c r="B7" s="7">
        <v>3410</v>
      </c>
      <c r="C7" s="8" t="s">
        <v>6</v>
      </c>
      <c r="D7" s="113"/>
      <c r="E7" s="114"/>
      <c r="F7" s="115"/>
      <c r="G7" s="116"/>
      <c r="H7" s="113"/>
      <c r="I7" s="114"/>
      <c r="J7" s="115"/>
      <c r="K7" s="116"/>
      <c r="L7" s="113"/>
      <c r="M7" s="114"/>
      <c r="N7" s="115"/>
      <c r="O7" s="116"/>
      <c r="P7" s="113"/>
      <c r="Q7" s="114"/>
      <c r="R7" s="115"/>
      <c r="S7" s="116"/>
      <c r="T7" s="113"/>
      <c r="U7" s="114"/>
      <c r="V7" s="115"/>
      <c r="X7" s="134">
        <f t="shared" si="0"/>
        <v>0</v>
      </c>
      <c r="Y7" s="138">
        <v>3410</v>
      </c>
      <c r="Z7" s="43"/>
      <c r="AA7" s="43"/>
      <c r="AB7" s="45"/>
      <c r="AC7" s="43"/>
      <c r="AD7" s="43"/>
      <c r="AE7" s="45"/>
      <c r="AF7" s="43"/>
      <c r="AG7" s="43"/>
      <c r="AH7" s="45"/>
      <c r="AI7" s="43"/>
    </row>
    <row r="8" spans="1:53" hidden="1" thickBot="1" x14ac:dyDescent="0.35">
      <c r="B8" s="7">
        <v>3900</v>
      </c>
      <c r="C8" s="8" t="s">
        <v>7</v>
      </c>
      <c r="D8" s="113"/>
      <c r="E8" s="114"/>
      <c r="F8" s="115"/>
      <c r="G8" s="116"/>
      <c r="H8" s="113"/>
      <c r="I8" s="114"/>
      <c r="J8" s="115"/>
      <c r="K8" s="116"/>
      <c r="L8" s="113"/>
      <c r="M8" s="114"/>
      <c r="N8" s="115"/>
      <c r="O8" s="116"/>
      <c r="P8" s="113"/>
      <c r="Q8" s="114"/>
      <c r="R8" s="115"/>
      <c r="S8" s="116"/>
      <c r="T8" s="113"/>
      <c r="U8" s="114"/>
      <c r="V8" s="115"/>
      <c r="X8" s="134">
        <f t="shared" si="0"/>
        <v>0</v>
      </c>
      <c r="Y8" s="138">
        <v>3900</v>
      </c>
      <c r="Z8" s="43"/>
      <c r="AA8" s="43"/>
      <c r="AB8" s="45"/>
      <c r="AC8" s="43"/>
      <c r="AD8" s="43"/>
      <c r="AE8" s="45"/>
      <c r="AF8" s="43"/>
      <c r="AG8" s="43"/>
      <c r="AH8" s="45"/>
      <c r="AI8" s="43"/>
    </row>
    <row r="9" spans="1:53" hidden="1" thickBot="1" x14ac:dyDescent="0.35">
      <c r="B9" s="7">
        <v>3910</v>
      </c>
      <c r="C9" s="8" t="s">
        <v>8</v>
      </c>
      <c r="D9" s="113"/>
      <c r="E9" s="114"/>
      <c r="F9" s="115"/>
      <c r="G9" s="116"/>
      <c r="H9" s="113"/>
      <c r="I9" s="114"/>
      <c r="J9" s="115"/>
      <c r="K9" s="116"/>
      <c r="L9" s="113"/>
      <c r="M9" s="114"/>
      <c r="N9" s="115"/>
      <c r="O9" s="116"/>
      <c r="P9" s="113"/>
      <c r="Q9" s="114"/>
      <c r="R9" s="115"/>
      <c r="S9" s="116"/>
      <c r="T9" s="113"/>
      <c r="U9" s="114"/>
      <c r="V9" s="115"/>
      <c r="X9" s="134">
        <f t="shared" si="0"/>
        <v>0</v>
      </c>
      <c r="Y9" s="138">
        <v>3910</v>
      </c>
      <c r="Z9" s="43"/>
      <c r="AA9" s="43"/>
      <c r="AB9" s="45"/>
      <c r="AC9" s="43"/>
      <c r="AD9" s="43"/>
      <c r="AE9" s="45"/>
      <c r="AF9" s="43"/>
      <c r="AG9" s="43"/>
      <c r="AH9" s="45"/>
      <c r="AI9" s="43"/>
    </row>
    <row r="10" spans="1:53" hidden="1" thickBot="1" x14ac:dyDescent="0.35">
      <c r="B10" s="10">
        <v>3950</v>
      </c>
      <c r="C10" s="11" t="s">
        <v>9</v>
      </c>
      <c r="D10" s="117"/>
      <c r="E10" s="118"/>
      <c r="F10" s="119"/>
      <c r="G10" s="116"/>
      <c r="H10" s="117"/>
      <c r="I10" s="118"/>
      <c r="J10" s="119"/>
      <c r="K10" s="116"/>
      <c r="L10" s="117"/>
      <c r="M10" s="118"/>
      <c r="N10" s="119"/>
      <c r="O10" s="116"/>
      <c r="P10" s="117"/>
      <c r="Q10" s="118"/>
      <c r="R10" s="119"/>
      <c r="S10" s="116"/>
      <c r="T10" s="117"/>
      <c r="U10" s="118"/>
      <c r="V10" s="119"/>
      <c r="X10" s="134">
        <f t="shared" si="0"/>
        <v>0</v>
      </c>
      <c r="Y10" s="142">
        <v>3950</v>
      </c>
      <c r="Z10" s="43"/>
      <c r="AA10" s="43"/>
      <c r="AB10" s="45"/>
      <c r="AC10" s="43"/>
      <c r="AD10" s="43"/>
      <c r="AE10" s="45"/>
      <c r="AF10" s="43"/>
      <c r="AG10" s="43"/>
      <c r="AH10" s="45"/>
      <c r="AI10" s="43"/>
    </row>
    <row r="11" spans="1:53" thickBot="1" x14ac:dyDescent="0.35">
      <c r="B11" s="30"/>
      <c r="C11" s="31" t="s">
        <v>73</v>
      </c>
      <c r="D11" s="120">
        <f>SUM(D4:D10)</f>
        <v>0</v>
      </c>
      <c r="E11" s="120"/>
      <c r="F11" s="120">
        <f t="shared" ref="F11" si="1">SUM(F4:F10)</f>
        <v>0</v>
      </c>
      <c r="G11" s="116"/>
      <c r="H11" s="120">
        <f>SUM(H4:H10)</f>
        <v>0</v>
      </c>
      <c r="I11" s="120"/>
      <c r="J11" s="120">
        <f t="shared" ref="J11" si="2">SUM(J4:J10)</f>
        <v>0</v>
      </c>
      <c r="K11" s="116"/>
      <c r="L11" s="120">
        <f>SUM(L4:L10)</f>
        <v>0</v>
      </c>
      <c r="M11" s="121"/>
      <c r="N11" s="122"/>
      <c r="O11" s="116"/>
      <c r="P11" s="120">
        <f>SUM(P4:P10)</f>
        <v>0</v>
      </c>
      <c r="Q11" s="121"/>
      <c r="R11" s="122"/>
      <c r="S11" s="116"/>
      <c r="T11" s="120">
        <f>SUM(T4:T10)</f>
        <v>0</v>
      </c>
      <c r="U11" s="121"/>
      <c r="V11" s="122"/>
      <c r="X11" s="134">
        <f>T11+P11+L11+H11+D11</f>
        <v>0</v>
      </c>
      <c r="Y11" s="139"/>
      <c r="Z11" s="43"/>
      <c r="AA11" s="43"/>
      <c r="AB11" s="45"/>
      <c r="AC11" s="43"/>
      <c r="AD11" s="43"/>
      <c r="AE11" s="45"/>
      <c r="AF11" s="43"/>
      <c r="AG11" s="43"/>
      <c r="AH11" s="45"/>
      <c r="AI11" s="43"/>
    </row>
    <row r="12" spans="1:53" ht="15.75" thickBot="1" x14ac:dyDescent="0.3">
      <c r="A12" s="27" t="s">
        <v>46</v>
      </c>
      <c r="B12" s="7">
        <v>5000</v>
      </c>
      <c r="C12" s="15" t="s">
        <v>10</v>
      </c>
      <c r="D12" s="123"/>
      <c r="E12" s="114"/>
      <c r="F12" s="115"/>
      <c r="G12" s="116"/>
      <c r="H12" s="123"/>
      <c r="I12" s="114"/>
      <c r="J12" s="115"/>
      <c r="K12" s="116"/>
      <c r="L12" s="123"/>
      <c r="M12" s="114"/>
      <c r="N12" s="115"/>
      <c r="O12" s="116"/>
      <c r="P12" s="123"/>
      <c r="Q12" s="114"/>
      <c r="R12" s="115"/>
      <c r="S12" s="116"/>
      <c r="T12" s="123"/>
      <c r="U12" s="114"/>
      <c r="V12" s="115"/>
      <c r="X12" s="134">
        <f t="shared" si="0"/>
        <v>0</v>
      </c>
      <c r="Y12" s="138">
        <v>5000</v>
      </c>
      <c r="Z12" s="43"/>
      <c r="AA12" s="43"/>
      <c r="AB12" s="45"/>
      <c r="AC12" s="43"/>
      <c r="AD12" s="43"/>
      <c r="AE12" s="45"/>
      <c r="AF12" s="43"/>
      <c r="AG12" s="43"/>
      <c r="AH12" s="45"/>
      <c r="AI12" s="43"/>
    </row>
    <row r="13" spans="1:53" hidden="1" thickBot="1" x14ac:dyDescent="0.35">
      <c r="B13" s="7">
        <v>5001</v>
      </c>
      <c r="C13" s="15" t="s">
        <v>11</v>
      </c>
      <c r="D13" s="123"/>
      <c r="E13" s="114"/>
      <c r="F13" s="115"/>
      <c r="G13" s="116"/>
      <c r="H13" s="123"/>
      <c r="I13" s="114"/>
      <c r="J13" s="115"/>
      <c r="K13" s="116"/>
      <c r="L13" s="123"/>
      <c r="M13" s="114"/>
      <c r="N13" s="115"/>
      <c r="O13" s="116"/>
      <c r="P13" s="123"/>
      <c r="Q13" s="114"/>
      <c r="R13" s="115"/>
      <c r="S13" s="116"/>
      <c r="T13" s="123"/>
      <c r="U13" s="114"/>
      <c r="V13" s="115"/>
      <c r="X13" s="134">
        <f t="shared" si="0"/>
        <v>0</v>
      </c>
      <c r="Y13" s="138">
        <v>5001</v>
      </c>
      <c r="Z13" s="43"/>
      <c r="AA13" s="43"/>
      <c r="AB13" s="45"/>
      <c r="AC13" s="43"/>
      <c r="AD13" s="43"/>
      <c r="AE13" s="45"/>
      <c r="AF13" s="43"/>
      <c r="AG13" s="43"/>
      <c r="AH13" s="45"/>
      <c r="AI13" s="43"/>
    </row>
    <row r="14" spans="1:53" hidden="1" thickBot="1" x14ac:dyDescent="0.35">
      <c r="B14" s="7">
        <v>5004</v>
      </c>
      <c r="C14" s="15" t="s">
        <v>12</v>
      </c>
      <c r="D14" s="123"/>
      <c r="E14" s="114"/>
      <c r="F14" s="115"/>
      <c r="G14" s="116"/>
      <c r="H14" s="123"/>
      <c r="I14" s="114"/>
      <c r="J14" s="115"/>
      <c r="K14" s="116"/>
      <c r="L14" s="123"/>
      <c r="M14" s="114"/>
      <c r="N14" s="115"/>
      <c r="O14" s="116"/>
      <c r="P14" s="123"/>
      <c r="Q14" s="114"/>
      <c r="R14" s="115"/>
      <c r="S14" s="116"/>
      <c r="T14" s="123"/>
      <c r="U14" s="114"/>
      <c r="V14" s="115"/>
      <c r="X14" s="134">
        <f t="shared" si="0"/>
        <v>0</v>
      </c>
      <c r="Y14" s="138">
        <v>5004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idden="1" thickBot="1" x14ac:dyDescent="0.35">
      <c r="A15" s="12"/>
      <c r="B15" s="7">
        <v>5180</v>
      </c>
      <c r="C15" s="15" t="s">
        <v>13</v>
      </c>
      <c r="D15" s="124">
        <f>SUM(D12*0.12)</f>
        <v>0</v>
      </c>
      <c r="E15" s="125"/>
      <c r="F15" s="126"/>
      <c r="G15" s="127"/>
      <c r="H15" s="124">
        <f>SUM(H12*0.12)</f>
        <v>0</v>
      </c>
      <c r="I15" s="125"/>
      <c r="J15" s="126"/>
      <c r="K15" s="127"/>
      <c r="L15" s="124">
        <f>SUM(L12*0.12)</f>
        <v>0</v>
      </c>
      <c r="M15" s="125"/>
      <c r="N15" s="126"/>
      <c r="O15" s="127"/>
      <c r="P15" s="124">
        <f>SUM(P12*0.12)</f>
        <v>0</v>
      </c>
      <c r="Q15" s="125"/>
      <c r="R15" s="126"/>
      <c r="S15" s="127"/>
      <c r="T15" s="124">
        <f>SUM(T12*0.12)</f>
        <v>0</v>
      </c>
      <c r="U15" s="125"/>
      <c r="V15" s="126"/>
      <c r="X15" s="134">
        <f t="shared" si="0"/>
        <v>0</v>
      </c>
      <c r="Y15" s="138">
        <v>5180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idden="1" thickBot="1" x14ac:dyDescent="0.35">
      <c r="A16" s="12"/>
      <c r="B16" s="7">
        <v>5182</v>
      </c>
      <c r="C16" s="15" t="s">
        <v>14</v>
      </c>
      <c r="D16" s="124">
        <f>SUM(D15*0.141)</f>
        <v>0</v>
      </c>
      <c r="E16" s="125"/>
      <c r="F16" s="126"/>
      <c r="G16" s="127"/>
      <c r="H16" s="124">
        <f>SUM(H15*0.141)</f>
        <v>0</v>
      </c>
      <c r="I16" s="125"/>
      <c r="J16" s="126"/>
      <c r="K16" s="127"/>
      <c r="L16" s="124">
        <f>SUM(L15*0.141)</f>
        <v>0</v>
      </c>
      <c r="M16" s="125"/>
      <c r="N16" s="126"/>
      <c r="O16" s="127"/>
      <c r="P16" s="124">
        <f>SUM(P15*0.141)</f>
        <v>0</v>
      </c>
      <c r="Q16" s="125"/>
      <c r="R16" s="126"/>
      <c r="S16" s="127"/>
      <c r="T16" s="124">
        <f>SUM(T15*0.141)</f>
        <v>0</v>
      </c>
      <c r="U16" s="125"/>
      <c r="V16" s="126"/>
      <c r="X16" s="134">
        <f t="shared" si="0"/>
        <v>0</v>
      </c>
      <c r="Y16" s="138">
        <v>5182</v>
      </c>
      <c r="Z16" s="43"/>
      <c r="AA16" s="43"/>
      <c r="AB16" s="45"/>
      <c r="AC16" s="43"/>
      <c r="AD16" s="43"/>
      <c r="AE16" s="45"/>
      <c r="AF16" s="43"/>
      <c r="AG16" s="43"/>
      <c r="AH16" s="45"/>
      <c r="AI16" s="4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idden="1" thickBot="1" x14ac:dyDescent="0.35">
      <c r="A17" s="12"/>
      <c r="B17" s="7">
        <v>5211</v>
      </c>
      <c r="C17" s="15" t="s">
        <v>15</v>
      </c>
      <c r="D17" s="128"/>
      <c r="E17" s="125"/>
      <c r="F17" s="126"/>
      <c r="G17" s="127"/>
      <c r="H17" s="128"/>
      <c r="I17" s="125"/>
      <c r="J17" s="126"/>
      <c r="K17" s="127"/>
      <c r="L17" s="128"/>
      <c r="M17" s="125"/>
      <c r="N17" s="126"/>
      <c r="O17" s="127"/>
      <c r="P17" s="128"/>
      <c r="Q17" s="125"/>
      <c r="R17" s="126"/>
      <c r="S17" s="127"/>
      <c r="T17" s="128"/>
      <c r="U17" s="125"/>
      <c r="V17" s="126"/>
      <c r="X17" s="134">
        <f t="shared" si="0"/>
        <v>0</v>
      </c>
      <c r="Y17" s="138">
        <v>5211</v>
      </c>
      <c r="Z17" s="43"/>
      <c r="AA17" s="43"/>
      <c r="AB17" s="45"/>
      <c r="AC17" s="43"/>
      <c r="AD17" s="43"/>
      <c r="AE17" s="45"/>
      <c r="AF17" s="43"/>
      <c r="AG17" s="43"/>
      <c r="AH17" s="45"/>
      <c r="AI17" s="4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idden="1" thickBot="1" x14ac:dyDescent="0.35">
      <c r="A18" s="12"/>
      <c r="B18" s="7">
        <v>5230</v>
      </c>
      <c r="C18" s="15" t="s">
        <v>16</v>
      </c>
      <c r="D18" s="128"/>
      <c r="E18" s="125"/>
      <c r="F18" s="126"/>
      <c r="G18" s="127"/>
      <c r="H18" s="128"/>
      <c r="I18" s="125"/>
      <c r="J18" s="126"/>
      <c r="K18" s="127"/>
      <c r="L18" s="128"/>
      <c r="M18" s="125"/>
      <c r="N18" s="126"/>
      <c r="O18" s="127"/>
      <c r="P18" s="128"/>
      <c r="Q18" s="125"/>
      <c r="R18" s="126"/>
      <c r="S18" s="127"/>
      <c r="T18" s="128"/>
      <c r="U18" s="125"/>
      <c r="V18" s="126"/>
      <c r="X18" s="134">
        <f t="shared" si="0"/>
        <v>0</v>
      </c>
      <c r="Y18" s="138">
        <v>5230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idden="1" thickBot="1" x14ac:dyDescent="0.35">
      <c r="A19" s="12"/>
      <c r="B19" s="7">
        <v>5400</v>
      </c>
      <c r="C19" s="15" t="s">
        <v>48</v>
      </c>
      <c r="D19" s="124">
        <f>SUM((D12+D13+D14+D17+D18)*0.141)</f>
        <v>0</v>
      </c>
      <c r="E19" s="125"/>
      <c r="F19" s="126"/>
      <c r="G19" s="127"/>
      <c r="H19" s="124">
        <f>SUM((H12+H13+H14+H17+H18)*0.141)</f>
        <v>0</v>
      </c>
      <c r="I19" s="125"/>
      <c r="J19" s="126"/>
      <c r="K19" s="127"/>
      <c r="L19" s="124">
        <f>SUM((L12+L13+L14+L17+L18)*0.141)</f>
        <v>0</v>
      </c>
      <c r="M19" s="125"/>
      <c r="N19" s="126"/>
      <c r="O19" s="127"/>
      <c r="P19" s="124">
        <f>SUM((P12+P13+P14+P17+P18)*0.141)</f>
        <v>0</v>
      </c>
      <c r="Q19" s="125"/>
      <c r="R19" s="126"/>
      <c r="S19" s="127"/>
      <c r="T19" s="124">
        <f>SUM((T12+T13+T14+T17+T18)*0.141)</f>
        <v>0</v>
      </c>
      <c r="U19" s="125"/>
      <c r="V19" s="126"/>
      <c r="X19" s="134">
        <f t="shared" si="0"/>
        <v>0</v>
      </c>
      <c r="Y19" s="138">
        <v>5400</v>
      </c>
      <c r="Z19" s="43"/>
      <c r="AA19" s="43"/>
      <c r="AB19" s="45"/>
      <c r="AC19" s="43"/>
      <c r="AD19" s="43"/>
      <c r="AE19" s="45"/>
      <c r="AF19" s="43"/>
      <c r="AG19" s="43"/>
      <c r="AH19" s="45"/>
      <c r="AI19" s="43"/>
    </row>
    <row r="20" spans="1:53" hidden="1" thickBot="1" x14ac:dyDescent="0.35">
      <c r="B20" s="28">
        <v>5990</v>
      </c>
      <c r="C20" s="66" t="s">
        <v>17</v>
      </c>
      <c r="D20" s="113"/>
      <c r="E20" s="114"/>
      <c r="F20" s="115"/>
      <c r="G20" s="116"/>
      <c r="H20" s="113"/>
      <c r="I20" s="114"/>
      <c r="J20" s="115"/>
      <c r="K20" s="116"/>
      <c r="L20" s="113"/>
      <c r="M20" s="114"/>
      <c r="N20" s="115"/>
      <c r="O20" s="116"/>
      <c r="P20" s="113"/>
      <c r="Q20" s="114"/>
      <c r="R20" s="115"/>
      <c r="S20" s="116"/>
      <c r="T20" s="113"/>
      <c r="U20" s="114"/>
      <c r="V20" s="115"/>
      <c r="X20" s="134">
        <f t="shared" si="0"/>
        <v>0</v>
      </c>
      <c r="Y20" s="146">
        <v>5990</v>
      </c>
      <c r="Z20" s="43"/>
      <c r="AA20" s="43"/>
      <c r="AB20" s="45"/>
      <c r="AC20" s="43"/>
      <c r="AD20" s="43"/>
      <c r="AE20" s="45"/>
      <c r="AF20" s="43"/>
      <c r="AG20" s="43"/>
      <c r="AH20" s="45"/>
      <c r="AI20" s="43"/>
    </row>
    <row r="21" spans="1:53" hidden="1" thickBot="1" x14ac:dyDescent="0.35">
      <c r="B21" s="26">
        <v>6110</v>
      </c>
      <c r="C21" s="29" t="s">
        <v>50</v>
      </c>
      <c r="D21" s="113"/>
      <c r="E21" s="114"/>
      <c r="F21" s="115"/>
      <c r="G21" s="116"/>
      <c r="H21" s="113"/>
      <c r="I21" s="114"/>
      <c r="J21" s="115"/>
      <c r="K21" s="116"/>
      <c r="L21" s="113"/>
      <c r="M21" s="114"/>
      <c r="N21" s="115"/>
      <c r="O21" s="116"/>
      <c r="P21" s="113"/>
      <c r="Q21" s="114"/>
      <c r="R21" s="115"/>
      <c r="S21" s="116"/>
      <c r="T21" s="113"/>
      <c r="U21" s="114"/>
      <c r="V21" s="115"/>
      <c r="X21" s="134">
        <f t="shared" si="0"/>
        <v>0</v>
      </c>
      <c r="Y21" s="140">
        <v>6110</v>
      </c>
      <c r="Z21" s="43"/>
      <c r="AA21" s="43"/>
      <c r="AB21" s="45"/>
      <c r="AC21" s="43"/>
      <c r="AD21" s="43"/>
      <c r="AE21" s="45"/>
      <c r="AF21" s="43"/>
      <c r="AG21" s="43"/>
      <c r="AH21" s="45"/>
      <c r="AI21" s="43"/>
    </row>
    <row r="22" spans="1:53" hidden="1" thickBot="1" x14ac:dyDescent="0.35">
      <c r="B22" s="7">
        <v>6300</v>
      </c>
      <c r="C22" s="15" t="s">
        <v>18</v>
      </c>
      <c r="D22" s="113"/>
      <c r="E22" s="114"/>
      <c r="F22" s="115"/>
      <c r="G22" s="116"/>
      <c r="H22" s="113"/>
      <c r="I22" s="114"/>
      <c r="J22" s="115"/>
      <c r="K22" s="116"/>
      <c r="L22" s="113"/>
      <c r="M22" s="114"/>
      <c r="N22" s="115"/>
      <c r="O22" s="116"/>
      <c r="P22" s="113"/>
      <c r="Q22" s="114"/>
      <c r="R22" s="115"/>
      <c r="S22" s="116"/>
      <c r="T22" s="113"/>
      <c r="U22" s="114"/>
      <c r="V22" s="115"/>
      <c r="X22" s="134">
        <f t="shared" si="0"/>
        <v>0</v>
      </c>
      <c r="Y22" s="138">
        <v>6300</v>
      </c>
      <c r="Z22" s="43"/>
      <c r="AA22" s="43"/>
      <c r="AB22" s="45"/>
      <c r="AC22" s="43"/>
      <c r="AD22" s="43"/>
      <c r="AE22" s="45"/>
      <c r="AF22" s="43"/>
      <c r="AG22" s="43"/>
      <c r="AH22" s="45"/>
      <c r="AI22" s="43"/>
    </row>
    <row r="23" spans="1:53" hidden="1" thickBot="1" x14ac:dyDescent="0.35">
      <c r="B23" s="7">
        <v>6440</v>
      </c>
      <c r="C23" s="15" t="s">
        <v>19</v>
      </c>
      <c r="D23" s="113"/>
      <c r="E23" s="114"/>
      <c r="F23" s="115"/>
      <c r="G23" s="116"/>
      <c r="H23" s="113"/>
      <c r="I23" s="114"/>
      <c r="J23" s="115"/>
      <c r="K23" s="116"/>
      <c r="L23" s="113"/>
      <c r="M23" s="114"/>
      <c r="N23" s="115"/>
      <c r="O23" s="116"/>
      <c r="P23" s="113"/>
      <c r="Q23" s="114"/>
      <c r="R23" s="115"/>
      <c r="S23" s="116"/>
      <c r="T23" s="113"/>
      <c r="U23" s="114"/>
      <c r="V23" s="115"/>
      <c r="X23" s="134">
        <f t="shared" si="0"/>
        <v>0</v>
      </c>
      <c r="Y23" s="138">
        <v>6440</v>
      </c>
      <c r="Z23" s="43"/>
      <c r="AA23" s="43"/>
      <c r="AB23" s="45"/>
      <c r="AC23" s="43"/>
      <c r="AD23" s="43"/>
      <c r="AE23" s="45"/>
      <c r="AF23" s="43"/>
      <c r="AG23" s="43"/>
      <c r="AH23" s="45"/>
      <c r="AI23" s="43"/>
    </row>
    <row r="24" spans="1:53" hidden="1" thickBot="1" x14ac:dyDescent="0.35">
      <c r="B24" s="7">
        <v>6540</v>
      </c>
      <c r="C24" s="15" t="s">
        <v>152</v>
      </c>
      <c r="D24" s="113"/>
      <c r="E24" s="114"/>
      <c r="F24" s="115"/>
      <c r="G24" s="116"/>
      <c r="H24" s="113"/>
      <c r="I24" s="114"/>
      <c r="J24" s="115"/>
      <c r="K24" s="116"/>
      <c r="L24" s="113">
        <v>0</v>
      </c>
      <c r="M24" s="114"/>
      <c r="N24" s="115"/>
      <c r="O24" s="116"/>
      <c r="P24" s="113"/>
      <c r="Q24" s="114"/>
      <c r="R24" s="115"/>
      <c r="S24" s="116"/>
      <c r="T24" s="113"/>
      <c r="U24" s="114"/>
      <c r="V24" s="115"/>
      <c r="X24" s="134">
        <f t="shared" si="0"/>
        <v>0</v>
      </c>
      <c r="Y24" s="138">
        <v>6540</v>
      </c>
      <c r="Z24" s="43"/>
      <c r="AA24" s="43"/>
      <c r="AB24" s="45"/>
      <c r="AC24" s="43"/>
      <c r="AD24" s="43"/>
      <c r="AE24" s="45"/>
      <c r="AF24" s="43"/>
      <c r="AG24" s="43"/>
      <c r="AH24" s="45"/>
      <c r="AI24" s="43"/>
    </row>
    <row r="25" spans="1:53" hidden="1" thickBot="1" x14ac:dyDescent="0.35">
      <c r="B25" s="7">
        <v>6550</v>
      </c>
      <c r="C25" s="15" t="s">
        <v>20</v>
      </c>
      <c r="D25" s="113"/>
      <c r="E25" s="114"/>
      <c r="F25" s="115"/>
      <c r="G25" s="116"/>
      <c r="H25" s="113"/>
      <c r="I25" s="114"/>
      <c r="J25" s="115"/>
      <c r="K25" s="116"/>
      <c r="L25" s="113"/>
      <c r="M25" s="114"/>
      <c r="N25" s="115"/>
      <c r="O25" s="116"/>
      <c r="P25" s="113"/>
      <c r="Q25" s="114"/>
      <c r="R25" s="115"/>
      <c r="S25" s="116"/>
      <c r="T25" s="113"/>
      <c r="U25" s="114"/>
      <c r="V25" s="115"/>
      <c r="X25" s="134">
        <f t="shared" si="0"/>
        <v>0</v>
      </c>
      <c r="Y25" s="138">
        <v>6550</v>
      </c>
      <c r="Z25" s="43"/>
      <c r="AA25" s="43"/>
      <c r="AB25" s="45"/>
      <c r="AC25" s="43"/>
      <c r="AD25" s="43"/>
      <c r="AE25" s="45"/>
      <c r="AF25" s="43"/>
      <c r="AG25" s="43"/>
      <c r="AH25" s="45"/>
      <c r="AI25" s="43"/>
    </row>
    <row r="26" spans="1:53" hidden="1" thickBot="1" x14ac:dyDescent="0.35">
      <c r="B26" s="7">
        <v>6560</v>
      </c>
      <c r="C26" s="15" t="s">
        <v>21</v>
      </c>
      <c r="D26" s="113"/>
      <c r="E26" s="114"/>
      <c r="F26" s="115"/>
      <c r="G26" s="116"/>
      <c r="H26" s="113"/>
      <c r="I26" s="114"/>
      <c r="J26" s="115"/>
      <c r="K26" s="116"/>
      <c r="L26" s="113"/>
      <c r="M26" s="114"/>
      <c r="N26" s="115"/>
      <c r="O26" s="116"/>
      <c r="P26" s="113"/>
      <c r="Q26" s="114"/>
      <c r="R26" s="115"/>
      <c r="S26" s="116"/>
      <c r="T26" s="113"/>
      <c r="U26" s="114"/>
      <c r="V26" s="115"/>
      <c r="X26" s="134">
        <f t="shared" si="0"/>
        <v>0</v>
      </c>
      <c r="Y26" s="138">
        <v>6560</v>
      </c>
      <c r="Z26" s="43"/>
      <c r="AA26" s="43"/>
      <c r="AB26" s="45"/>
      <c r="AC26" s="43"/>
      <c r="AD26" s="43"/>
      <c r="AE26" s="45"/>
      <c r="AF26" s="43"/>
      <c r="AG26" s="43"/>
      <c r="AH26" s="45"/>
      <c r="AI26" s="43"/>
    </row>
    <row r="27" spans="1:53" hidden="1" thickBot="1" x14ac:dyDescent="0.35">
      <c r="B27" s="7">
        <v>6580</v>
      </c>
      <c r="C27" s="15" t="s">
        <v>2</v>
      </c>
      <c r="D27" s="113"/>
      <c r="E27" s="114"/>
      <c r="F27" s="115"/>
      <c r="G27" s="116"/>
      <c r="H27" s="113"/>
      <c r="I27" s="114"/>
      <c r="J27" s="115"/>
      <c r="K27" s="116"/>
      <c r="L27" s="113"/>
      <c r="M27" s="114"/>
      <c r="N27" s="115"/>
      <c r="O27" s="116"/>
      <c r="P27" s="113"/>
      <c r="Q27" s="114"/>
      <c r="R27" s="115"/>
      <c r="S27" s="116"/>
      <c r="T27" s="113"/>
      <c r="U27" s="114"/>
      <c r="V27" s="115"/>
      <c r="X27" s="134">
        <f t="shared" si="0"/>
        <v>0</v>
      </c>
      <c r="Y27" s="138">
        <v>6580</v>
      </c>
      <c r="Z27" s="43"/>
      <c r="AA27" s="43"/>
      <c r="AB27" s="45"/>
      <c r="AC27" s="43"/>
      <c r="AD27" s="43"/>
      <c r="AE27" s="45"/>
      <c r="AF27" s="43"/>
      <c r="AG27" s="43"/>
      <c r="AH27" s="45"/>
      <c r="AI27" s="43"/>
    </row>
    <row r="28" spans="1:53" hidden="1" thickBot="1" x14ac:dyDescent="0.35">
      <c r="B28" s="7">
        <v>6800</v>
      </c>
      <c r="C28" s="15" t="s">
        <v>22</v>
      </c>
      <c r="D28" s="113"/>
      <c r="E28" s="114"/>
      <c r="F28" s="115"/>
      <c r="G28" s="116"/>
      <c r="H28" s="113"/>
      <c r="I28" s="114"/>
      <c r="J28" s="115"/>
      <c r="K28" s="116"/>
      <c r="L28" s="113"/>
      <c r="M28" s="114"/>
      <c r="N28" s="115"/>
      <c r="O28" s="116"/>
      <c r="P28" s="113"/>
      <c r="Q28" s="114"/>
      <c r="R28" s="115"/>
      <c r="S28" s="116"/>
      <c r="T28" s="113"/>
      <c r="U28" s="114"/>
      <c r="V28" s="115"/>
      <c r="X28" s="134">
        <f t="shared" si="0"/>
        <v>0</v>
      </c>
      <c r="Y28" s="138">
        <v>6800</v>
      </c>
      <c r="Z28" s="43"/>
      <c r="AA28" s="43"/>
      <c r="AB28" s="45"/>
      <c r="AC28" s="43"/>
      <c r="AD28" s="43"/>
      <c r="AE28" s="45"/>
      <c r="AF28" s="43"/>
      <c r="AG28" s="43"/>
      <c r="AH28" s="45"/>
      <c r="AI28" s="43"/>
    </row>
    <row r="29" spans="1:53" hidden="1" thickBot="1" x14ac:dyDescent="0.35">
      <c r="B29" s="7">
        <v>6820</v>
      </c>
      <c r="C29" s="15" t="s">
        <v>23</v>
      </c>
      <c r="D29" s="113"/>
      <c r="E29" s="114"/>
      <c r="F29" s="115"/>
      <c r="G29" s="116"/>
      <c r="H29" s="113"/>
      <c r="I29" s="114"/>
      <c r="J29" s="115"/>
      <c r="K29" s="116"/>
      <c r="L29" s="113"/>
      <c r="M29" s="114"/>
      <c r="N29" s="115"/>
      <c r="O29" s="116"/>
      <c r="P29" s="113"/>
      <c r="Q29" s="114"/>
      <c r="R29" s="115"/>
      <c r="S29" s="116"/>
      <c r="T29" s="113"/>
      <c r="U29" s="114"/>
      <c r="V29" s="115"/>
      <c r="X29" s="134">
        <f t="shared" si="0"/>
        <v>0</v>
      </c>
      <c r="Y29" s="138">
        <v>6820</v>
      </c>
      <c r="Z29" s="43"/>
      <c r="AA29" s="43"/>
      <c r="AB29" s="45"/>
      <c r="AC29" s="43"/>
      <c r="AD29" s="43"/>
      <c r="AE29" s="45"/>
      <c r="AF29" s="43"/>
      <c r="AG29" s="43"/>
      <c r="AH29" s="45"/>
      <c r="AI29" s="43"/>
    </row>
    <row r="30" spans="1:53" hidden="1" thickBot="1" x14ac:dyDescent="0.35">
      <c r="B30" s="7">
        <v>6840</v>
      </c>
      <c r="C30" s="15" t="s">
        <v>24</v>
      </c>
      <c r="D30" s="113"/>
      <c r="E30" s="114"/>
      <c r="F30" s="115"/>
      <c r="G30" s="116"/>
      <c r="H30" s="113"/>
      <c r="I30" s="114"/>
      <c r="J30" s="115"/>
      <c r="K30" s="116"/>
      <c r="L30" s="113"/>
      <c r="M30" s="114"/>
      <c r="N30" s="115"/>
      <c r="O30" s="116"/>
      <c r="P30" s="113"/>
      <c r="Q30" s="114"/>
      <c r="R30" s="115"/>
      <c r="S30" s="116"/>
      <c r="T30" s="113"/>
      <c r="U30" s="114"/>
      <c r="V30" s="115"/>
      <c r="X30" s="134">
        <f t="shared" si="0"/>
        <v>0</v>
      </c>
      <c r="Y30" s="138">
        <v>6840</v>
      </c>
      <c r="Z30" s="43"/>
      <c r="AA30" s="43"/>
      <c r="AB30" s="45"/>
      <c r="AC30" s="43"/>
      <c r="AD30" s="43"/>
      <c r="AE30" s="45"/>
      <c r="AF30" s="43"/>
      <c r="AG30" s="43"/>
      <c r="AH30" s="45"/>
      <c r="AI30" s="43"/>
    </row>
    <row r="31" spans="1:53" hidden="1" thickBot="1" x14ac:dyDescent="0.35">
      <c r="B31" s="7">
        <v>6860</v>
      </c>
      <c r="C31" s="15" t="s">
        <v>25</v>
      </c>
      <c r="D31" s="113"/>
      <c r="E31" s="114"/>
      <c r="F31" s="115"/>
      <c r="G31" s="116"/>
      <c r="H31" s="113"/>
      <c r="I31" s="114"/>
      <c r="J31" s="115"/>
      <c r="K31" s="116"/>
      <c r="L31" s="113"/>
      <c r="M31" s="114"/>
      <c r="N31" s="115"/>
      <c r="O31" s="116"/>
      <c r="P31" s="113"/>
      <c r="Q31" s="114"/>
      <c r="R31" s="115"/>
      <c r="S31" s="116"/>
      <c r="T31" s="113"/>
      <c r="U31" s="114"/>
      <c r="V31" s="115"/>
      <c r="X31" s="134">
        <f t="shared" si="0"/>
        <v>0</v>
      </c>
      <c r="Y31" s="138">
        <v>6860</v>
      </c>
      <c r="Z31" s="43"/>
      <c r="AA31" s="43"/>
      <c r="AB31" s="45"/>
      <c r="AC31" s="43"/>
      <c r="AD31" s="43"/>
      <c r="AE31" s="45"/>
      <c r="AF31" s="43"/>
      <c r="AG31" s="43"/>
      <c r="AH31" s="45"/>
      <c r="AI31" s="43"/>
    </row>
    <row r="32" spans="1:53" hidden="1" thickBot="1" x14ac:dyDescent="0.35">
      <c r="B32" s="7">
        <v>6910</v>
      </c>
      <c r="C32" s="15" t="s">
        <v>26</v>
      </c>
      <c r="D32" s="113"/>
      <c r="E32" s="114"/>
      <c r="F32" s="115"/>
      <c r="G32" s="116"/>
      <c r="H32" s="113"/>
      <c r="I32" s="114"/>
      <c r="J32" s="115"/>
      <c r="K32" s="116"/>
      <c r="L32" s="113"/>
      <c r="M32" s="114"/>
      <c r="N32" s="115"/>
      <c r="O32" s="116"/>
      <c r="P32" s="113"/>
      <c r="Q32" s="114"/>
      <c r="R32" s="115"/>
      <c r="S32" s="116"/>
      <c r="T32" s="113"/>
      <c r="U32" s="114"/>
      <c r="V32" s="115"/>
      <c r="X32" s="134">
        <f t="shared" si="0"/>
        <v>0</v>
      </c>
      <c r="Y32" s="138">
        <v>6910</v>
      </c>
      <c r="Z32" s="43"/>
      <c r="AA32" s="43"/>
      <c r="AB32" s="45"/>
      <c r="AC32" s="43"/>
      <c r="AD32" s="43"/>
      <c r="AE32" s="45"/>
      <c r="AF32" s="43"/>
      <c r="AG32" s="43"/>
      <c r="AH32" s="45"/>
      <c r="AI32" s="43"/>
    </row>
    <row r="33" spans="2:35" hidden="1" thickBot="1" x14ac:dyDescent="0.35">
      <c r="B33" s="7">
        <v>6940</v>
      </c>
      <c r="C33" s="15" t="s">
        <v>49</v>
      </c>
      <c r="D33" s="113"/>
      <c r="E33" s="114"/>
      <c r="F33" s="115"/>
      <c r="G33" s="116"/>
      <c r="H33" s="113"/>
      <c r="I33" s="114"/>
      <c r="J33" s="115"/>
      <c r="K33" s="116"/>
      <c r="L33" s="113"/>
      <c r="M33" s="114"/>
      <c r="N33" s="115"/>
      <c r="O33" s="116"/>
      <c r="P33" s="113"/>
      <c r="Q33" s="114"/>
      <c r="R33" s="115"/>
      <c r="S33" s="116"/>
      <c r="T33" s="113"/>
      <c r="U33" s="114"/>
      <c r="V33" s="115"/>
      <c r="X33" s="134">
        <f t="shared" si="0"/>
        <v>0</v>
      </c>
      <c r="Y33" s="138">
        <v>6940</v>
      </c>
      <c r="Z33" s="43"/>
      <c r="AA33" s="43"/>
      <c r="AB33" s="45"/>
      <c r="AC33" s="43"/>
      <c r="AD33" s="43"/>
      <c r="AE33" s="45"/>
      <c r="AF33" s="43"/>
      <c r="AG33" s="43"/>
      <c r="AH33" s="45"/>
      <c r="AI33" s="43"/>
    </row>
    <row r="34" spans="2:35" hidden="1" thickBot="1" x14ac:dyDescent="0.35">
      <c r="B34" s="7">
        <v>7000</v>
      </c>
      <c r="C34" s="15" t="s">
        <v>27</v>
      </c>
      <c r="D34" s="113"/>
      <c r="E34" s="114"/>
      <c r="F34" s="115"/>
      <c r="G34" s="116"/>
      <c r="H34" s="113"/>
      <c r="I34" s="114"/>
      <c r="J34" s="115"/>
      <c r="K34" s="116"/>
      <c r="L34" s="113"/>
      <c r="M34" s="114"/>
      <c r="N34" s="115"/>
      <c r="O34" s="116"/>
      <c r="P34" s="113"/>
      <c r="Q34" s="114"/>
      <c r="R34" s="115"/>
      <c r="S34" s="116"/>
      <c r="T34" s="113"/>
      <c r="U34" s="114"/>
      <c r="V34" s="115"/>
      <c r="X34" s="134">
        <f t="shared" si="0"/>
        <v>0</v>
      </c>
      <c r="Y34" s="138">
        <v>7000</v>
      </c>
      <c r="Z34" s="43"/>
      <c r="AA34" s="43"/>
      <c r="AB34" s="45"/>
      <c r="AC34" s="43"/>
      <c r="AD34" s="43"/>
      <c r="AE34" s="45"/>
      <c r="AF34" s="43"/>
      <c r="AG34" s="43"/>
      <c r="AH34" s="45"/>
      <c r="AI34" s="43"/>
    </row>
    <row r="35" spans="2:35" hidden="1" thickBot="1" x14ac:dyDescent="0.35">
      <c r="B35" s="7">
        <v>7100</v>
      </c>
      <c r="C35" s="15" t="s">
        <v>28</v>
      </c>
      <c r="D35" s="113"/>
      <c r="E35" s="114"/>
      <c r="F35" s="115"/>
      <c r="G35" s="116"/>
      <c r="H35" s="113"/>
      <c r="I35" s="114"/>
      <c r="J35" s="115"/>
      <c r="K35" s="116"/>
      <c r="L35" s="113"/>
      <c r="M35" s="114"/>
      <c r="N35" s="115"/>
      <c r="O35" s="116"/>
      <c r="P35" s="113"/>
      <c r="Q35" s="114"/>
      <c r="R35" s="115"/>
      <c r="S35" s="116"/>
      <c r="T35" s="113"/>
      <c r="U35" s="114"/>
      <c r="V35" s="115"/>
      <c r="X35" s="134">
        <f t="shared" si="0"/>
        <v>0</v>
      </c>
      <c r="Y35" s="138">
        <v>7100</v>
      </c>
      <c r="Z35" s="43"/>
      <c r="AA35" s="43"/>
      <c r="AB35" s="45"/>
      <c r="AC35" s="43"/>
      <c r="AD35" s="43"/>
      <c r="AE35" s="45"/>
      <c r="AF35" s="43"/>
      <c r="AG35" s="43"/>
      <c r="AH35" s="45"/>
      <c r="AI35" s="43"/>
    </row>
    <row r="36" spans="2:35" hidden="1" thickBot="1" x14ac:dyDescent="0.35">
      <c r="B36" s="7">
        <v>7101</v>
      </c>
      <c r="C36" s="15" t="s">
        <v>29</v>
      </c>
      <c r="D36" s="113"/>
      <c r="E36" s="114"/>
      <c r="F36" s="115"/>
      <c r="G36" s="116"/>
      <c r="H36" s="113"/>
      <c r="I36" s="114"/>
      <c r="J36" s="115"/>
      <c r="K36" s="116"/>
      <c r="L36" s="113"/>
      <c r="M36" s="114"/>
      <c r="N36" s="115"/>
      <c r="O36" s="116"/>
      <c r="P36" s="113"/>
      <c r="Q36" s="114"/>
      <c r="R36" s="115"/>
      <c r="S36" s="116"/>
      <c r="T36" s="113"/>
      <c r="U36" s="114"/>
      <c r="V36" s="115"/>
      <c r="X36" s="134">
        <f t="shared" si="0"/>
        <v>0</v>
      </c>
      <c r="Y36" s="138">
        <v>7101</v>
      </c>
      <c r="Z36" s="43"/>
      <c r="AA36" s="43"/>
      <c r="AB36" s="45"/>
      <c r="AC36" s="43"/>
      <c r="AD36" s="43"/>
      <c r="AE36" s="45"/>
      <c r="AF36" s="43"/>
      <c r="AG36" s="43"/>
      <c r="AH36" s="45"/>
      <c r="AI36" s="43"/>
    </row>
    <row r="37" spans="2:35" hidden="1" thickBot="1" x14ac:dyDescent="0.35">
      <c r="B37" s="7">
        <v>7110</v>
      </c>
      <c r="C37" s="15" t="s">
        <v>30</v>
      </c>
      <c r="D37" s="113"/>
      <c r="E37" s="114"/>
      <c r="F37" s="115"/>
      <c r="G37" s="116"/>
      <c r="H37" s="113"/>
      <c r="I37" s="114"/>
      <c r="J37" s="115"/>
      <c r="K37" s="116"/>
      <c r="L37" s="113"/>
      <c r="M37" s="114"/>
      <c r="N37" s="115"/>
      <c r="O37" s="116"/>
      <c r="P37" s="113"/>
      <c r="Q37" s="114"/>
      <c r="R37" s="115"/>
      <c r="S37" s="116"/>
      <c r="T37" s="113"/>
      <c r="U37" s="114"/>
      <c r="V37" s="115"/>
      <c r="X37" s="134">
        <f t="shared" si="0"/>
        <v>0</v>
      </c>
      <c r="Y37" s="138">
        <v>7110</v>
      </c>
      <c r="Z37" s="43"/>
      <c r="AA37" s="43"/>
      <c r="AB37" s="45"/>
      <c r="AC37" s="43"/>
      <c r="AD37" s="43"/>
      <c r="AE37" s="45"/>
      <c r="AF37" s="43"/>
      <c r="AG37" s="43"/>
      <c r="AH37" s="45"/>
      <c r="AI37" s="43"/>
    </row>
    <row r="38" spans="2:35" hidden="1" thickBot="1" x14ac:dyDescent="0.35">
      <c r="B38" s="7">
        <v>7141</v>
      </c>
      <c r="C38" s="15" t="s">
        <v>31</v>
      </c>
      <c r="D38" s="113"/>
      <c r="E38" s="114"/>
      <c r="F38" s="115"/>
      <c r="G38" s="116"/>
      <c r="H38" s="113"/>
      <c r="I38" s="114"/>
      <c r="J38" s="115"/>
      <c r="K38" s="116"/>
      <c r="L38" s="113"/>
      <c r="M38" s="114"/>
      <c r="N38" s="115"/>
      <c r="O38" s="116"/>
      <c r="P38" s="113"/>
      <c r="Q38" s="114"/>
      <c r="R38" s="115"/>
      <c r="S38" s="116"/>
      <c r="T38" s="113"/>
      <c r="U38" s="114"/>
      <c r="V38" s="115"/>
      <c r="X38" s="134">
        <f t="shared" si="0"/>
        <v>0</v>
      </c>
      <c r="Y38" s="138">
        <v>7141</v>
      </c>
      <c r="Z38" s="43"/>
      <c r="AA38" s="43"/>
      <c r="AB38" s="45"/>
      <c r="AC38" s="43"/>
      <c r="AD38" s="43"/>
      <c r="AE38" s="45"/>
      <c r="AF38" s="43"/>
      <c r="AG38" s="43"/>
      <c r="AH38" s="45"/>
      <c r="AI38" s="43"/>
    </row>
    <row r="39" spans="2:35" hidden="1" thickBot="1" x14ac:dyDescent="0.35">
      <c r="B39" s="7">
        <v>7145</v>
      </c>
      <c r="C39" s="15" t="s">
        <v>32</v>
      </c>
      <c r="D39" s="113"/>
      <c r="E39" s="114"/>
      <c r="F39" s="115"/>
      <c r="G39" s="116"/>
      <c r="H39" s="113"/>
      <c r="I39" s="114"/>
      <c r="J39" s="115"/>
      <c r="K39" s="116"/>
      <c r="L39" s="113"/>
      <c r="M39" s="114"/>
      <c r="N39" s="115"/>
      <c r="O39" s="116"/>
      <c r="P39" s="113"/>
      <c r="Q39" s="114"/>
      <c r="R39" s="115"/>
      <c r="S39" s="116"/>
      <c r="T39" s="113"/>
      <c r="U39" s="114"/>
      <c r="V39" s="115"/>
      <c r="X39" s="134">
        <f t="shared" si="0"/>
        <v>0</v>
      </c>
      <c r="Y39" s="138">
        <v>7145</v>
      </c>
      <c r="Z39" s="43"/>
      <c r="AA39" s="43"/>
      <c r="AB39" s="45"/>
      <c r="AC39" s="43"/>
      <c r="AD39" s="43"/>
      <c r="AE39" s="45"/>
      <c r="AF39" s="43"/>
      <c r="AG39" s="43"/>
      <c r="AH39" s="45"/>
      <c r="AI39" s="43"/>
    </row>
    <row r="40" spans="2:35" hidden="1" thickBot="1" x14ac:dyDescent="0.35">
      <c r="B40" s="7">
        <v>7162</v>
      </c>
      <c r="C40" s="15" t="s">
        <v>33</v>
      </c>
      <c r="D40" s="113"/>
      <c r="E40" s="114"/>
      <c r="F40" s="115"/>
      <c r="G40" s="116"/>
      <c r="H40" s="113"/>
      <c r="I40" s="114"/>
      <c r="J40" s="115"/>
      <c r="K40" s="116"/>
      <c r="L40" s="113"/>
      <c r="M40" s="114"/>
      <c r="N40" s="115"/>
      <c r="O40" s="116"/>
      <c r="P40" s="113"/>
      <c r="Q40" s="114"/>
      <c r="R40" s="115"/>
      <c r="S40" s="116"/>
      <c r="T40" s="113"/>
      <c r="U40" s="114"/>
      <c r="V40" s="115"/>
      <c r="X40" s="134">
        <f t="shared" si="0"/>
        <v>0</v>
      </c>
      <c r="Y40" s="138">
        <v>7162</v>
      </c>
      <c r="Z40" s="43"/>
      <c r="AA40" s="43"/>
      <c r="AB40" s="45"/>
      <c r="AC40" s="43"/>
      <c r="AD40" s="43"/>
      <c r="AE40" s="45"/>
      <c r="AF40" s="43"/>
      <c r="AG40" s="43"/>
      <c r="AH40" s="45"/>
      <c r="AI40" s="43"/>
    </row>
    <row r="41" spans="2:35" hidden="1" thickBot="1" x14ac:dyDescent="0.35">
      <c r="B41" s="7">
        <v>7320</v>
      </c>
      <c r="C41" s="15" t="s">
        <v>34</v>
      </c>
      <c r="D41" s="113"/>
      <c r="E41" s="114"/>
      <c r="F41" s="115"/>
      <c r="G41" s="116"/>
      <c r="H41" s="113"/>
      <c r="I41" s="114"/>
      <c r="J41" s="115"/>
      <c r="K41" s="116"/>
      <c r="L41" s="113"/>
      <c r="M41" s="114"/>
      <c r="N41" s="115"/>
      <c r="O41" s="116"/>
      <c r="P41" s="113"/>
      <c r="Q41" s="114"/>
      <c r="R41" s="115"/>
      <c r="S41" s="116"/>
      <c r="T41" s="113"/>
      <c r="U41" s="114"/>
      <c r="V41" s="115"/>
      <c r="X41" s="134">
        <f t="shared" si="0"/>
        <v>0</v>
      </c>
      <c r="Y41" s="138">
        <v>7320</v>
      </c>
      <c r="Z41" s="43"/>
      <c r="AA41" s="43"/>
      <c r="AB41" s="45"/>
      <c r="AC41" s="43"/>
      <c r="AD41" s="43"/>
      <c r="AE41" s="45"/>
      <c r="AF41" s="43"/>
      <c r="AG41" s="43"/>
      <c r="AH41" s="45"/>
      <c r="AI41" s="43"/>
    </row>
    <row r="42" spans="2:35" hidden="1" thickBot="1" x14ac:dyDescent="0.35">
      <c r="B42" s="7">
        <v>7350</v>
      </c>
      <c r="C42" s="15" t="s">
        <v>35</v>
      </c>
      <c r="D42" s="113"/>
      <c r="E42" s="114"/>
      <c r="F42" s="115"/>
      <c r="G42" s="116"/>
      <c r="H42" s="113"/>
      <c r="I42" s="114"/>
      <c r="J42" s="115"/>
      <c r="K42" s="116"/>
      <c r="L42" s="113"/>
      <c r="M42" s="114"/>
      <c r="N42" s="115"/>
      <c r="O42" s="116"/>
      <c r="P42" s="113"/>
      <c r="Q42" s="114"/>
      <c r="R42" s="115"/>
      <c r="S42" s="116"/>
      <c r="T42" s="113"/>
      <c r="U42" s="114"/>
      <c r="V42" s="115"/>
      <c r="X42" s="134">
        <f t="shared" si="0"/>
        <v>0</v>
      </c>
      <c r="Y42" s="138">
        <v>7350</v>
      </c>
      <c r="Z42" s="43"/>
      <c r="AA42" s="43"/>
      <c r="AB42" s="45"/>
      <c r="AC42" s="43"/>
      <c r="AD42" s="43"/>
      <c r="AE42" s="45"/>
      <c r="AF42" s="43"/>
      <c r="AG42" s="43"/>
      <c r="AH42" s="45"/>
      <c r="AI42" s="43"/>
    </row>
    <row r="43" spans="2:35" hidden="1" thickBot="1" x14ac:dyDescent="0.35">
      <c r="B43" s="7">
        <v>7400</v>
      </c>
      <c r="C43" s="15" t="s">
        <v>36</v>
      </c>
      <c r="D43" s="113"/>
      <c r="E43" s="114"/>
      <c r="F43" s="115"/>
      <c r="G43" s="116"/>
      <c r="H43" s="113"/>
      <c r="I43" s="114"/>
      <c r="J43" s="115"/>
      <c r="K43" s="116"/>
      <c r="L43" s="113"/>
      <c r="M43" s="114"/>
      <c r="N43" s="115"/>
      <c r="O43" s="116"/>
      <c r="P43" s="113"/>
      <c r="Q43" s="114"/>
      <c r="R43" s="115"/>
      <c r="S43" s="116"/>
      <c r="T43" s="113"/>
      <c r="U43" s="114"/>
      <c r="V43" s="115"/>
      <c r="X43" s="134">
        <f t="shared" si="0"/>
        <v>0</v>
      </c>
      <c r="Y43" s="138">
        <v>7400</v>
      </c>
      <c r="Z43" s="43"/>
      <c r="AA43" s="43"/>
      <c r="AB43" s="45"/>
      <c r="AC43" s="43"/>
      <c r="AD43" s="43"/>
      <c r="AE43" s="45"/>
      <c r="AF43" s="43"/>
      <c r="AG43" s="43"/>
      <c r="AH43" s="45"/>
      <c r="AI43" s="43"/>
    </row>
    <row r="44" spans="2:35" hidden="1" thickBot="1" x14ac:dyDescent="0.35">
      <c r="B44" s="7">
        <v>7411</v>
      </c>
      <c r="C44" s="15" t="s">
        <v>37</v>
      </c>
      <c r="D44" s="113"/>
      <c r="E44" s="114"/>
      <c r="F44" s="115"/>
      <c r="G44" s="116"/>
      <c r="H44" s="113"/>
      <c r="I44" s="114"/>
      <c r="J44" s="115"/>
      <c r="K44" s="116"/>
      <c r="L44" s="113"/>
      <c r="M44" s="114"/>
      <c r="N44" s="115"/>
      <c r="O44" s="116"/>
      <c r="P44" s="113"/>
      <c r="Q44" s="114"/>
      <c r="R44" s="115"/>
      <c r="S44" s="116"/>
      <c r="T44" s="113"/>
      <c r="U44" s="114"/>
      <c r="V44" s="115"/>
      <c r="X44" s="134">
        <f t="shared" si="0"/>
        <v>0</v>
      </c>
      <c r="Y44" s="138">
        <v>7411</v>
      </c>
      <c r="Z44" s="43"/>
      <c r="AA44" s="43"/>
      <c r="AB44" s="45"/>
      <c r="AC44" s="43"/>
      <c r="AD44" s="43"/>
      <c r="AE44" s="45"/>
      <c r="AF44" s="43"/>
      <c r="AG44" s="43"/>
      <c r="AH44" s="45"/>
      <c r="AI44" s="43"/>
    </row>
    <row r="45" spans="2:35" ht="15.75" thickBot="1" x14ac:dyDescent="0.3">
      <c r="B45" s="7">
        <v>7420</v>
      </c>
      <c r="C45" s="15" t="s">
        <v>38</v>
      </c>
      <c r="D45" s="113"/>
      <c r="E45" s="114"/>
      <c r="F45" s="115"/>
      <c r="G45" s="116"/>
      <c r="H45" s="113">
        <v>250000</v>
      </c>
      <c r="I45" s="114" t="s">
        <v>165</v>
      </c>
      <c r="J45" s="115"/>
      <c r="K45" s="116"/>
      <c r="L45" s="113"/>
      <c r="M45" s="114"/>
      <c r="N45" s="115"/>
      <c r="O45" s="116"/>
      <c r="P45" s="113"/>
      <c r="Q45" s="114"/>
      <c r="R45" s="115"/>
      <c r="S45" s="116"/>
      <c r="T45" s="113"/>
      <c r="U45" s="114"/>
      <c r="V45" s="115"/>
      <c r="X45" s="134">
        <f t="shared" si="0"/>
        <v>250000</v>
      </c>
      <c r="Y45" s="138">
        <v>7420</v>
      </c>
      <c r="Z45" s="43"/>
      <c r="AA45" s="43"/>
      <c r="AB45" s="45"/>
      <c r="AC45" s="43"/>
      <c r="AD45" s="43"/>
      <c r="AE45" s="45"/>
      <c r="AF45" s="43"/>
      <c r="AG45" s="43"/>
      <c r="AH45" s="45"/>
      <c r="AI45" s="43"/>
    </row>
    <row r="46" spans="2:35" hidden="1" thickBot="1" x14ac:dyDescent="0.35">
      <c r="B46" s="7">
        <v>7425</v>
      </c>
      <c r="C46" s="15" t="s">
        <v>39</v>
      </c>
      <c r="D46" s="113"/>
      <c r="E46" s="114"/>
      <c r="F46" s="115"/>
      <c r="G46" s="116"/>
      <c r="H46" s="113"/>
      <c r="I46" s="114"/>
      <c r="J46" s="115"/>
      <c r="K46" s="116"/>
      <c r="L46" s="113"/>
      <c r="M46" s="114"/>
      <c r="N46" s="115"/>
      <c r="O46" s="116"/>
      <c r="P46" s="113"/>
      <c r="Q46" s="114"/>
      <c r="R46" s="115"/>
      <c r="S46" s="116"/>
      <c r="T46" s="113"/>
      <c r="U46" s="114"/>
      <c r="V46" s="115"/>
      <c r="X46" s="134">
        <f t="shared" si="0"/>
        <v>0</v>
      </c>
      <c r="Y46" s="138">
        <v>7425</v>
      </c>
      <c r="Z46" s="43"/>
      <c r="AA46" s="43"/>
      <c r="AB46" s="45"/>
      <c r="AC46" s="43"/>
      <c r="AD46" s="43"/>
      <c r="AE46" s="45"/>
      <c r="AF46" s="43"/>
      <c r="AG46" s="43"/>
      <c r="AH46" s="45"/>
      <c r="AI46" s="43"/>
    </row>
    <row r="47" spans="2:35" hidden="1" thickBot="1" x14ac:dyDescent="0.35">
      <c r="B47" s="7">
        <v>7430</v>
      </c>
      <c r="C47" s="15" t="s">
        <v>40</v>
      </c>
      <c r="D47" s="113"/>
      <c r="E47" s="114"/>
      <c r="F47" s="115"/>
      <c r="G47" s="116"/>
      <c r="H47" s="113"/>
      <c r="I47" s="114"/>
      <c r="J47" s="115"/>
      <c r="K47" s="116"/>
      <c r="L47" s="113"/>
      <c r="M47" s="114"/>
      <c r="N47" s="115"/>
      <c r="O47" s="116"/>
      <c r="P47" s="113"/>
      <c r="Q47" s="114"/>
      <c r="R47" s="115"/>
      <c r="S47" s="116"/>
      <c r="T47" s="113"/>
      <c r="U47" s="114"/>
      <c r="V47" s="115"/>
      <c r="X47" s="134">
        <f t="shared" si="0"/>
        <v>0</v>
      </c>
      <c r="Y47" s="138">
        <v>7430</v>
      </c>
      <c r="Z47" s="43"/>
      <c r="AA47" s="43"/>
      <c r="AB47" s="45"/>
      <c r="AC47" s="43"/>
      <c r="AD47" s="43"/>
      <c r="AE47" s="45"/>
      <c r="AF47" s="43"/>
      <c r="AG47" s="43"/>
      <c r="AH47" s="45"/>
      <c r="AI47" s="43"/>
    </row>
    <row r="48" spans="2:35" hidden="1" thickBot="1" x14ac:dyDescent="0.35">
      <c r="B48" s="7">
        <v>7500</v>
      </c>
      <c r="C48" s="15" t="s">
        <v>41</v>
      </c>
      <c r="D48" s="113"/>
      <c r="E48" s="114"/>
      <c r="F48" s="115"/>
      <c r="G48" s="116"/>
      <c r="H48" s="113"/>
      <c r="I48" s="114"/>
      <c r="J48" s="115"/>
      <c r="K48" s="116"/>
      <c r="L48" s="113"/>
      <c r="M48" s="114"/>
      <c r="N48" s="115"/>
      <c r="O48" s="116"/>
      <c r="P48" s="113"/>
      <c r="Q48" s="114"/>
      <c r="R48" s="115"/>
      <c r="S48" s="116"/>
      <c r="T48" s="113"/>
      <c r="U48" s="114"/>
      <c r="V48" s="115"/>
      <c r="X48" s="134">
        <f t="shared" si="0"/>
        <v>0</v>
      </c>
      <c r="Y48" s="138">
        <v>7500</v>
      </c>
      <c r="Z48" s="43"/>
      <c r="AA48" s="43"/>
      <c r="AB48" s="45"/>
      <c r="AC48" s="43"/>
      <c r="AD48" s="43"/>
      <c r="AE48" s="45"/>
      <c r="AF48" s="43"/>
      <c r="AG48" s="43"/>
      <c r="AH48" s="45"/>
      <c r="AI48" s="43"/>
    </row>
    <row r="49" spans="2:35" hidden="1" thickBot="1" x14ac:dyDescent="0.35">
      <c r="B49" s="7">
        <v>7746</v>
      </c>
      <c r="C49" s="15" t="s">
        <v>42</v>
      </c>
      <c r="D49" s="113"/>
      <c r="E49" s="114"/>
      <c r="F49" s="115"/>
      <c r="G49" s="116"/>
      <c r="H49" s="113"/>
      <c r="I49" s="114"/>
      <c r="J49" s="115"/>
      <c r="K49" s="116"/>
      <c r="L49" s="113"/>
      <c r="M49" s="114"/>
      <c r="N49" s="115"/>
      <c r="O49" s="116"/>
      <c r="P49" s="113"/>
      <c r="Q49" s="114"/>
      <c r="R49" s="115"/>
      <c r="S49" s="116"/>
      <c r="T49" s="113"/>
      <c r="U49" s="114"/>
      <c r="V49" s="115"/>
      <c r="X49" s="134">
        <f t="shared" si="0"/>
        <v>0</v>
      </c>
      <c r="Y49" s="138">
        <v>7746</v>
      </c>
      <c r="Z49" s="43"/>
      <c r="AA49" s="43"/>
      <c r="AB49" s="45"/>
      <c r="AC49" s="43"/>
      <c r="AD49" s="43"/>
      <c r="AE49" s="45"/>
      <c r="AF49" s="43"/>
      <c r="AG49" s="43"/>
      <c r="AH49" s="45"/>
      <c r="AI49" s="43"/>
    </row>
    <row r="50" spans="2:35" hidden="1" thickBot="1" x14ac:dyDescent="0.35">
      <c r="B50" s="7">
        <v>7770</v>
      </c>
      <c r="C50" s="15" t="s">
        <v>43</v>
      </c>
      <c r="D50" s="113"/>
      <c r="E50" s="114"/>
      <c r="F50" s="115"/>
      <c r="G50" s="116"/>
      <c r="H50" s="113"/>
      <c r="I50" s="114"/>
      <c r="J50" s="115"/>
      <c r="K50" s="116"/>
      <c r="L50" s="113"/>
      <c r="M50" s="114"/>
      <c r="N50" s="115"/>
      <c r="O50" s="116"/>
      <c r="P50" s="113"/>
      <c r="Q50" s="114"/>
      <c r="R50" s="115"/>
      <c r="S50" s="116"/>
      <c r="T50" s="113"/>
      <c r="U50" s="114"/>
      <c r="V50" s="115"/>
      <c r="X50" s="134">
        <f t="shared" si="0"/>
        <v>0</v>
      </c>
      <c r="Y50" s="138">
        <v>7770</v>
      </c>
      <c r="Z50" s="43"/>
      <c r="AA50" s="43"/>
      <c r="AB50" s="45"/>
      <c r="AC50" s="43"/>
      <c r="AD50" s="43"/>
      <c r="AE50" s="45"/>
      <c r="AF50" s="43"/>
      <c r="AG50" s="43"/>
      <c r="AH50" s="45"/>
      <c r="AI50" s="43"/>
    </row>
    <row r="51" spans="2:35" hidden="1" thickBot="1" x14ac:dyDescent="0.35">
      <c r="B51" s="10">
        <v>7775</v>
      </c>
      <c r="C51" s="16" t="s">
        <v>44</v>
      </c>
      <c r="D51" s="117"/>
      <c r="E51" s="118"/>
      <c r="F51" s="119"/>
      <c r="G51" s="116"/>
      <c r="H51" s="117"/>
      <c r="I51" s="118"/>
      <c r="J51" s="119"/>
      <c r="K51" s="116"/>
      <c r="L51" s="117"/>
      <c r="M51" s="118"/>
      <c r="N51" s="119"/>
      <c r="O51" s="116"/>
      <c r="P51" s="117"/>
      <c r="Q51" s="118"/>
      <c r="R51" s="119"/>
      <c r="S51" s="116"/>
      <c r="T51" s="117"/>
      <c r="U51" s="118"/>
      <c r="V51" s="119"/>
      <c r="X51" s="134">
        <f t="shared" si="0"/>
        <v>0</v>
      </c>
      <c r="Y51" s="142">
        <v>7775</v>
      </c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2:35" thickBot="1" x14ac:dyDescent="0.35">
      <c r="B52" s="32"/>
      <c r="C52" s="33" t="s">
        <v>74</v>
      </c>
      <c r="D52" s="129">
        <f>SUM(D12:D51)</f>
        <v>0</v>
      </c>
      <c r="E52" s="129"/>
      <c r="F52" s="129">
        <v>3100.82</v>
      </c>
      <c r="G52" s="116"/>
      <c r="H52" s="129">
        <f t="shared" ref="H52:T52" si="3">SUM(H12:H51)</f>
        <v>250000</v>
      </c>
      <c r="I52" s="129"/>
      <c r="J52" s="129">
        <v>297406.5</v>
      </c>
      <c r="K52" s="116"/>
      <c r="L52" s="129">
        <f t="shared" si="3"/>
        <v>0</v>
      </c>
      <c r="M52" s="129"/>
      <c r="N52" s="129"/>
      <c r="O52" s="116"/>
      <c r="P52" s="129">
        <f t="shared" si="3"/>
        <v>0</v>
      </c>
      <c r="Q52" s="129"/>
      <c r="R52" s="129"/>
      <c r="S52" s="116"/>
      <c r="T52" s="129">
        <f t="shared" si="3"/>
        <v>0</v>
      </c>
      <c r="U52" s="129"/>
      <c r="V52" s="129"/>
      <c r="X52" s="134">
        <f>T52+P52+L52+H52+D52</f>
        <v>250000</v>
      </c>
      <c r="Y52" s="139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2:35" thickBot="1" x14ac:dyDescent="0.35">
      <c r="C53" s="18" t="s">
        <v>51</v>
      </c>
      <c r="D53" s="129">
        <f>D11-D52</f>
        <v>0</v>
      </c>
      <c r="E53" s="129"/>
      <c r="F53" s="129">
        <f t="shared" ref="F53" si="4">F11-F52</f>
        <v>-3100.82</v>
      </c>
      <c r="G53" s="116"/>
      <c r="H53" s="129">
        <f>H11-H52</f>
        <v>-250000</v>
      </c>
      <c r="I53" s="129"/>
      <c r="J53" s="129">
        <f t="shared" ref="J53" si="5">J11-J52</f>
        <v>-297406.5</v>
      </c>
      <c r="K53" s="116"/>
      <c r="L53" s="129">
        <f>L11-L52</f>
        <v>0</v>
      </c>
      <c r="M53" s="129"/>
      <c r="N53" s="129"/>
      <c r="O53" s="116"/>
      <c r="P53" s="129">
        <f t="shared" ref="P53" si="6">P11-P52</f>
        <v>0</v>
      </c>
      <c r="Q53" s="129"/>
      <c r="R53" s="129"/>
      <c r="S53" s="116"/>
      <c r="T53" s="129">
        <f t="shared" ref="T53" si="7">T11-T52</f>
        <v>0</v>
      </c>
      <c r="U53" s="129"/>
      <c r="V53" s="129"/>
      <c r="W53" s="116"/>
      <c r="X53" s="129">
        <f>X11-X52</f>
        <v>-250000</v>
      </c>
      <c r="Y53" s="144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2:35" x14ac:dyDescent="0.25">
      <c r="D54" s="19"/>
      <c r="E54" s="19"/>
      <c r="F54" s="19"/>
      <c r="G54" s="9"/>
      <c r="I54" s="1"/>
      <c r="K54" s="9"/>
      <c r="L54" s="1"/>
      <c r="S54" s="9"/>
      <c r="X54" s="1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</sheetData>
  <sheetProtection algorithmName="SHA-512" hashValue="M1zFBB0lj5gi3Oi2dr5/JR3yXXl9lRbGaKgRBnxcAitjc7lUvhzPI2mByU5mI8I9IzOeOBeI0bwpuCkmICUOTA==" saltValue="xDCC+hMcKq6pwD6bsgU2Kw==" spinCount="100000" sheet="1" objects="1" scenarios="1" selectLockedCells="1"/>
  <protectedRanges>
    <protectedRange sqref="AB16 AE16 AH16" name="Område2_2_1"/>
    <protectedRange password="8B3B" sqref="AB18 AE18 AH18" name="Område1_2_1"/>
    <protectedRange sqref="D17 H17:I17 L17:M17 P17:Q17 T17:U17" name="Område2_2_2"/>
    <protectedRange password="8B3B" sqref="D19 H19:I19 L19:M19 P19:Q19 T19:U19" name="Område1_2_2"/>
  </protectedRanges>
  <mergeCells count="7">
    <mergeCell ref="B2:C2"/>
    <mergeCell ref="E1:F1"/>
    <mergeCell ref="I1:J1"/>
    <mergeCell ref="Q1:R1"/>
    <mergeCell ref="U1:V1"/>
    <mergeCell ref="B1:C1"/>
    <mergeCell ref="M1:N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B1" zoomScale="85" zoomScaleNormal="85" workbookViewId="0">
      <selection activeCell="L31" sqref="L31"/>
    </sheetView>
  </sheetViews>
  <sheetFormatPr baseColWidth="10" defaultColWidth="11.5703125" defaultRowHeight="15" x14ac:dyDescent="0.25"/>
  <cols>
    <col min="1" max="1" width="40.85546875" bestFit="1" customWidth="1"/>
    <col min="2" max="2" width="21.5703125" bestFit="1" customWidth="1"/>
    <col min="3" max="3" width="40.140625" bestFit="1" customWidth="1"/>
    <col min="4" max="4" width="22.140625" customWidth="1"/>
    <col min="5" max="5" width="15.140625" bestFit="1" customWidth="1"/>
    <col min="6" max="6" width="14.42578125" bestFit="1" customWidth="1"/>
    <col min="7" max="7" width="19.42578125" bestFit="1" customWidth="1"/>
    <col min="8" max="8" width="14" bestFit="1" customWidth="1"/>
    <col min="9" max="9" width="19.85546875" bestFit="1" customWidth="1"/>
    <col min="10" max="10" width="14.85546875" bestFit="1" customWidth="1"/>
    <col min="11" max="12" width="15.42578125" bestFit="1" customWidth="1"/>
  </cols>
  <sheetData>
    <row r="1" spans="1:13" ht="14.45" x14ac:dyDescent="0.3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thickBot="1" x14ac:dyDescent="0.35">
      <c r="A2" s="83" t="s">
        <v>205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ht="14.45" x14ac:dyDescent="0.3">
      <c r="A3" s="152" t="s">
        <v>206</v>
      </c>
      <c r="B3" s="152" t="s">
        <v>263</v>
      </c>
      <c r="C3" s="152" t="s">
        <v>264</v>
      </c>
      <c r="D3" s="152" t="s">
        <v>305</v>
      </c>
      <c r="E3" s="152" t="s">
        <v>207</v>
      </c>
      <c r="F3" s="152" t="s">
        <v>192</v>
      </c>
      <c r="G3" s="152" t="s">
        <v>245</v>
      </c>
      <c r="H3" s="152" t="s">
        <v>210</v>
      </c>
      <c r="I3" s="152" t="s">
        <v>302</v>
      </c>
      <c r="J3" s="152" t="s">
        <v>304</v>
      </c>
      <c r="K3" s="152" t="s">
        <v>211</v>
      </c>
      <c r="L3" s="152" t="s">
        <v>303</v>
      </c>
    </row>
    <row r="4" spans="1:13" thickBot="1" x14ac:dyDescent="0.35">
      <c r="A4" s="153">
        <f>SUM(B4:L4)</f>
        <v>2057000</v>
      </c>
      <c r="B4" s="153">
        <v>730000</v>
      </c>
      <c r="C4" s="153">
        <v>200000</v>
      </c>
      <c r="D4" s="153">
        <v>500000</v>
      </c>
      <c r="E4" s="153">
        <v>200000</v>
      </c>
      <c r="F4" s="153">
        <v>2000</v>
      </c>
      <c r="G4" s="153">
        <v>100000</v>
      </c>
      <c r="H4" s="153">
        <v>19000</v>
      </c>
      <c r="I4" s="153">
        <v>186000</v>
      </c>
      <c r="J4" s="153">
        <f>61000-15000</f>
        <v>46000</v>
      </c>
      <c r="K4" s="153">
        <v>0</v>
      </c>
      <c r="L4" s="153">
        <v>74000</v>
      </c>
    </row>
    <row r="5" spans="1:13" x14ac:dyDescent="0.25">
      <c r="A5" s="242" t="s">
        <v>215</v>
      </c>
      <c r="B5" s="242"/>
      <c r="C5" s="242"/>
      <c r="D5" s="242"/>
      <c r="E5" s="242"/>
      <c r="F5" s="242"/>
      <c r="G5" s="242"/>
      <c r="H5" s="154"/>
      <c r="I5" s="154"/>
      <c r="J5" s="154"/>
      <c r="K5" s="154"/>
      <c r="L5" s="154"/>
    </row>
    <row r="6" spans="1:13" x14ac:dyDescent="0.25">
      <c r="A6" s="243"/>
      <c r="B6" s="243"/>
      <c r="C6" s="243"/>
      <c r="D6" s="243"/>
      <c r="E6" s="243"/>
      <c r="F6" s="243"/>
      <c r="G6" s="243"/>
      <c r="H6" s="154"/>
      <c r="I6" s="154"/>
      <c r="J6" s="154"/>
      <c r="K6" s="154"/>
      <c r="L6" s="154"/>
    </row>
    <row r="8" spans="1:13" thickBot="1" x14ac:dyDescent="0.35"/>
    <row r="9" spans="1:13" ht="30.75" thickBot="1" x14ac:dyDescent="0.3">
      <c r="A9" s="155"/>
      <c r="B9" s="156" t="s">
        <v>187</v>
      </c>
      <c r="C9" s="157" t="s">
        <v>87</v>
      </c>
      <c r="D9" s="157" t="s">
        <v>90</v>
      </c>
      <c r="E9" s="157" t="s">
        <v>93</v>
      </c>
      <c r="F9" s="157" t="s">
        <v>95</v>
      </c>
      <c r="G9" s="158" t="s">
        <v>98</v>
      </c>
      <c r="H9" s="158" t="s">
        <v>102</v>
      </c>
      <c r="I9" s="159" t="s">
        <v>105</v>
      </c>
      <c r="J9" s="160" t="s">
        <v>106</v>
      </c>
      <c r="K9" s="155"/>
      <c r="L9" s="161"/>
      <c r="M9" s="161"/>
    </row>
    <row r="10" spans="1:13" ht="15.75" thickBot="1" x14ac:dyDescent="0.3">
      <c r="B10" s="162" t="s">
        <v>196</v>
      </c>
      <c r="C10" s="162" t="s">
        <v>197</v>
      </c>
      <c r="D10" s="162" t="s">
        <v>198</v>
      </c>
      <c r="E10" s="162" t="s">
        <v>199</v>
      </c>
      <c r="F10" s="162" t="s">
        <v>200</v>
      </c>
      <c r="G10" s="162" t="s">
        <v>201</v>
      </c>
      <c r="H10" s="162" t="s">
        <v>204</v>
      </c>
      <c r="I10" s="162" t="s">
        <v>202</v>
      </c>
      <c r="J10" s="166" t="s">
        <v>203</v>
      </c>
      <c r="K10" s="60" t="s">
        <v>206</v>
      </c>
    </row>
    <row r="11" spans="1:13" ht="15.75" thickBot="1" x14ac:dyDescent="0.3">
      <c r="A11" s="163" t="s">
        <v>212</v>
      </c>
      <c r="B11" s="164">
        <f>'Sammendrag Prosjektplan'!E6</f>
        <v>481035.011</v>
      </c>
      <c r="C11" s="164">
        <f>'Sammendrag Prosjektplan'!E18</f>
        <v>13000</v>
      </c>
      <c r="D11" s="164">
        <f>'Sammendrag Prosjektplan'!E23</f>
        <v>111720</v>
      </c>
      <c r="E11" s="164">
        <f>'Sammendrag Prosjektplan'!E30</f>
        <v>327248.44189199997</v>
      </c>
      <c r="F11" s="164">
        <f>'Sammendrag Prosjektplan'!E43</f>
        <v>74000</v>
      </c>
      <c r="G11" s="164">
        <f>'Sammendrag Prosjektplan'!E53</f>
        <v>282002.59789199999</v>
      </c>
      <c r="H11" s="164">
        <f>'Sammendrag Prosjektplan'!E64</f>
        <v>430227.103856</v>
      </c>
      <c r="I11" s="164">
        <f>'Sammendrag Prosjektplan'!E75</f>
        <v>422184.4</v>
      </c>
      <c r="J11" s="167">
        <f>'Sammendrag Prosjektplan'!E84</f>
        <v>250000</v>
      </c>
      <c r="K11" s="168">
        <f>SUM(B11:J11)</f>
        <v>2391417.5546399998</v>
      </c>
      <c r="L11" s="110"/>
    </row>
    <row r="12" spans="1:13" ht="15.75" thickBot="1" x14ac:dyDescent="0.3">
      <c r="K12" s="165"/>
    </row>
    <row r="13" spans="1:13" ht="15.75" thickBot="1" x14ac:dyDescent="0.3">
      <c r="A13" s="152" t="s">
        <v>263</v>
      </c>
      <c r="B13" s="110">
        <v>425000</v>
      </c>
      <c r="C13" s="110">
        <v>11000</v>
      </c>
      <c r="D13" s="110">
        <v>94000</v>
      </c>
      <c r="E13" s="110" t="s">
        <v>213</v>
      </c>
      <c r="F13" s="110"/>
      <c r="G13" s="110" t="s">
        <v>213</v>
      </c>
      <c r="H13" s="110">
        <v>200000</v>
      </c>
      <c r="I13" s="110"/>
      <c r="J13" s="110" t="s">
        <v>213</v>
      </c>
      <c r="K13" s="169">
        <f>SUM(B13:J13)</f>
        <v>730000</v>
      </c>
      <c r="L13" s="110"/>
      <c r="M13" s="58"/>
    </row>
    <row r="14" spans="1:13" ht="15.75" thickBot="1" x14ac:dyDescent="0.3">
      <c r="A14" s="152" t="s">
        <v>264</v>
      </c>
      <c r="B14" s="110"/>
      <c r="C14" s="110"/>
      <c r="D14" s="110" t="s">
        <v>213</v>
      </c>
      <c r="E14" s="110" t="s">
        <v>213</v>
      </c>
      <c r="F14" s="110"/>
      <c r="G14" s="110" t="s">
        <v>213</v>
      </c>
      <c r="H14" s="110"/>
      <c r="I14" s="110">
        <v>200000</v>
      </c>
      <c r="J14" s="110"/>
      <c r="K14" s="169">
        <f t="shared" ref="K14:K24" si="0">SUM(B14:J14)</f>
        <v>200000</v>
      </c>
      <c r="L14" s="110"/>
      <c r="M14" s="58"/>
    </row>
    <row r="15" spans="1:13" ht="15.75" thickBot="1" x14ac:dyDescent="0.3">
      <c r="A15" s="152" t="s">
        <v>146</v>
      </c>
      <c r="B15" s="110"/>
      <c r="C15" s="110"/>
      <c r="D15" s="110"/>
      <c r="E15" s="110">
        <v>61000</v>
      </c>
      <c r="F15" s="110"/>
      <c r="G15" s="110">
        <v>259000</v>
      </c>
      <c r="H15" s="110"/>
      <c r="I15" s="110">
        <v>180000</v>
      </c>
      <c r="J15" s="110"/>
      <c r="K15" s="169">
        <f t="shared" si="0"/>
        <v>500000</v>
      </c>
      <c r="L15" s="110"/>
      <c r="M15" s="58"/>
    </row>
    <row r="16" spans="1:13" ht="15.75" thickBot="1" x14ac:dyDescent="0.3">
      <c r="A16" s="152" t="s">
        <v>207</v>
      </c>
      <c r="B16" s="110"/>
      <c r="C16" s="110"/>
      <c r="D16" s="110"/>
      <c r="E16" s="110">
        <v>200000</v>
      </c>
      <c r="F16" s="110" t="s">
        <v>213</v>
      </c>
      <c r="G16" s="110" t="s">
        <v>213</v>
      </c>
      <c r="H16" s="110"/>
      <c r="I16" s="110" t="s">
        <v>213</v>
      </c>
      <c r="J16" s="110"/>
      <c r="K16" s="169">
        <f t="shared" si="0"/>
        <v>200000</v>
      </c>
      <c r="L16" s="110"/>
      <c r="M16" s="58"/>
    </row>
    <row r="17" spans="1:13" ht="15.75" thickBot="1" x14ac:dyDescent="0.3">
      <c r="A17" s="152" t="s">
        <v>208</v>
      </c>
      <c r="B17" s="110"/>
      <c r="C17" s="110"/>
      <c r="D17" s="110"/>
      <c r="E17" s="110">
        <v>2000</v>
      </c>
      <c r="F17" s="110"/>
      <c r="G17" s="110"/>
      <c r="H17" s="110"/>
      <c r="I17" s="110"/>
      <c r="J17" s="110"/>
      <c r="K17" s="169">
        <f t="shared" si="0"/>
        <v>2000</v>
      </c>
      <c r="L17" s="110"/>
      <c r="M17" s="58"/>
    </row>
    <row r="18" spans="1:13" ht="15.75" thickBot="1" x14ac:dyDescent="0.3">
      <c r="A18" s="152" t="s">
        <v>209</v>
      </c>
      <c r="B18" s="110"/>
      <c r="C18" s="110"/>
      <c r="D18" s="110" t="s">
        <v>213</v>
      </c>
      <c r="E18" s="110"/>
      <c r="F18" s="110">
        <v>74000</v>
      </c>
      <c r="G18" s="110"/>
      <c r="H18" s="110">
        <v>21000</v>
      </c>
      <c r="I18" s="110"/>
      <c r="J18" s="110"/>
      <c r="K18" s="169">
        <f t="shared" si="0"/>
        <v>95000</v>
      </c>
      <c r="L18" s="110"/>
      <c r="M18" s="58"/>
    </row>
    <row r="19" spans="1:13" ht="15.75" thickBot="1" x14ac:dyDescent="0.3">
      <c r="A19" s="152" t="s">
        <v>210</v>
      </c>
      <c r="B19" s="110">
        <v>19000</v>
      </c>
      <c r="C19" s="110" t="s">
        <v>213</v>
      </c>
      <c r="D19" s="110" t="s">
        <v>213</v>
      </c>
      <c r="E19" s="110" t="s">
        <v>213</v>
      </c>
      <c r="F19" s="110" t="s">
        <v>213</v>
      </c>
      <c r="G19" s="110" t="s">
        <v>213</v>
      </c>
      <c r="H19" s="110" t="s">
        <v>213</v>
      </c>
      <c r="I19" s="110" t="s">
        <v>213</v>
      </c>
      <c r="J19" s="110" t="s">
        <v>213</v>
      </c>
      <c r="K19" s="169">
        <f t="shared" si="0"/>
        <v>19000</v>
      </c>
      <c r="L19" s="110"/>
      <c r="M19" s="58"/>
    </row>
    <row r="20" spans="1:13" ht="15.75" thickBot="1" x14ac:dyDescent="0.3">
      <c r="A20" s="152" t="s">
        <v>302</v>
      </c>
      <c r="B20" s="110"/>
      <c r="C20" s="110"/>
      <c r="D20" s="110"/>
      <c r="E20" s="110"/>
      <c r="F20" s="110"/>
      <c r="G20" s="110"/>
      <c r="H20" s="110">
        <v>186000</v>
      </c>
      <c r="I20" s="110"/>
      <c r="J20" s="110"/>
      <c r="K20" s="169">
        <f t="shared" si="0"/>
        <v>186000</v>
      </c>
      <c r="L20" s="110"/>
      <c r="M20" s="58"/>
    </row>
    <row r="21" spans="1:13" ht="15.75" thickBot="1" x14ac:dyDescent="0.3">
      <c r="A21" s="152" t="s">
        <v>304</v>
      </c>
      <c r="B21" s="110">
        <v>3000</v>
      </c>
      <c r="C21" s="110" t="s">
        <v>213</v>
      </c>
      <c r="D21" s="110" t="s">
        <v>213</v>
      </c>
      <c r="E21" s="110">
        <v>20000</v>
      </c>
      <c r="F21" s="110" t="s">
        <v>213</v>
      </c>
      <c r="G21" s="110">
        <v>23000</v>
      </c>
      <c r="H21" s="110" t="s">
        <v>213</v>
      </c>
      <c r="I21" s="110" t="s">
        <v>213</v>
      </c>
      <c r="J21" s="110" t="s">
        <v>213</v>
      </c>
      <c r="K21" s="169">
        <f t="shared" si="0"/>
        <v>46000</v>
      </c>
      <c r="L21" s="110"/>
      <c r="M21" s="58"/>
    </row>
    <row r="22" spans="1:13" ht="15.75" thickBot="1" x14ac:dyDescent="0.3">
      <c r="A22" s="152" t="s">
        <v>211</v>
      </c>
      <c r="B22" s="110" t="s">
        <v>213</v>
      </c>
      <c r="C22" s="110"/>
      <c r="D22" s="110">
        <v>0</v>
      </c>
      <c r="E22" s="110" t="s">
        <v>213</v>
      </c>
      <c r="F22" s="110" t="s">
        <v>213</v>
      </c>
      <c r="G22" s="110" t="s">
        <v>213</v>
      </c>
      <c r="H22" s="110" t="s">
        <v>213</v>
      </c>
      <c r="I22" s="110" t="s">
        <v>213</v>
      </c>
      <c r="J22" s="110" t="s">
        <v>213</v>
      </c>
      <c r="K22" s="165">
        <f t="shared" si="0"/>
        <v>0</v>
      </c>
      <c r="L22" s="110"/>
      <c r="M22" s="58"/>
    </row>
    <row r="23" spans="1:13" ht="15.75" thickBot="1" x14ac:dyDescent="0.3">
      <c r="A23" s="152" t="s">
        <v>303</v>
      </c>
      <c r="B23" s="110"/>
      <c r="C23" s="110"/>
      <c r="D23" s="110"/>
      <c r="E23" s="110"/>
      <c r="F23" s="110"/>
      <c r="G23" s="110"/>
      <c r="H23" s="110"/>
      <c r="I23" s="110">
        <v>74000</v>
      </c>
      <c r="J23" s="110"/>
      <c r="K23" s="169">
        <f t="shared" si="0"/>
        <v>74000</v>
      </c>
      <c r="L23" s="110"/>
      <c r="M23" s="58"/>
    </row>
    <row r="24" spans="1:13" ht="15.75" thickBot="1" x14ac:dyDescent="0.3">
      <c r="A24" s="152" t="s">
        <v>214</v>
      </c>
      <c r="B24" s="110">
        <v>34000</v>
      </c>
      <c r="C24" s="110">
        <v>2000</v>
      </c>
      <c r="D24" s="110">
        <v>18000</v>
      </c>
      <c r="E24" s="110">
        <v>45000</v>
      </c>
      <c r="F24" s="110">
        <v>0</v>
      </c>
      <c r="G24" s="110"/>
      <c r="H24" s="110">
        <v>24000</v>
      </c>
      <c r="I24" s="110">
        <v>22000</v>
      </c>
      <c r="J24" s="110">
        <v>250000</v>
      </c>
      <c r="K24" s="171">
        <f t="shared" si="0"/>
        <v>395000</v>
      </c>
      <c r="L24" s="110"/>
      <c r="M24" s="58"/>
    </row>
    <row r="25" spans="1:13" ht="15.75" thickBot="1" x14ac:dyDescent="0.3">
      <c r="A25" s="60" t="s">
        <v>206</v>
      </c>
      <c r="B25" s="170">
        <f t="shared" ref="B25:I25" si="1">SUM(B12:B24)</f>
        <v>481000</v>
      </c>
      <c r="C25" s="170">
        <f t="shared" si="1"/>
        <v>13000</v>
      </c>
      <c r="D25" s="170">
        <f t="shared" si="1"/>
        <v>112000</v>
      </c>
      <c r="E25" s="170">
        <f t="shared" si="1"/>
        <v>328000</v>
      </c>
      <c r="F25" s="170">
        <f t="shared" si="1"/>
        <v>74000</v>
      </c>
      <c r="G25" s="170">
        <f t="shared" si="1"/>
        <v>282000</v>
      </c>
      <c r="H25" s="170">
        <f t="shared" si="1"/>
        <v>431000</v>
      </c>
      <c r="I25" s="170">
        <f t="shared" si="1"/>
        <v>476000</v>
      </c>
      <c r="J25" s="170">
        <f>SUM(J12:J24)</f>
        <v>250000</v>
      </c>
      <c r="K25" s="110"/>
      <c r="L25" s="110"/>
      <c r="M25" s="58"/>
    </row>
    <row r="26" spans="1:13" x14ac:dyDescent="0.25">
      <c r="M26" s="58"/>
    </row>
    <row r="27" spans="1:13" x14ac:dyDescent="0.25">
      <c r="K27" s="110"/>
      <c r="L27" s="110"/>
    </row>
    <row r="28" spans="1:13" x14ac:dyDescent="0.25">
      <c r="A28" s="243" t="s">
        <v>216</v>
      </c>
      <c r="B28" s="243"/>
      <c r="C28" s="243"/>
      <c r="D28" s="243"/>
      <c r="E28" s="243"/>
    </row>
    <row r="29" spans="1:13" x14ac:dyDescent="0.25">
      <c r="A29" s="243"/>
      <c r="B29" s="243"/>
      <c r="C29" s="243"/>
      <c r="D29" s="243"/>
      <c r="E29" s="243"/>
    </row>
    <row r="30" spans="1:13" x14ac:dyDescent="0.25">
      <c r="A30" s="243"/>
      <c r="B30" s="243"/>
      <c r="C30" s="243"/>
      <c r="D30" s="243"/>
      <c r="E30" s="243"/>
    </row>
  </sheetData>
  <sheetProtection algorithmName="SHA-512" hashValue="lATwZ1o1h71ONwv0TH7/j/9fEDQrnnPk+UoWCRDEGBXLzrS0LTV3GiFrKoWQMXjGFMnTgb60I2pM6JhXBRJKTA==" saltValue="OBlLQbexDz77nc8TgmuJsw==" spinCount="100000" sheet="1" objects="1" scenarios="1"/>
  <mergeCells count="2">
    <mergeCell ref="A5:G6"/>
    <mergeCell ref="A28:E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baseColWidth="10" defaultColWidth="11.5703125" defaultRowHeight="15" x14ac:dyDescent="0.25"/>
  <cols>
    <col min="1" max="1" width="15.85546875" style="161" customWidth="1"/>
    <col min="2" max="2" width="7.42578125" bestFit="1" customWidth="1"/>
    <col min="3" max="3" width="23.5703125" style="161" customWidth="1"/>
    <col min="4" max="4" width="15" bestFit="1" customWidth="1"/>
    <col min="5" max="5" width="17.42578125" bestFit="1" customWidth="1"/>
    <col min="6" max="6" width="13.42578125" bestFit="1" customWidth="1"/>
    <col min="7" max="7" width="17.5703125" customWidth="1"/>
    <col min="8" max="8" width="12.5703125" bestFit="1" customWidth="1"/>
    <col min="9" max="9" width="17.42578125" bestFit="1" customWidth="1"/>
    <col min="10" max="10" width="13.42578125" bestFit="1" customWidth="1"/>
    <col min="11" max="11" width="19.140625" customWidth="1"/>
    <col min="12" max="12" width="13.42578125" bestFit="1" customWidth="1"/>
    <col min="13" max="13" width="20.5703125" customWidth="1"/>
    <col min="14" max="14" width="13.42578125" bestFit="1" customWidth="1"/>
    <col min="15" max="15" width="19.140625" customWidth="1"/>
    <col min="16" max="16" width="10.85546875" bestFit="1" customWidth="1"/>
    <col min="17" max="17" width="16.85546875" customWidth="1"/>
    <col min="18" max="18" width="10.85546875" bestFit="1" customWidth="1"/>
    <col min="19" max="19" width="15.42578125" customWidth="1"/>
    <col min="20" max="20" width="14.42578125" bestFit="1" customWidth="1"/>
  </cols>
  <sheetData>
    <row r="1" spans="1:23" ht="14.45" x14ac:dyDescent="0.3">
      <c r="A1" s="212"/>
      <c r="B1" s="260" t="s">
        <v>76</v>
      </c>
      <c r="C1" s="261"/>
    </row>
    <row r="2" spans="1:23" thickBot="1" x14ac:dyDescent="0.35">
      <c r="A2" s="213"/>
      <c r="B2" s="260" t="s">
        <v>75</v>
      </c>
      <c r="C2" s="261"/>
    </row>
    <row r="3" spans="1:23" ht="14.45" x14ac:dyDescent="0.3">
      <c r="A3" s="185"/>
      <c r="B3" s="69"/>
      <c r="C3" s="185"/>
      <c r="D3" s="64" t="s">
        <v>1</v>
      </c>
      <c r="E3" s="65"/>
      <c r="F3" s="72" t="s">
        <v>119</v>
      </c>
      <c r="G3" s="72"/>
      <c r="H3" s="64" t="s">
        <v>120</v>
      </c>
      <c r="I3" s="65"/>
      <c r="J3" s="72" t="s">
        <v>135</v>
      </c>
      <c r="K3" s="72"/>
      <c r="L3" s="64" t="s">
        <v>135</v>
      </c>
      <c r="M3" s="65"/>
      <c r="N3" s="64" t="s">
        <v>135</v>
      </c>
      <c r="O3" s="65"/>
      <c r="P3" s="64" t="s">
        <v>105</v>
      </c>
      <c r="Q3" s="65"/>
      <c r="R3" s="64" t="s">
        <v>105</v>
      </c>
      <c r="S3" s="65"/>
      <c r="U3" s="64" t="s">
        <v>308</v>
      </c>
      <c r="V3" s="65"/>
    </row>
    <row r="4" spans="1:23" s="161" customFormat="1" ht="29.45" thickBot="1" x14ac:dyDescent="0.35">
      <c r="A4" s="185"/>
      <c r="B4" s="185"/>
      <c r="C4" s="185"/>
      <c r="D4" s="186">
        <v>10000</v>
      </c>
      <c r="E4" s="187" t="s">
        <v>85</v>
      </c>
      <c r="F4" s="188">
        <v>40000</v>
      </c>
      <c r="G4" s="188" t="s">
        <v>85</v>
      </c>
      <c r="H4" s="186">
        <v>60000</v>
      </c>
      <c r="I4" s="187" t="s">
        <v>85</v>
      </c>
      <c r="J4" s="188">
        <v>71000</v>
      </c>
      <c r="K4" s="188" t="s">
        <v>311</v>
      </c>
      <c r="L4" s="186">
        <v>71100</v>
      </c>
      <c r="M4" s="187" t="s">
        <v>232</v>
      </c>
      <c r="N4" s="186">
        <v>71200</v>
      </c>
      <c r="O4" s="187" t="s">
        <v>338</v>
      </c>
      <c r="P4" s="186">
        <v>81000</v>
      </c>
      <c r="Q4" s="187" t="s">
        <v>121</v>
      </c>
      <c r="R4" s="186">
        <v>82000</v>
      </c>
      <c r="S4" s="187" t="s">
        <v>122</v>
      </c>
      <c r="U4" s="186"/>
      <c r="V4" s="187"/>
    </row>
    <row r="5" spans="1:23" thickBot="1" x14ac:dyDescent="0.35">
      <c r="A5" s="214" t="s">
        <v>113</v>
      </c>
      <c r="B5" s="68" t="s">
        <v>0</v>
      </c>
      <c r="C5" s="218" t="s">
        <v>124</v>
      </c>
      <c r="D5" s="70" t="s">
        <v>123</v>
      </c>
      <c r="E5" s="75" t="s">
        <v>126</v>
      </c>
      <c r="F5" s="73" t="s">
        <v>123</v>
      </c>
      <c r="G5" s="75" t="s">
        <v>126</v>
      </c>
      <c r="H5" s="70" t="s">
        <v>123</v>
      </c>
      <c r="I5" s="75" t="s">
        <v>126</v>
      </c>
      <c r="J5" s="73" t="s">
        <v>123</v>
      </c>
      <c r="K5" s="75" t="s">
        <v>126</v>
      </c>
      <c r="L5" s="73" t="s">
        <v>123</v>
      </c>
      <c r="M5" s="75" t="s">
        <v>126</v>
      </c>
      <c r="N5" s="73" t="s">
        <v>123</v>
      </c>
      <c r="O5" s="75" t="s">
        <v>126</v>
      </c>
      <c r="P5" s="70" t="s">
        <v>123</v>
      </c>
      <c r="Q5" s="75" t="s">
        <v>126</v>
      </c>
      <c r="R5" s="70" t="s">
        <v>123</v>
      </c>
      <c r="S5" s="75" t="s">
        <v>126</v>
      </c>
      <c r="T5" s="77" t="s">
        <v>125</v>
      </c>
    </row>
    <row r="6" spans="1:23" ht="30" x14ac:dyDescent="0.25">
      <c r="A6" s="161" t="s">
        <v>114</v>
      </c>
      <c r="D6" s="46"/>
      <c r="E6" s="48"/>
      <c r="F6" s="46"/>
      <c r="G6" s="48"/>
      <c r="H6" s="46"/>
      <c r="I6" s="48"/>
      <c r="J6" s="46"/>
      <c r="K6" s="48"/>
      <c r="L6" s="46"/>
      <c r="M6" s="48"/>
      <c r="N6" s="46"/>
      <c r="O6" s="48"/>
      <c r="P6" s="46"/>
      <c r="Q6" s="48"/>
      <c r="R6" s="46"/>
      <c r="S6" s="48"/>
      <c r="T6" s="79"/>
      <c r="U6" s="244"/>
      <c r="V6" s="245"/>
      <c r="W6" s="246"/>
    </row>
    <row r="7" spans="1:23" x14ac:dyDescent="0.25">
      <c r="B7" s="19">
        <v>5000</v>
      </c>
      <c r="C7" s="195" t="s">
        <v>10</v>
      </c>
      <c r="D7" s="172">
        <f>210000*1.03</f>
        <v>216300</v>
      </c>
      <c r="E7" s="76">
        <f>D7/$T$7</f>
        <v>0.49982149232416995</v>
      </c>
      <c r="F7" s="176">
        <f>420300*0.15*1.03</f>
        <v>64936.35</v>
      </c>
      <c r="G7" s="76">
        <f>F7/$T$7</f>
        <v>0.15005355230274903</v>
      </c>
      <c r="H7" s="176">
        <f>63045*1.03</f>
        <v>64936.35</v>
      </c>
      <c r="I7" s="76">
        <f>H7/$T$7</f>
        <v>0.15005355230274903</v>
      </c>
      <c r="J7" s="176">
        <f>420300*0.2*1.03</f>
        <v>86581.8</v>
      </c>
      <c r="K7" s="76">
        <f>J7/$T$7</f>
        <v>0.20007140307033203</v>
      </c>
      <c r="L7" s="176">
        <v>0</v>
      </c>
      <c r="M7" s="76">
        <f>L7/$T$7</f>
        <v>0</v>
      </c>
      <c r="N7" s="176">
        <v>0</v>
      </c>
      <c r="O7" s="76">
        <f>N7/$T$7</f>
        <v>0</v>
      </c>
      <c r="P7" s="176">
        <v>0</v>
      </c>
      <c r="Q7" s="76">
        <f>P7/$T$7</f>
        <v>0</v>
      </c>
      <c r="R7" s="176">
        <v>0</v>
      </c>
      <c r="S7" s="76">
        <f>R7/$T$7</f>
        <v>0</v>
      </c>
      <c r="T7" s="181">
        <f>R7+P7+J7+L7+N7+H7+F7+D7</f>
        <v>432754.5</v>
      </c>
      <c r="U7" s="247"/>
      <c r="V7" s="240"/>
      <c r="W7" s="241"/>
    </row>
    <row r="8" spans="1:23" x14ac:dyDescent="0.25">
      <c r="B8" s="19">
        <v>5001</v>
      </c>
      <c r="C8" s="195" t="s">
        <v>11</v>
      </c>
      <c r="D8" s="172"/>
      <c r="E8" s="34"/>
      <c r="F8" s="176"/>
      <c r="G8" s="34"/>
      <c r="H8" s="176"/>
      <c r="I8" s="34"/>
      <c r="J8" s="176"/>
      <c r="K8" s="34"/>
      <c r="L8" s="176"/>
      <c r="M8" s="34"/>
      <c r="N8" s="176"/>
      <c r="O8" s="34"/>
      <c r="P8" s="176"/>
      <c r="Q8" s="34"/>
      <c r="R8" s="176"/>
      <c r="S8" s="34"/>
      <c r="T8" s="181">
        <f t="shared" ref="T8:T49" si="0">R8+P8+J8+L8+N8+H8+F8+D8</f>
        <v>0</v>
      </c>
      <c r="U8" s="247"/>
      <c r="V8" s="240"/>
      <c r="W8" s="241"/>
    </row>
    <row r="9" spans="1:23" ht="30" x14ac:dyDescent="0.25">
      <c r="B9" s="19">
        <v>5004</v>
      </c>
      <c r="C9" s="195" t="s">
        <v>12</v>
      </c>
      <c r="D9" s="172"/>
      <c r="E9" s="34"/>
      <c r="F9" s="176"/>
      <c r="G9" s="34"/>
      <c r="H9" s="176"/>
      <c r="I9" s="34"/>
      <c r="J9" s="176"/>
      <c r="K9" s="34"/>
      <c r="L9" s="176"/>
      <c r="M9" s="34"/>
      <c r="N9" s="176"/>
      <c r="O9" s="34"/>
      <c r="P9" s="176"/>
      <c r="Q9" s="34"/>
      <c r="R9" s="176"/>
      <c r="S9" s="34"/>
      <c r="T9" s="181">
        <f t="shared" si="0"/>
        <v>0</v>
      </c>
      <c r="U9" s="247"/>
      <c r="V9" s="240"/>
      <c r="W9" s="241"/>
    </row>
    <row r="10" spans="1:23" x14ac:dyDescent="0.25">
      <c r="B10" s="67">
        <v>5180</v>
      </c>
      <c r="C10" s="217" t="s">
        <v>13</v>
      </c>
      <c r="D10" s="173">
        <f>(D8+D7)*0.12</f>
        <v>25956</v>
      </c>
      <c r="E10" s="34"/>
      <c r="F10" s="177">
        <f>(F8+F7)*0.12</f>
        <v>7792.3619999999992</v>
      </c>
      <c r="G10" s="34"/>
      <c r="H10" s="177">
        <f>(H8+H7)*0.12</f>
        <v>7792.3619999999992</v>
      </c>
      <c r="I10" s="34"/>
      <c r="J10" s="177">
        <f>(J8+J7)*0.12</f>
        <v>10389.816000000001</v>
      </c>
      <c r="K10" s="34"/>
      <c r="L10" s="177">
        <f>(L8+L7)*0.12</f>
        <v>0</v>
      </c>
      <c r="M10" s="34"/>
      <c r="N10" s="177">
        <f>(N8+N7)*0.12</f>
        <v>0</v>
      </c>
      <c r="O10" s="34"/>
      <c r="P10" s="177">
        <f>(P8+P7)*0.12</f>
        <v>0</v>
      </c>
      <c r="Q10" s="34"/>
      <c r="R10" s="177">
        <f>(R8+R7)*0.12</f>
        <v>0</v>
      </c>
      <c r="S10" s="34"/>
      <c r="T10" s="181">
        <f t="shared" si="0"/>
        <v>51930.54</v>
      </c>
      <c r="U10" s="247"/>
      <c r="V10" s="240"/>
      <c r="W10" s="241"/>
    </row>
    <row r="11" spans="1:23" ht="30" x14ac:dyDescent="0.25">
      <c r="B11" s="67">
        <v>5182</v>
      </c>
      <c r="C11" s="217" t="s">
        <v>14</v>
      </c>
      <c r="D11" s="173">
        <f>D10*0.141</f>
        <v>3659.7959999999998</v>
      </c>
      <c r="E11" s="34"/>
      <c r="F11" s="177">
        <f>F10*0.141</f>
        <v>1098.7230419999999</v>
      </c>
      <c r="G11" s="34"/>
      <c r="H11" s="177">
        <f>H10*0.141</f>
        <v>1098.7230419999999</v>
      </c>
      <c r="I11" s="34"/>
      <c r="J11" s="177">
        <f>J10*0.141</f>
        <v>1464.964056</v>
      </c>
      <c r="K11" s="34"/>
      <c r="L11" s="177">
        <f>L10*0.141</f>
        <v>0</v>
      </c>
      <c r="M11" s="34"/>
      <c r="N11" s="177">
        <f>N10*0.141</f>
        <v>0</v>
      </c>
      <c r="O11" s="34"/>
      <c r="P11" s="177">
        <f>P10*0.141</f>
        <v>0</v>
      </c>
      <c r="Q11" s="34"/>
      <c r="R11" s="177">
        <f>R10*0.141</f>
        <v>0</v>
      </c>
      <c r="S11" s="34"/>
      <c r="T11" s="181">
        <f t="shared" si="0"/>
        <v>7322.2061400000002</v>
      </c>
      <c r="U11" s="247"/>
      <c r="V11" s="240"/>
      <c r="W11" s="241"/>
    </row>
    <row r="12" spans="1:23" ht="30" x14ac:dyDescent="0.25">
      <c r="B12" s="13">
        <v>5211</v>
      </c>
      <c r="C12" s="219" t="s">
        <v>157</v>
      </c>
      <c r="D12" s="173">
        <v>9000</v>
      </c>
      <c r="E12" s="34"/>
      <c r="F12" s="177"/>
      <c r="G12" s="34"/>
      <c r="H12" s="177"/>
      <c r="I12" s="34"/>
      <c r="J12" s="177"/>
      <c r="K12" s="34"/>
      <c r="L12" s="177"/>
      <c r="M12" s="34"/>
      <c r="N12" s="177"/>
      <c r="O12" s="34"/>
      <c r="P12" s="177"/>
      <c r="Q12" s="34"/>
      <c r="R12" s="177"/>
      <c r="S12" s="34"/>
      <c r="T12" s="181">
        <f t="shared" si="0"/>
        <v>9000</v>
      </c>
      <c r="U12" s="247"/>
      <c r="V12" s="240"/>
      <c r="W12" s="241"/>
    </row>
    <row r="13" spans="1:23" x14ac:dyDescent="0.25">
      <c r="B13" s="67">
        <v>5400</v>
      </c>
      <c r="C13" s="217" t="s">
        <v>48</v>
      </c>
      <c r="D13" s="173">
        <f>(D6+D7+D14+D8+D12)*0.141</f>
        <v>33292.214999999997</v>
      </c>
      <c r="E13" s="34"/>
      <c r="F13" s="177">
        <f>(F6+F7+F8)*0.141</f>
        <v>9156.0253499999981</v>
      </c>
      <c r="G13" s="34"/>
      <c r="H13" s="177">
        <f>(H6+H7+H8)*0.141</f>
        <v>9156.0253499999981</v>
      </c>
      <c r="I13" s="34"/>
      <c r="J13" s="177">
        <f>(J6+J7+J8)*0.141</f>
        <v>12208.033799999999</v>
      </c>
      <c r="K13" s="34"/>
      <c r="L13" s="177">
        <f>(L6+L7+L8)*0.141</f>
        <v>0</v>
      </c>
      <c r="M13" s="34"/>
      <c r="N13" s="177">
        <f>(N6+N7+N8)*0.141</f>
        <v>0</v>
      </c>
      <c r="O13" s="34"/>
      <c r="P13" s="177">
        <f>(P6+P7+P8)*0.141</f>
        <v>0</v>
      </c>
      <c r="Q13" s="34"/>
      <c r="R13" s="177">
        <f>(R6+R7+R8)*0.141</f>
        <v>0</v>
      </c>
      <c r="S13" s="34"/>
      <c r="T13" s="181">
        <f t="shared" si="0"/>
        <v>63812.299499999994</v>
      </c>
      <c r="U13" s="247"/>
      <c r="V13" s="240"/>
      <c r="W13" s="241"/>
    </row>
    <row r="14" spans="1:23" ht="30.75" thickBot="1" x14ac:dyDescent="0.3">
      <c r="A14" s="215"/>
      <c r="B14" s="71">
        <v>5990</v>
      </c>
      <c r="C14" s="220" t="s">
        <v>156</v>
      </c>
      <c r="D14" s="174">
        <f>D7*0.05</f>
        <v>10815</v>
      </c>
      <c r="E14" s="74"/>
      <c r="F14" s="178">
        <f>F7*0.05</f>
        <v>3246.8175000000001</v>
      </c>
      <c r="G14" s="74"/>
      <c r="H14" s="178">
        <f>H7*0.05</f>
        <v>3246.8175000000001</v>
      </c>
      <c r="I14" s="74"/>
      <c r="J14" s="178">
        <f>J7*0.05</f>
        <v>4329.09</v>
      </c>
      <c r="K14" s="74"/>
      <c r="L14" s="178">
        <f>L7*0.05</f>
        <v>0</v>
      </c>
      <c r="M14" s="74"/>
      <c r="N14" s="178">
        <f>N7*0.05</f>
        <v>0</v>
      </c>
      <c r="O14" s="74"/>
      <c r="P14" s="178">
        <f>(P7+P8+P9)*0.141</f>
        <v>0</v>
      </c>
      <c r="Q14" s="74"/>
      <c r="R14" s="178">
        <f>(R7+R8+R9)*0.141</f>
        <v>0</v>
      </c>
      <c r="S14" s="74"/>
      <c r="T14" s="181">
        <f t="shared" si="0"/>
        <v>21637.724999999999</v>
      </c>
      <c r="U14" s="248"/>
      <c r="V14" s="249"/>
      <c r="W14" s="250"/>
    </row>
    <row r="15" spans="1:23" ht="15.75" thickBot="1" x14ac:dyDescent="0.3">
      <c r="A15" s="161" t="s">
        <v>115</v>
      </c>
      <c r="D15" s="175"/>
      <c r="E15" s="48"/>
      <c r="F15" s="179"/>
      <c r="G15" s="48"/>
      <c r="H15" s="179"/>
      <c r="I15" s="48"/>
      <c r="J15" s="179"/>
      <c r="K15" s="48"/>
      <c r="L15" s="179"/>
      <c r="M15" s="48"/>
      <c r="N15" s="179"/>
      <c r="O15" s="48"/>
      <c r="P15" s="179"/>
      <c r="Q15" s="48"/>
      <c r="R15" s="179"/>
      <c r="S15" s="48"/>
      <c r="T15" s="48"/>
      <c r="U15" s="183"/>
      <c r="V15" s="82"/>
      <c r="W15" s="184"/>
    </row>
    <row r="16" spans="1:23" x14ac:dyDescent="0.25">
      <c r="B16" s="19">
        <v>5000</v>
      </c>
      <c r="C16" s="195" t="s">
        <v>10</v>
      </c>
      <c r="D16" s="172">
        <v>0</v>
      </c>
      <c r="E16" s="76">
        <f>D16/$T$16</f>
        <v>0</v>
      </c>
      <c r="F16" s="176">
        <v>20000</v>
      </c>
      <c r="G16" s="76">
        <f>F16/$T$16</f>
        <v>0.33333333333333331</v>
      </c>
      <c r="H16" s="176">
        <v>5000</v>
      </c>
      <c r="I16" s="76">
        <f>H16/$T$16</f>
        <v>8.3333333333333329E-2</v>
      </c>
      <c r="J16" s="176">
        <v>0</v>
      </c>
      <c r="K16" s="76">
        <f>J16/$T$16</f>
        <v>0</v>
      </c>
      <c r="L16" s="176">
        <v>0</v>
      </c>
      <c r="M16" s="76">
        <f>L16/$T$16</f>
        <v>0</v>
      </c>
      <c r="N16" s="176">
        <v>0</v>
      </c>
      <c r="O16" s="76">
        <f>N16/$T$16</f>
        <v>0</v>
      </c>
      <c r="P16" s="176">
        <v>25000</v>
      </c>
      <c r="Q16" s="76">
        <f>P16/$T$16</f>
        <v>0.41666666666666669</v>
      </c>
      <c r="R16" s="176">
        <v>10000</v>
      </c>
      <c r="S16" s="76">
        <f>R16/$T$16</f>
        <v>0.16666666666666666</v>
      </c>
      <c r="T16" s="181">
        <f t="shared" si="0"/>
        <v>60000</v>
      </c>
      <c r="U16" s="244"/>
      <c r="V16" s="245"/>
      <c r="W16" s="246"/>
    </row>
    <row r="17" spans="1:23" x14ac:dyDescent="0.25">
      <c r="B17" s="19">
        <v>5001</v>
      </c>
      <c r="C17" s="195" t="s">
        <v>11</v>
      </c>
      <c r="D17" s="172"/>
      <c r="E17" s="34"/>
      <c r="F17" s="176"/>
      <c r="G17" s="34"/>
      <c r="H17" s="176"/>
      <c r="I17" s="34"/>
      <c r="J17" s="176"/>
      <c r="K17" s="34"/>
      <c r="L17" s="176"/>
      <c r="M17" s="34"/>
      <c r="N17" s="176"/>
      <c r="O17" s="34"/>
      <c r="P17" s="176"/>
      <c r="Q17" s="34"/>
      <c r="R17" s="176"/>
      <c r="S17" s="34"/>
      <c r="T17" s="181">
        <f t="shared" si="0"/>
        <v>0</v>
      </c>
      <c r="U17" s="247"/>
      <c r="V17" s="240"/>
      <c r="W17" s="241"/>
    </row>
    <row r="18" spans="1:23" ht="30" x14ac:dyDescent="0.25">
      <c r="B18" s="19">
        <v>5004</v>
      </c>
      <c r="C18" s="195" t="s">
        <v>12</v>
      </c>
      <c r="D18" s="172"/>
      <c r="E18" s="34"/>
      <c r="F18" s="176"/>
      <c r="G18" s="34"/>
      <c r="H18" s="176"/>
      <c r="I18" s="34"/>
      <c r="J18" s="176"/>
      <c r="K18" s="34"/>
      <c r="L18" s="176"/>
      <c r="M18" s="34"/>
      <c r="N18" s="176"/>
      <c r="O18" s="34"/>
      <c r="P18" s="176"/>
      <c r="Q18" s="34"/>
      <c r="R18" s="176"/>
      <c r="S18" s="34"/>
      <c r="T18" s="181">
        <f t="shared" si="0"/>
        <v>0</v>
      </c>
      <c r="U18" s="247"/>
      <c r="V18" s="240"/>
      <c r="W18" s="241"/>
    </row>
    <row r="19" spans="1:23" x14ac:dyDescent="0.25">
      <c r="B19" s="67">
        <v>5180</v>
      </c>
      <c r="C19" s="217" t="s">
        <v>13</v>
      </c>
      <c r="D19" s="173">
        <f>(D17+D16)*0.12</f>
        <v>0</v>
      </c>
      <c r="E19" s="34"/>
      <c r="F19" s="177">
        <f>(F17+F16)*0.12</f>
        <v>2400</v>
      </c>
      <c r="G19" s="34"/>
      <c r="H19" s="177">
        <f>(H17+H16)*0.12</f>
        <v>600</v>
      </c>
      <c r="I19" s="34"/>
      <c r="J19" s="177">
        <f>(J17+J16)*0.12</f>
        <v>0</v>
      </c>
      <c r="K19" s="34"/>
      <c r="L19" s="177">
        <f>(L17+L16)*0.12</f>
        <v>0</v>
      </c>
      <c r="M19" s="34"/>
      <c r="N19" s="177">
        <f>(N17+N16)*0.12</f>
        <v>0</v>
      </c>
      <c r="O19" s="34"/>
      <c r="P19" s="177">
        <f>(P17+P16)*0.12</f>
        <v>3000</v>
      </c>
      <c r="Q19" s="34"/>
      <c r="R19" s="177">
        <f>(R17+R16)*0.12</f>
        <v>1200</v>
      </c>
      <c r="S19" s="34"/>
      <c r="T19" s="181">
        <f t="shared" si="0"/>
        <v>7200</v>
      </c>
      <c r="U19" s="247"/>
      <c r="V19" s="240"/>
      <c r="W19" s="241"/>
    </row>
    <row r="20" spans="1:23" ht="30" x14ac:dyDescent="0.25">
      <c r="B20" s="67">
        <v>5182</v>
      </c>
      <c r="C20" s="217" t="s">
        <v>14</v>
      </c>
      <c r="D20" s="173">
        <f>D19*0.141</f>
        <v>0</v>
      </c>
      <c r="E20" s="34"/>
      <c r="F20" s="177">
        <f>F19*0.141</f>
        <v>338.4</v>
      </c>
      <c r="G20" s="34"/>
      <c r="H20" s="177">
        <f>H19*0.141</f>
        <v>84.6</v>
      </c>
      <c r="I20" s="34"/>
      <c r="J20" s="177">
        <f>J19*0.141</f>
        <v>0</v>
      </c>
      <c r="K20" s="34"/>
      <c r="L20" s="177">
        <f>L19*0.141</f>
        <v>0</v>
      </c>
      <c r="M20" s="34"/>
      <c r="N20" s="177">
        <f>N19*0.141</f>
        <v>0</v>
      </c>
      <c r="O20" s="34"/>
      <c r="P20" s="177">
        <f>P19*0.141</f>
        <v>422.99999999999994</v>
      </c>
      <c r="Q20" s="34"/>
      <c r="R20" s="177">
        <f>R19*0.141</f>
        <v>169.2</v>
      </c>
      <c r="S20" s="34"/>
      <c r="T20" s="181">
        <f t="shared" si="0"/>
        <v>1015.1999999999999</v>
      </c>
      <c r="U20" s="247"/>
      <c r="V20" s="240"/>
      <c r="W20" s="241"/>
    </row>
    <row r="21" spans="1:23" ht="15.75" thickBot="1" x14ac:dyDescent="0.3">
      <c r="A21" s="215"/>
      <c r="B21" s="71">
        <v>5400</v>
      </c>
      <c r="C21" s="220" t="s">
        <v>48</v>
      </c>
      <c r="D21" s="174">
        <f>(D16+D17+D18)*0.141</f>
        <v>0</v>
      </c>
      <c r="E21" s="74"/>
      <c r="F21" s="178">
        <f>(F16+F17+F18)*0.141</f>
        <v>2819.9999999999995</v>
      </c>
      <c r="G21" s="74"/>
      <c r="H21" s="178">
        <f>(H16+H17+H18)*0.141</f>
        <v>704.99999999999989</v>
      </c>
      <c r="I21" s="74"/>
      <c r="J21" s="178">
        <f>(J16+J17+J18)*0.141</f>
        <v>0</v>
      </c>
      <c r="K21" s="74"/>
      <c r="L21" s="178">
        <f>(L16+L17+L18)*0.141</f>
        <v>0</v>
      </c>
      <c r="M21" s="74"/>
      <c r="N21" s="178">
        <f>(N16+N17+N18)*0.141</f>
        <v>0</v>
      </c>
      <c r="O21" s="74"/>
      <c r="P21" s="178">
        <f>(P16+P17+P18)*0.141</f>
        <v>3524.9999999999995</v>
      </c>
      <c r="Q21" s="74"/>
      <c r="R21" s="178">
        <f>(R16+R17+R18)*0.141</f>
        <v>1409.9999999999998</v>
      </c>
      <c r="S21" s="74"/>
      <c r="T21" s="181">
        <f t="shared" si="0"/>
        <v>8459.9999999999982</v>
      </c>
      <c r="U21" s="248"/>
      <c r="V21" s="249"/>
      <c r="W21" s="250"/>
    </row>
    <row r="22" spans="1:23" ht="30.75" thickBot="1" x14ac:dyDescent="0.3">
      <c r="A22" s="161" t="s">
        <v>116</v>
      </c>
      <c r="D22" s="175"/>
      <c r="E22" s="48"/>
      <c r="F22" s="179"/>
      <c r="G22" s="48"/>
      <c r="H22" s="179"/>
      <c r="I22" s="48"/>
      <c r="J22" s="179"/>
      <c r="K22" s="48"/>
      <c r="L22" s="179"/>
      <c r="M22" s="48"/>
      <c r="N22" s="179"/>
      <c r="O22" s="48"/>
      <c r="P22" s="179"/>
      <c r="Q22" s="48"/>
      <c r="R22" s="179"/>
      <c r="S22" s="48"/>
      <c r="T22" s="48"/>
    </row>
    <row r="23" spans="1:23" x14ac:dyDescent="0.25">
      <c r="B23" s="19">
        <v>5000</v>
      </c>
      <c r="C23" s="195" t="s">
        <v>10</v>
      </c>
      <c r="D23" s="172">
        <v>0</v>
      </c>
      <c r="E23" s="76">
        <f>D23/$T$23</f>
        <v>0</v>
      </c>
      <c r="F23" s="176">
        <v>10500</v>
      </c>
      <c r="G23" s="76">
        <f>F23/$T$23</f>
        <v>0.2441860465116279</v>
      </c>
      <c r="H23" s="176">
        <v>3500</v>
      </c>
      <c r="I23" s="76">
        <f>H23/$T$23</f>
        <v>8.1395348837209308E-2</v>
      </c>
      <c r="J23" s="176">
        <v>0</v>
      </c>
      <c r="K23" s="76">
        <f>J23/$T$23</f>
        <v>0</v>
      </c>
      <c r="L23" s="176">
        <v>0</v>
      </c>
      <c r="M23" s="76">
        <f>L23/$T$23</f>
        <v>0</v>
      </c>
      <c r="N23" s="176">
        <v>0</v>
      </c>
      <c r="O23" s="76">
        <f>N23/$T$23</f>
        <v>0</v>
      </c>
      <c r="P23" s="176">
        <v>7000</v>
      </c>
      <c r="Q23" s="76">
        <f>P23/$T$23</f>
        <v>0.16279069767441862</v>
      </c>
      <c r="R23" s="176">
        <v>22000</v>
      </c>
      <c r="S23" s="76">
        <f>R23/$T$23</f>
        <v>0.51162790697674421</v>
      </c>
      <c r="T23" s="181">
        <f t="shared" si="0"/>
        <v>43000</v>
      </c>
      <c r="U23" s="244"/>
      <c r="V23" s="245"/>
      <c r="W23" s="246"/>
    </row>
    <row r="24" spans="1:23" x14ac:dyDescent="0.25">
      <c r="B24" s="19">
        <v>5001</v>
      </c>
      <c r="C24" s="195" t="s">
        <v>11</v>
      </c>
      <c r="D24" s="172"/>
      <c r="E24" s="34"/>
      <c r="F24" s="176"/>
      <c r="G24" s="34"/>
      <c r="H24" s="176"/>
      <c r="I24" s="34"/>
      <c r="J24" s="176"/>
      <c r="K24" s="34"/>
      <c r="L24" s="176"/>
      <c r="M24" s="34"/>
      <c r="N24" s="176"/>
      <c r="O24" s="34"/>
      <c r="P24" s="176"/>
      <c r="Q24" s="34"/>
      <c r="R24" s="176"/>
      <c r="S24" s="34"/>
      <c r="T24" s="181">
        <f t="shared" si="0"/>
        <v>0</v>
      </c>
      <c r="U24" s="247"/>
      <c r="V24" s="240"/>
      <c r="W24" s="241"/>
    </row>
    <row r="25" spans="1:23" ht="30" x14ac:dyDescent="0.25">
      <c r="B25" s="19">
        <v>5004</v>
      </c>
      <c r="C25" s="195" t="s">
        <v>12</v>
      </c>
      <c r="D25" s="172"/>
      <c r="E25" s="34"/>
      <c r="F25" s="176"/>
      <c r="G25" s="34"/>
      <c r="H25" s="176"/>
      <c r="I25" s="34"/>
      <c r="J25" s="176"/>
      <c r="K25" s="34"/>
      <c r="L25" s="176"/>
      <c r="M25" s="34"/>
      <c r="N25" s="176"/>
      <c r="O25" s="34"/>
      <c r="P25" s="176"/>
      <c r="Q25" s="34"/>
      <c r="R25" s="176"/>
      <c r="S25" s="34"/>
      <c r="T25" s="181">
        <f t="shared" si="0"/>
        <v>0</v>
      </c>
      <c r="U25" s="247"/>
      <c r="V25" s="240"/>
      <c r="W25" s="241"/>
    </row>
    <row r="26" spans="1:23" x14ac:dyDescent="0.25">
      <c r="B26" s="67">
        <v>5180</v>
      </c>
      <c r="C26" s="217" t="s">
        <v>13</v>
      </c>
      <c r="D26" s="173">
        <f>(D24+D23)*0.12</f>
        <v>0</v>
      </c>
      <c r="E26" s="34"/>
      <c r="F26" s="177">
        <f>(F24+F23)*0.12</f>
        <v>1260</v>
      </c>
      <c r="G26" s="34"/>
      <c r="H26" s="177">
        <f>(H24+H23)*0.12</f>
        <v>420</v>
      </c>
      <c r="I26" s="34"/>
      <c r="J26" s="177">
        <f>(J24+J23)*0.12</f>
        <v>0</v>
      </c>
      <c r="K26" s="34"/>
      <c r="L26" s="177">
        <f>(L24+L23)*0.12</f>
        <v>0</v>
      </c>
      <c r="M26" s="34"/>
      <c r="N26" s="177">
        <f>(N24+N23)*0.12</f>
        <v>0</v>
      </c>
      <c r="O26" s="34"/>
      <c r="P26" s="177">
        <f>(P24+P23)*0.12</f>
        <v>840</v>
      </c>
      <c r="Q26" s="34"/>
      <c r="R26" s="177">
        <f>(R24+R23)*0.12</f>
        <v>2640</v>
      </c>
      <c r="S26" s="34"/>
      <c r="T26" s="181">
        <f t="shared" si="0"/>
        <v>5160</v>
      </c>
      <c r="U26" s="247"/>
      <c r="V26" s="240"/>
      <c r="W26" s="241"/>
    </row>
    <row r="27" spans="1:23" ht="30" x14ac:dyDescent="0.25">
      <c r="B27" s="67">
        <v>5182</v>
      </c>
      <c r="C27" s="217" t="s">
        <v>14</v>
      </c>
      <c r="D27" s="173">
        <f>D26*0.141</f>
        <v>0</v>
      </c>
      <c r="E27" s="34"/>
      <c r="F27" s="177">
        <f>F26*0.141</f>
        <v>177.66</v>
      </c>
      <c r="G27" s="34"/>
      <c r="H27" s="177">
        <f>H26*0.141</f>
        <v>59.219999999999992</v>
      </c>
      <c r="I27" s="34"/>
      <c r="J27" s="177">
        <f>J26*0.141</f>
        <v>0</v>
      </c>
      <c r="K27" s="34"/>
      <c r="L27" s="177">
        <f>L26*0.141</f>
        <v>0</v>
      </c>
      <c r="M27" s="34"/>
      <c r="N27" s="177">
        <f>N26*0.141</f>
        <v>0</v>
      </c>
      <c r="O27" s="34"/>
      <c r="P27" s="177">
        <f>P26*0.141</f>
        <v>118.43999999999998</v>
      </c>
      <c r="Q27" s="34"/>
      <c r="R27" s="177">
        <f>R26*0.141</f>
        <v>372.23999999999995</v>
      </c>
      <c r="S27" s="34"/>
      <c r="T27" s="181">
        <f t="shared" si="0"/>
        <v>727.56</v>
      </c>
      <c r="U27" s="247"/>
      <c r="V27" s="240"/>
      <c r="W27" s="241"/>
    </row>
    <row r="28" spans="1:23" ht="15.75" thickBot="1" x14ac:dyDescent="0.3">
      <c r="A28" s="215"/>
      <c r="B28" s="71">
        <v>5400</v>
      </c>
      <c r="C28" s="220" t="s">
        <v>48</v>
      </c>
      <c r="D28" s="174">
        <f>(D23+D24+D25)*0.141</f>
        <v>0</v>
      </c>
      <c r="E28" s="74"/>
      <c r="F28" s="178">
        <f>(F23+F24+F25)*0.141</f>
        <v>1480.4999999999998</v>
      </c>
      <c r="G28" s="74"/>
      <c r="H28" s="178">
        <f>(H23+H24+H25)*0.141</f>
        <v>493.49999999999994</v>
      </c>
      <c r="I28" s="74"/>
      <c r="J28" s="178">
        <f>(J23+J24+J25)*0.141</f>
        <v>0</v>
      </c>
      <c r="K28" s="74"/>
      <c r="L28" s="178">
        <f>(L23+L24+L25)*0.141</f>
        <v>0</v>
      </c>
      <c r="M28" s="74"/>
      <c r="N28" s="178">
        <f>(N23+N24+N25)*0.141</f>
        <v>0</v>
      </c>
      <c r="O28" s="74"/>
      <c r="P28" s="178">
        <f>(P23+P24+P25)*0.141</f>
        <v>986.99999999999989</v>
      </c>
      <c r="Q28" s="74"/>
      <c r="R28" s="178">
        <f>(R23+R24+R25)*0.141</f>
        <v>3101.9999999999995</v>
      </c>
      <c r="S28" s="74"/>
      <c r="T28" s="181">
        <f t="shared" si="0"/>
        <v>6062.9999999999991</v>
      </c>
      <c r="U28" s="248"/>
      <c r="V28" s="249"/>
      <c r="W28" s="250"/>
    </row>
    <row r="29" spans="1:23" ht="15.75" thickBot="1" x14ac:dyDescent="0.3">
      <c r="A29" s="161" t="s">
        <v>117</v>
      </c>
      <c r="D29" s="175"/>
      <c r="E29" s="48"/>
      <c r="F29" s="179"/>
      <c r="G29" s="48"/>
      <c r="H29" s="179"/>
      <c r="I29" s="48"/>
      <c r="J29" s="179"/>
      <c r="K29" s="48"/>
      <c r="L29" s="179"/>
      <c r="M29" s="48"/>
      <c r="N29" s="179"/>
      <c r="O29" s="48"/>
      <c r="P29" s="179"/>
      <c r="Q29" s="48"/>
      <c r="R29" s="179"/>
      <c r="S29" s="48"/>
      <c r="T29" s="48"/>
    </row>
    <row r="30" spans="1:23" x14ac:dyDescent="0.25">
      <c r="B30" s="19">
        <v>5000</v>
      </c>
      <c r="C30" s="195" t="s">
        <v>10</v>
      </c>
      <c r="D30" s="172">
        <v>0</v>
      </c>
      <c r="E30" s="76">
        <f>D30/$T$30</f>
        <v>0</v>
      </c>
      <c r="F30" s="176">
        <v>0</v>
      </c>
      <c r="G30" s="76">
        <f>F30/$T$30</f>
        <v>0</v>
      </c>
      <c r="H30" s="176">
        <v>0</v>
      </c>
      <c r="I30" s="76">
        <f>H30/$T$30</f>
        <v>0</v>
      </c>
      <c r="J30" s="176">
        <v>0</v>
      </c>
      <c r="K30" s="76">
        <f>J30/$T$30</f>
        <v>0</v>
      </c>
      <c r="L30" s="176">
        <v>0</v>
      </c>
      <c r="M30" s="76">
        <f>L30/$T$30</f>
        <v>0</v>
      </c>
      <c r="N30" s="176">
        <v>0</v>
      </c>
      <c r="O30" s="76">
        <f>N30/$T$30</f>
        <v>0</v>
      </c>
      <c r="P30" s="176">
        <v>56000</v>
      </c>
      <c r="Q30" s="76">
        <f>P30/$T$30</f>
        <v>1</v>
      </c>
      <c r="R30" s="176">
        <v>0</v>
      </c>
      <c r="S30" s="76">
        <f>R30/$T$30</f>
        <v>0</v>
      </c>
      <c r="T30" s="181">
        <f t="shared" si="0"/>
        <v>56000</v>
      </c>
      <c r="U30" s="244"/>
      <c r="V30" s="245"/>
      <c r="W30" s="246"/>
    </row>
    <row r="31" spans="1:23" x14ac:dyDescent="0.25">
      <c r="B31" s="19">
        <v>5001</v>
      </c>
      <c r="C31" s="195" t="s">
        <v>11</v>
      </c>
      <c r="D31" s="172"/>
      <c r="E31" s="34"/>
      <c r="F31" s="176"/>
      <c r="G31" s="34"/>
      <c r="H31" s="176"/>
      <c r="I31" s="34"/>
      <c r="J31" s="176"/>
      <c r="K31" s="34"/>
      <c r="L31" s="176"/>
      <c r="M31" s="34"/>
      <c r="N31" s="176"/>
      <c r="O31" s="34"/>
      <c r="P31" s="176"/>
      <c r="Q31" s="34"/>
      <c r="R31" s="176"/>
      <c r="S31" s="34"/>
      <c r="T31" s="181">
        <f t="shared" si="0"/>
        <v>0</v>
      </c>
      <c r="U31" s="247"/>
      <c r="V31" s="240"/>
      <c r="W31" s="241"/>
    </row>
    <row r="32" spans="1:23" ht="30" x14ac:dyDescent="0.25">
      <c r="B32" s="19">
        <v>5004</v>
      </c>
      <c r="C32" s="195" t="s">
        <v>12</v>
      </c>
      <c r="D32" s="172"/>
      <c r="E32" s="34"/>
      <c r="F32" s="176"/>
      <c r="G32" s="34"/>
      <c r="H32" s="176"/>
      <c r="I32" s="34"/>
      <c r="J32" s="176"/>
      <c r="K32" s="34"/>
      <c r="L32" s="176"/>
      <c r="M32" s="34"/>
      <c r="N32" s="176"/>
      <c r="O32" s="34"/>
      <c r="P32" s="176"/>
      <c r="Q32" s="34"/>
      <c r="R32" s="176"/>
      <c r="S32" s="34"/>
      <c r="T32" s="181">
        <f t="shared" si="0"/>
        <v>0</v>
      </c>
      <c r="U32" s="247"/>
      <c r="V32" s="240"/>
      <c r="W32" s="241"/>
    </row>
    <row r="33" spans="1:23" x14ac:dyDescent="0.25">
      <c r="B33" s="67">
        <v>5180</v>
      </c>
      <c r="C33" s="217" t="s">
        <v>13</v>
      </c>
      <c r="D33" s="173">
        <f>(D31+D30)*0.12</f>
        <v>0</v>
      </c>
      <c r="E33" s="34"/>
      <c r="F33" s="177">
        <f>(F31+F30)*0.12</f>
        <v>0</v>
      </c>
      <c r="G33" s="34"/>
      <c r="H33" s="177">
        <f>(H31+H30)*0.12</f>
        <v>0</v>
      </c>
      <c r="I33" s="34"/>
      <c r="J33" s="177">
        <f>(J31+J30)*0.12</f>
        <v>0</v>
      </c>
      <c r="K33" s="34"/>
      <c r="L33" s="177">
        <f>(L31+L30)*0.12</f>
        <v>0</v>
      </c>
      <c r="M33" s="34"/>
      <c r="N33" s="177">
        <f>(N31+N30)*0.12</f>
        <v>0</v>
      </c>
      <c r="O33" s="34"/>
      <c r="P33" s="177">
        <f>(P31+P30)*0.12</f>
        <v>6720</v>
      </c>
      <c r="Q33" s="34"/>
      <c r="R33" s="177">
        <f>(R31+R30)*0.12</f>
        <v>0</v>
      </c>
      <c r="S33" s="34"/>
      <c r="T33" s="181">
        <f t="shared" si="0"/>
        <v>6720</v>
      </c>
      <c r="U33" s="247"/>
      <c r="V33" s="240"/>
      <c r="W33" s="241"/>
    </row>
    <row r="34" spans="1:23" ht="30" x14ac:dyDescent="0.25">
      <c r="B34" s="67">
        <v>5182</v>
      </c>
      <c r="C34" s="217" t="s">
        <v>14</v>
      </c>
      <c r="D34" s="173">
        <f>D33*0.141</f>
        <v>0</v>
      </c>
      <c r="E34" s="34"/>
      <c r="F34" s="177">
        <f>F33*0.141</f>
        <v>0</v>
      </c>
      <c r="G34" s="34"/>
      <c r="H34" s="177">
        <f>H33*0.141</f>
        <v>0</v>
      </c>
      <c r="I34" s="34"/>
      <c r="J34" s="177">
        <f>J33*0.141</f>
        <v>0</v>
      </c>
      <c r="K34" s="34"/>
      <c r="L34" s="177">
        <f>L33*0.141</f>
        <v>0</v>
      </c>
      <c r="M34" s="34"/>
      <c r="N34" s="177">
        <f>N33*0.141</f>
        <v>0</v>
      </c>
      <c r="O34" s="34"/>
      <c r="P34" s="177">
        <f>P33*0.141</f>
        <v>947.51999999999987</v>
      </c>
      <c r="Q34" s="34"/>
      <c r="R34" s="177">
        <f>R33*0.141</f>
        <v>0</v>
      </c>
      <c r="S34" s="34"/>
      <c r="T34" s="181">
        <f t="shared" si="0"/>
        <v>947.51999999999987</v>
      </c>
      <c r="U34" s="247"/>
      <c r="V34" s="240"/>
      <c r="W34" s="241"/>
    </row>
    <row r="35" spans="1:23" ht="15.75" thickBot="1" x14ac:dyDescent="0.3">
      <c r="A35" s="215"/>
      <c r="B35" s="71">
        <v>5400</v>
      </c>
      <c r="C35" s="220" t="s">
        <v>48</v>
      </c>
      <c r="D35" s="174">
        <f>(D30+D31+D32)*0.141</f>
        <v>0</v>
      </c>
      <c r="E35" s="74"/>
      <c r="F35" s="178">
        <f>(F30+F31+F32)*0.141</f>
        <v>0</v>
      </c>
      <c r="G35" s="74"/>
      <c r="H35" s="178">
        <f>(H30+H31+H32)*0.141</f>
        <v>0</v>
      </c>
      <c r="I35" s="74"/>
      <c r="J35" s="178">
        <f>(J30+J31+J32)*0.141</f>
        <v>0</v>
      </c>
      <c r="K35" s="74"/>
      <c r="L35" s="178">
        <f>(L30+L31+L32)*0.141</f>
        <v>0</v>
      </c>
      <c r="M35" s="74"/>
      <c r="N35" s="178">
        <f>(N30+N31+N32)*0.141</f>
        <v>0</v>
      </c>
      <c r="O35" s="74"/>
      <c r="P35" s="178">
        <f>(P30+P31+P32)*0.141</f>
        <v>7895.9999999999991</v>
      </c>
      <c r="Q35" s="74"/>
      <c r="R35" s="178">
        <f>(R30+R31+R32)*0.141</f>
        <v>0</v>
      </c>
      <c r="S35" s="74"/>
      <c r="T35" s="181">
        <f t="shared" si="0"/>
        <v>7895.9999999999991</v>
      </c>
      <c r="U35" s="248"/>
      <c r="V35" s="249"/>
      <c r="W35" s="250"/>
    </row>
    <row r="36" spans="1:23" ht="15.75" thickBot="1" x14ac:dyDescent="0.3">
      <c r="A36" s="161" t="s">
        <v>118</v>
      </c>
      <c r="D36" s="175"/>
      <c r="E36" s="48"/>
      <c r="F36" s="179"/>
      <c r="G36" s="48"/>
      <c r="H36" s="179"/>
      <c r="I36" s="48"/>
      <c r="J36" s="179"/>
      <c r="K36" s="48"/>
      <c r="L36" s="179"/>
      <c r="M36" s="48"/>
      <c r="N36" s="179"/>
      <c r="O36" s="48"/>
      <c r="P36" s="179"/>
      <c r="Q36" s="48"/>
      <c r="R36" s="179"/>
      <c r="S36" s="48"/>
      <c r="T36" s="48"/>
    </row>
    <row r="37" spans="1:23" x14ac:dyDescent="0.25">
      <c r="A37" s="161" t="s">
        <v>306</v>
      </c>
      <c r="B37" s="19">
        <v>5000</v>
      </c>
      <c r="C37" s="195" t="s">
        <v>10</v>
      </c>
      <c r="D37" s="172">
        <v>0</v>
      </c>
      <c r="E37" s="76">
        <f>D37/$T$37</f>
        <v>0</v>
      </c>
      <c r="F37" s="176">
        <v>0</v>
      </c>
      <c r="G37" s="76">
        <f>F37/$T$37</f>
        <v>0</v>
      </c>
      <c r="H37" s="176">
        <v>0</v>
      </c>
      <c r="I37" s="76">
        <f>H37/$T$37</f>
        <v>0</v>
      </c>
      <c r="J37" s="176">
        <v>0</v>
      </c>
      <c r="K37" s="76">
        <f>J37/$T$37</f>
        <v>0</v>
      </c>
      <c r="L37" s="176">
        <v>6250</v>
      </c>
      <c r="M37" s="76">
        <f>L37/$T$37</f>
        <v>0.49019607843137253</v>
      </c>
      <c r="N37" s="176">
        <v>6500</v>
      </c>
      <c r="O37" s="76">
        <f>N37/$T$37</f>
        <v>0.50980392156862742</v>
      </c>
      <c r="P37" s="176">
        <v>0</v>
      </c>
      <c r="Q37" s="76">
        <f>P37/$T$37</f>
        <v>0</v>
      </c>
      <c r="R37" s="176">
        <v>0</v>
      </c>
      <c r="S37" s="76">
        <f>R37/$T$37</f>
        <v>0</v>
      </c>
      <c r="T37" s="181">
        <f t="shared" si="0"/>
        <v>12750</v>
      </c>
      <c r="U37" s="251" t="s">
        <v>309</v>
      </c>
      <c r="V37" s="252"/>
      <c r="W37" s="253"/>
    </row>
    <row r="38" spans="1:23" x14ac:dyDescent="0.25">
      <c r="B38" s="19">
        <v>5001</v>
      </c>
      <c r="C38" s="195" t="s">
        <v>11</v>
      </c>
      <c r="D38" s="172"/>
      <c r="E38" s="34"/>
      <c r="F38" s="176"/>
      <c r="G38" s="34"/>
      <c r="H38" s="176"/>
      <c r="I38" s="34"/>
      <c r="J38" s="176"/>
      <c r="K38" s="34"/>
      <c r="L38" s="176"/>
      <c r="M38" s="34"/>
      <c r="N38" s="176"/>
      <c r="O38" s="34"/>
      <c r="P38" s="176"/>
      <c r="Q38" s="34"/>
      <c r="R38" s="176"/>
      <c r="S38" s="34"/>
      <c r="T38" s="181">
        <f t="shared" si="0"/>
        <v>0</v>
      </c>
      <c r="U38" s="254"/>
      <c r="V38" s="255"/>
      <c r="W38" s="256"/>
    </row>
    <row r="39" spans="1:23" ht="30" x14ac:dyDescent="0.25">
      <c r="B39" s="19">
        <v>5004</v>
      </c>
      <c r="C39" s="195" t="s">
        <v>12</v>
      </c>
      <c r="D39" s="172"/>
      <c r="E39" s="34"/>
      <c r="F39" s="176"/>
      <c r="G39" s="34"/>
      <c r="H39" s="176"/>
      <c r="I39" s="34"/>
      <c r="J39" s="176"/>
      <c r="K39" s="34"/>
      <c r="L39" s="176"/>
      <c r="M39" s="34"/>
      <c r="N39" s="176"/>
      <c r="O39" s="34"/>
      <c r="P39" s="176"/>
      <c r="Q39" s="34"/>
      <c r="R39" s="176"/>
      <c r="S39" s="34"/>
      <c r="T39" s="181">
        <f t="shared" si="0"/>
        <v>0</v>
      </c>
      <c r="U39" s="254"/>
      <c r="V39" s="255"/>
      <c r="W39" s="256"/>
    </row>
    <row r="40" spans="1:23" x14ac:dyDescent="0.25">
      <c r="B40" s="67">
        <v>5180</v>
      </c>
      <c r="C40" s="217" t="s">
        <v>13</v>
      </c>
      <c r="D40" s="173">
        <f>(D38+D37)*0.12</f>
        <v>0</v>
      </c>
      <c r="E40" s="34"/>
      <c r="F40" s="177">
        <f>(F38+F37)*0.12</f>
        <v>0</v>
      </c>
      <c r="G40" s="34"/>
      <c r="H40" s="177">
        <f>(H38+H37)*0.12</f>
        <v>0</v>
      </c>
      <c r="I40" s="34"/>
      <c r="J40" s="177">
        <f>(J38+J37)*0.12</f>
        <v>0</v>
      </c>
      <c r="K40" s="34"/>
      <c r="L40" s="177">
        <f>(L38+L37)*0.12</f>
        <v>750</v>
      </c>
      <c r="M40" s="34"/>
      <c r="N40" s="177">
        <f>(N38+N37)*0.12</f>
        <v>780</v>
      </c>
      <c r="O40" s="34"/>
      <c r="P40" s="177">
        <f>(P38+P37)*0.12</f>
        <v>0</v>
      </c>
      <c r="Q40" s="34"/>
      <c r="R40" s="177">
        <f>(R38+R37)*0.12</f>
        <v>0</v>
      </c>
      <c r="S40" s="34"/>
      <c r="T40" s="181">
        <f t="shared" si="0"/>
        <v>1530</v>
      </c>
      <c r="U40" s="254"/>
      <c r="V40" s="255"/>
      <c r="W40" s="256"/>
    </row>
    <row r="41" spans="1:23" ht="30" x14ac:dyDescent="0.25">
      <c r="B41" s="67">
        <v>5182</v>
      </c>
      <c r="C41" s="217" t="s">
        <v>14</v>
      </c>
      <c r="D41" s="173">
        <f>D40*0.141</f>
        <v>0</v>
      </c>
      <c r="E41" s="34"/>
      <c r="F41" s="177">
        <f>F40*0.141</f>
        <v>0</v>
      </c>
      <c r="G41" s="34"/>
      <c r="H41" s="177">
        <f>H40*0.141</f>
        <v>0</v>
      </c>
      <c r="I41" s="34"/>
      <c r="J41" s="177">
        <f>J40*0.141</f>
        <v>0</v>
      </c>
      <c r="K41" s="34"/>
      <c r="L41" s="177">
        <f>L40*0.141</f>
        <v>105.74999999999999</v>
      </c>
      <c r="M41" s="34"/>
      <c r="N41" s="177">
        <f>N40*0.141</f>
        <v>109.97999999999999</v>
      </c>
      <c r="O41" s="34"/>
      <c r="P41" s="177">
        <f>P40*0.141</f>
        <v>0</v>
      </c>
      <c r="Q41" s="34"/>
      <c r="R41" s="177">
        <f>R40*0.141</f>
        <v>0</v>
      </c>
      <c r="S41" s="34"/>
      <c r="T41" s="181">
        <f t="shared" si="0"/>
        <v>215.72999999999996</v>
      </c>
      <c r="U41" s="254"/>
      <c r="V41" s="255"/>
      <c r="W41" s="256"/>
    </row>
    <row r="42" spans="1:23" ht="15.75" thickBot="1" x14ac:dyDescent="0.3">
      <c r="A42" s="215"/>
      <c r="B42" s="71">
        <v>5400</v>
      </c>
      <c r="C42" s="221" t="s">
        <v>48</v>
      </c>
      <c r="D42" s="174">
        <f>(D37+D38+D39)*0.141</f>
        <v>0</v>
      </c>
      <c r="E42" s="74"/>
      <c r="F42" s="178">
        <f>(F37+F38+F39)*0.141</f>
        <v>0</v>
      </c>
      <c r="G42" s="74"/>
      <c r="H42" s="178">
        <f>(H37+H38+H39)*0.141</f>
        <v>0</v>
      </c>
      <c r="I42" s="74"/>
      <c r="J42" s="178">
        <f>(J37+J38+J39)*0.141</f>
        <v>0</v>
      </c>
      <c r="K42" s="74"/>
      <c r="L42" s="178">
        <f>(L37+L38+L39)*0.141</f>
        <v>881.24999999999989</v>
      </c>
      <c r="M42" s="74"/>
      <c r="N42" s="178">
        <f>(N37+N38+N39)*0.141</f>
        <v>916.49999999999989</v>
      </c>
      <c r="O42" s="74"/>
      <c r="P42" s="178">
        <f>(P37+P38+P39)*0.141</f>
        <v>0</v>
      </c>
      <c r="Q42" s="74"/>
      <c r="R42" s="180">
        <f>(R37+R38+R39)*0.141</f>
        <v>0</v>
      </c>
      <c r="S42" s="78"/>
      <c r="T42" s="181">
        <f t="shared" si="0"/>
        <v>1797.7499999999998</v>
      </c>
      <c r="U42" s="257"/>
      <c r="V42" s="258"/>
      <c r="W42" s="259"/>
    </row>
    <row r="43" spans="1:23" ht="15.75" thickBot="1" x14ac:dyDescent="0.3">
      <c r="A43" s="161" t="s">
        <v>118</v>
      </c>
      <c r="D43" s="175"/>
      <c r="E43" s="48"/>
      <c r="F43" s="179"/>
      <c r="G43" s="48"/>
      <c r="H43" s="179"/>
      <c r="I43" s="48"/>
      <c r="J43" s="179"/>
      <c r="K43" s="48"/>
      <c r="L43" s="179"/>
      <c r="M43" s="48"/>
      <c r="N43" s="179"/>
      <c r="O43" s="48"/>
      <c r="P43" s="179"/>
      <c r="Q43" s="48"/>
      <c r="R43" s="179"/>
      <c r="S43" s="48"/>
      <c r="T43" s="48"/>
    </row>
    <row r="44" spans="1:23" ht="30" x14ac:dyDescent="0.25">
      <c r="A44" s="161" t="s">
        <v>307</v>
      </c>
      <c r="B44" s="19">
        <v>5000</v>
      </c>
      <c r="C44" s="195" t="s">
        <v>10</v>
      </c>
      <c r="D44" s="172">
        <v>0</v>
      </c>
      <c r="E44" s="76">
        <f>D44/$T$37</f>
        <v>0</v>
      </c>
      <c r="F44" s="176">
        <v>0</v>
      </c>
      <c r="G44" s="76">
        <f>F44/$T$37</f>
        <v>0</v>
      </c>
      <c r="H44" s="176">
        <v>0</v>
      </c>
      <c r="I44" s="76">
        <f>H44/$T$37</f>
        <v>0</v>
      </c>
      <c r="J44" s="176">
        <v>6000</v>
      </c>
      <c r="K44" s="76">
        <f>J44/$T$37</f>
        <v>0.47058823529411764</v>
      </c>
      <c r="L44" s="176">
        <v>0</v>
      </c>
      <c r="M44" s="76">
        <f>L44/$T$37</f>
        <v>0</v>
      </c>
      <c r="N44" s="176">
        <v>0</v>
      </c>
      <c r="O44" s="76">
        <f>N44/$T$37</f>
        <v>0</v>
      </c>
      <c r="P44" s="176">
        <v>0</v>
      </c>
      <c r="Q44" s="76">
        <f>P44/$T$37</f>
        <v>0</v>
      </c>
      <c r="R44" s="176">
        <v>0</v>
      </c>
      <c r="S44" s="76">
        <f>R44/$T$37</f>
        <v>0</v>
      </c>
      <c r="T44" s="181">
        <f t="shared" si="0"/>
        <v>6000</v>
      </c>
      <c r="U44" s="251" t="s">
        <v>310</v>
      </c>
      <c r="V44" s="252"/>
      <c r="W44" s="253"/>
    </row>
    <row r="45" spans="1:23" x14ac:dyDescent="0.25">
      <c r="B45" s="19">
        <v>5001</v>
      </c>
      <c r="C45" s="195" t="s">
        <v>11</v>
      </c>
      <c r="D45" s="172"/>
      <c r="E45" s="34"/>
      <c r="F45" s="176"/>
      <c r="G45" s="34"/>
      <c r="H45" s="176"/>
      <c r="I45" s="34"/>
      <c r="J45" s="176"/>
      <c r="K45" s="34"/>
      <c r="L45" s="176"/>
      <c r="M45" s="34"/>
      <c r="N45" s="176"/>
      <c r="O45" s="34"/>
      <c r="P45" s="176"/>
      <c r="Q45" s="34"/>
      <c r="R45" s="176"/>
      <c r="S45" s="34"/>
      <c r="T45" s="181">
        <f t="shared" si="0"/>
        <v>0</v>
      </c>
      <c r="U45" s="254"/>
      <c r="V45" s="255"/>
      <c r="W45" s="256"/>
    </row>
    <row r="46" spans="1:23" ht="30" x14ac:dyDescent="0.25">
      <c r="B46" s="19">
        <v>5004</v>
      </c>
      <c r="C46" s="195" t="s">
        <v>12</v>
      </c>
      <c r="D46" s="172"/>
      <c r="E46" s="34"/>
      <c r="F46" s="176"/>
      <c r="G46" s="34"/>
      <c r="H46" s="176"/>
      <c r="I46" s="34"/>
      <c r="J46" s="176"/>
      <c r="K46" s="34"/>
      <c r="L46" s="176"/>
      <c r="M46" s="34"/>
      <c r="N46" s="176"/>
      <c r="O46" s="34"/>
      <c r="P46" s="176"/>
      <c r="Q46" s="34"/>
      <c r="R46" s="176"/>
      <c r="S46" s="34"/>
      <c r="T46" s="181">
        <f t="shared" si="0"/>
        <v>0</v>
      </c>
      <c r="U46" s="254"/>
      <c r="V46" s="255"/>
      <c r="W46" s="256"/>
    </row>
    <row r="47" spans="1:23" x14ac:dyDescent="0.25">
      <c r="B47" s="67">
        <v>5180</v>
      </c>
      <c r="C47" s="217" t="s">
        <v>13</v>
      </c>
      <c r="D47" s="173">
        <f>(D45+D44)*0.12</f>
        <v>0</v>
      </c>
      <c r="E47" s="34"/>
      <c r="F47" s="177">
        <f>(F45+F44)*0.12</f>
        <v>0</v>
      </c>
      <c r="G47" s="34"/>
      <c r="H47" s="177">
        <f>(H45+H44)*0.12</f>
        <v>0</v>
      </c>
      <c r="I47" s="34"/>
      <c r="J47" s="177">
        <f>(J45+J44)*0.12</f>
        <v>720</v>
      </c>
      <c r="K47" s="34"/>
      <c r="L47" s="177">
        <f>(L45+L44)*0.12</f>
        <v>0</v>
      </c>
      <c r="M47" s="34"/>
      <c r="N47" s="177">
        <f>(N45+N44)*0.12</f>
        <v>0</v>
      </c>
      <c r="O47" s="34"/>
      <c r="P47" s="177">
        <f>(P45+P44)*0.12</f>
        <v>0</v>
      </c>
      <c r="Q47" s="34"/>
      <c r="R47" s="177">
        <f>(R45+R44)*0.12</f>
        <v>0</v>
      </c>
      <c r="S47" s="34"/>
      <c r="T47" s="181">
        <f t="shared" si="0"/>
        <v>720</v>
      </c>
      <c r="U47" s="254"/>
      <c r="V47" s="255"/>
      <c r="W47" s="256"/>
    </row>
    <row r="48" spans="1:23" ht="30" x14ac:dyDescent="0.25">
      <c r="B48" s="67">
        <v>5182</v>
      </c>
      <c r="C48" s="217" t="s">
        <v>14</v>
      </c>
      <c r="D48" s="173">
        <f>D47*0.141</f>
        <v>0</v>
      </c>
      <c r="E48" s="34"/>
      <c r="F48" s="177">
        <f>F47*0.141</f>
        <v>0</v>
      </c>
      <c r="G48" s="34"/>
      <c r="H48" s="177">
        <f>H47*0.141</f>
        <v>0</v>
      </c>
      <c r="I48" s="34"/>
      <c r="J48" s="177">
        <f>J47*0.141</f>
        <v>101.52</v>
      </c>
      <c r="K48" s="34"/>
      <c r="L48" s="177">
        <f>L47*0.141</f>
        <v>0</v>
      </c>
      <c r="M48" s="34"/>
      <c r="N48" s="177">
        <f>N47*0.141</f>
        <v>0</v>
      </c>
      <c r="O48" s="34"/>
      <c r="P48" s="177">
        <f>P47*0.141</f>
        <v>0</v>
      </c>
      <c r="Q48" s="34"/>
      <c r="R48" s="177">
        <f>R47*0.141</f>
        <v>0</v>
      </c>
      <c r="S48" s="34"/>
      <c r="T48" s="181">
        <f t="shared" si="0"/>
        <v>101.52</v>
      </c>
      <c r="U48" s="254"/>
      <c r="V48" s="255"/>
      <c r="W48" s="256"/>
    </row>
    <row r="49" spans="1:23" ht="15.75" thickBot="1" x14ac:dyDescent="0.3">
      <c r="A49" s="215"/>
      <c r="B49" s="71">
        <v>5400</v>
      </c>
      <c r="C49" s="221" t="s">
        <v>48</v>
      </c>
      <c r="D49" s="174">
        <f>(D44+D45+D46)*0.141</f>
        <v>0</v>
      </c>
      <c r="E49" s="74"/>
      <c r="F49" s="178">
        <f>(F44+F45+F46)*0.141</f>
        <v>0</v>
      </c>
      <c r="G49" s="74"/>
      <c r="H49" s="178">
        <f>(H44+H45+H46)*0.141</f>
        <v>0</v>
      </c>
      <c r="I49" s="74"/>
      <c r="J49" s="178">
        <f>(J44+J45+J46)*0.141</f>
        <v>845.99999999999989</v>
      </c>
      <c r="K49" s="74"/>
      <c r="L49" s="178">
        <f>(L44+L45+L46)*0.141</f>
        <v>0</v>
      </c>
      <c r="M49" s="74"/>
      <c r="N49" s="178">
        <f>(N44+N45+N46)*0.141</f>
        <v>0</v>
      </c>
      <c r="O49" s="74"/>
      <c r="P49" s="178">
        <f>(P44+P45+P46)*0.141</f>
        <v>0</v>
      </c>
      <c r="Q49" s="74"/>
      <c r="R49" s="180">
        <f>(R44+R45+R46)*0.141</f>
        <v>0</v>
      </c>
      <c r="S49" s="78"/>
      <c r="T49" s="181">
        <f t="shared" si="0"/>
        <v>845.99999999999989</v>
      </c>
      <c r="U49" s="257"/>
      <c r="V49" s="258"/>
      <c r="W49" s="259"/>
    </row>
    <row r="50" spans="1:23" x14ac:dyDescent="0.25">
      <c r="D50" s="46"/>
      <c r="E50" s="48"/>
      <c r="F50" s="47"/>
      <c r="G50" s="47"/>
      <c r="H50" s="46"/>
      <c r="I50" s="48"/>
      <c r="J50" s="47"/>
      <c r="K50" s="47"/>
      <c r="L50" s="47"/>
      <c r="M50" s="47"/>
      <c r="N50" s="47"/>
      <c r="O50" s="47"/>
      <c r="P50" s="46"/>
      <c r="Q50" s="48"/>
      <c r="R50" s="46"/>
      <c r="S50" s="48"/>
    </row>
    <row r="51" spans="1:23" x14ac:dyDescent="0.25">
      <c r="D51" s="46"/>
      <c r="E51" s="48"/>
      <c r="F51" s="47"/>
      <c r="G51" s="47"/>
      <c r="H51" s="46"/>
      <c r="I51" s="48"/>
      <c r="J51" s="47"/>
      <c r="K51" s="47"/>
      <c r="L51" s="47"/>
      <c r="M51" s="47"/>
      <c r="N51" s="47"/>
      <c r="O51" s="47"/>
      <c r="P51" s="46"/>
      <c r="Q51" s="48"/>
      <c r="R51" s="46"/>
      <c r="S51" s="48"/>
    </row>
    <row r="52" spans="1:23" ht="15.75" thickBot="1" x14ac:dyDescent="0.3">
      <c r="D52" s="49"/>
      <c r="E52" s="51"/>
      <c r="F52" s="50"/>
      <c r="G52" s="50"/>
      <c r="H52" s="49"/>
      <c r="I52" s="51"/>
      <c r="J52" s="50"/>
      <c r="K52" s="50"/>
      <c r="L52" s="50"/>
      <c r="M52" s="50"/>
      <c r="N52" s="50"/>
      <c r="O52" s="50"/>
      <c r="P52" s="49"/>
      <c r="Q52" s="51"/>
      <c r="R52" s="49"/>
      <c r="S52" s="51"/>
      <c r="T52" s="84"/>
    </row>
    <row r="53" spans="1:23" ht="15.75" thickBot="1" x14ac:dyDescent="0.3">
      <c r="A53" s="216" t="s">
        <v>127</v>
      </c>
      <c r="B53" s="53"/>
      <c r="C53" s="222" t="s">
        <v>136</v>
      </c>
      <c r="D53" s="182">
        <f>SUM(D7:D49)</f>
        <v>299023.011</v>
      </c>
      <c r="E53" s="109"/>
      <c r="F53" s="182">
        <f>SUM(F7:F49)</f>
        <v>125206.837892</v>
      </c>
      <c r="G53" s="109"/>
      <c r="H53" s="182">
        <f>SUM(H7:H49)</f>
        <v>97092.597892000005</v>
      </c>
      <c r="I53" s="109"/>
      <c r="J53" s="182">
        <f>SUM(J7:J49)</f>
        <v>122641.22385600001</v>
      </c>
      <c r="K53" s="109"/>
      <c r="L53" s="182">
        <f>SUM(L7:L49)</f>
        <v>7987</v>
      </c>
      <c r="M53" s="109"/>
      <c r="N53" s="182">
        <f>SUM(N7:N49)</f>
        <v>8306.48</v>
      </c>
      <c r="O53" s="109"/>
      <c r="P53" s="182">
        <f>SUM(P7:P49)</f>
        <v>112456.96000000001</v>
      </c>
      <c r="Q53" s="109"/>
      <c r="R53" s="182">
        <f>SUM(R7:R49)</f>
        <v>40893.439999999995</v>
      </c>
      <c r="S53" s="109"/>
      <c r="T53" s="182">
        <f>SUM(T7:T49)</f>
        <v>813607.55064000003</v>
      </c>
    </row>
    <row r="54" spans="1:23" ht="15.75" thickBot="1" x14ac:dyDescent="0.3"/>
    <row r="55" spans="1:23" x14ac:dyDescent="0.25">
      <c r="B55" s="223">
        <v>5000</v>
      </c>
      <c r="C55" s="224" t="s">
        <v>10</v>
      </c>
      <c r="D55" s="225">
        <f>D7+D16+D23+D30+D37+D44</f>
        <v>216300</v>
      </c>
      <c r="E55" s="226"/>
      <c r="F55" s="225">
        <f>F7+F16+F23+F30+F37+F44</f>
        <v>95436.35</v>
      </c>
      <c r="G55" s="226"/>
      <c r="H55" s="225">
        <f>H7+H16+H23+H30+H37+H44</f>
        <v>73436.350000000006</v>
      </c>
      <c r="I55" s="226"/>
      <c r="J55" s="225">
        <f>J7+J16+J23+J30+J37+J44</f>
        <v>92581.8</v>
      </c>
      <c r="K55" s="226"/>
      <c r="L55" s="225">
        <f>L7+L16+L23+L30+L37+L44</f>
        <v>6250</v>
      </c>
      <c r="M55" s="226"/>
      <c r="N55" s="225">
        <f>N7+N16+N23+N30+N37+N44</f>
        <v>6500</v>
      </c>
      <c r="O55" s="226"/>
      <c r="P55" s="225">
        <f>P7+P16+P23+P30+P37+P44</f>
        <v>88000</v>
      </c>
      <c r="Q55" s="226"/>
      <c r="R55" s="225">
        <f>R7+R16+R23+R30+R37+R44</f>
        <v>32000</v>
      </c>
      <c r="S55" s="226"/>
      <c r="T55" s="227">
        <f>T7+T16+T23+T30+T37+T44</f>
        <v>610504.5</v>
      </c>
      <c r="U55" s="201"/>
    </row>
    <row r="56" spans="1:23" x14ac:dyDescent="0.25">
      <c r="A56" s="195"/>
      <c r="B56" s="228">
        <v>5001</v>
      </c>
      <c r="C56" s="229" t="s">
        <v>11</v>
      </c>
      <c r="D56" s="230">
        <f>D8+D17+D24+D31+D38+D45</f>
        <v>0</v>
      </c>
      <c r="E56" s="231"/>
      <c r="F56" s="230">
        <f>F8+F17+F24+F31+F38+F45</f>
        <v>0</v>
      </c>
      <c r="G56" s="231"/>
      <c r="H56" s="230">
        <f>H8+H17+H24+H31+H38+H45</f>
        <v>0</v>
      </c>
      <c r="I56" s="231"/>
      <c r="J56" s="230">
        <f>J8+J17+J24+J31+J38+J45</f>
        <v>0</v>
      </c>
      <c r="K56" s="231"/>
      <c r="L56" s="230">
        <f>L8+L17+L24+L31+L38+L45</f>
        <v>0</v>
      </c>
      <c r="M56" s="231"/>
      <c r="N56" s="230">
        <f>N8+N17+N24+N31+N38+N45</f>
        <v>0</v>
      </c>
      <c r="O56" s="231"/>
      <c r="P56" s="230">
        <f>P8+P17+P24+P31+P38+P45</f>
        <v>0</v>
      </c>
      <c r="Q56" s="231"/>
      <c r="R56" s="230">
        <f>R8+R17+R24+R31+R38+R45</f>
        <v>0</v>
      </c>
      <c r="S56" s="231"/>
      <c r="T56" s="232">
        <f>T8+T17+T24+T31+T38+T45</f>
        <v>0</v>
      </c>
      <c r="U56" s="28"/>
    </row>
    <row r="57" spans="1:23" x14ac:dyDescent="0.25">
      <c r="A57" s="195"/>
      <c r="B57" s="228">
        <v>5004</v>
      </c>
      <c r="C57" s="229" t="s">
        <v>12</v>
      </c>
      <c r="D57" s="230">
        <f>D9+D18+D25+D32+D39+D46</f>
        <v>0</v>
      </c>
      <c r="E57" s="231"/>
      <c r="F57" s="230">
        <f>F9+F18+F25+F32+F39+F46</f>
        <v>0</v>
      </c>
      <c r="G57" s="231"/>
      <c r="H57" s="230">
        <f>H9+H18+H25+H32+H39+H46</f>
        <v>0</v>
      </c>
      <c r="I57" s="231"/>
      <c r="J57" s="230">
        <f>J9+J18+J25+J32+J39+J46</f>
        <v>0</v>
      </c>
      <c r="K57" s="231"/>
      <c r="L57" s="230">
        <f>L9+L18+L25+L32+L39+L46</f>
        <v>0</v>
      </c>
      <c r="M57" s="231"/>
      <c r="N57" s="230">
        <f>N9+N18+N25+N32+N39+N46</f>
        <v>0</v>
      </c>
      <c r="O57" s="231"/>
      <c r="P57" s="230">
        <f>P9+P18+P25+P32+P39+P46</f>
        <v>0</v>
      </c>
      <c r="Q57" s="231"/>
      <c r="R57" s="230">
        <f>R9+R18+R25+R32+R39+R46</f>
        <v>0</v>
      </c>
      <c r="S57" s="231"/>
      <c r="T57" s="232">
        <f>T9+T18+T25+T32+T39+T46</f>
        <v>0</v>
      </c>
      <c r="U57" s="28"/>
    </row>
    <row r="58" spans="1:23" x14ac:dyDescent="0.25">
      <c r="A58" s="195"/>
      <c r="B58" s="228">
        <v>5180</v>
      </c>
      <c r="C58" s="229" t="s">
        <v>13</v>
      </c>
      <c r="D58" s="230">
        <f>D10+D19+D26+D33+D40+D47</f>
        <v>25956</v>
      </c>
      <c r="E58" s="231"/>
      <c r="F58" s="230">
        <f>F10+F19+F26+F33+F40+F47</f>
        <v>11452.361999999999</v>
      </c>
      <c r="G58" s="231"/>
      <c r="H58" s="230">
        <f>H10+H19+H26+H33+H40+H47</f>
        <v>8812.3619999999992</v>
      </c>
      <c r="I58" s="231"/>
      <c r="J58" s="230">
        <f>J10+J19+J26+J33+J40+J47</f>
        <v>11109.816000000001</v>
      </c>
      <c r="K58" s="231"/>
      <c r="L58" s="230">
        <f>L10+L19+L26+L33+L40+L47</f>
        <v>750</v>
      </c>
      <c r="M58" s="231"/>
      <c r="N58" s="230">
        <f>N10+N19+N26+N33+N40+N47</f>
        <v>780</v>
      </c>
      <c r="O58" s="231"/>
      <c r="P58" s="230">
        <f>P10+P19+P26+P33+P40+P47</f>
        <v>10560</v>
      </c>
      <c r="Q58" s="231"/>
      <c r="R58" s="230">
        <f>R10+R19+R26+R33+R40+R47</f>
        <v>3840</v>
      </c>
      <c r="S58" s="231"/>
      <c r="T58" s="232">
        <f>T10+T19+T26+T33+T40+T47</f>
        <v>73260.540000000008</v>
      </c>
      <c r="U58" s="202"/>
    </row>
    <row r="59" spans="1:23" ht="30" x14ac:dyDescent="0.25">
      <c r="A59" s="217"/>
      <c r="B59" s="228">
        <v>5182</v>
      </c>
      <c r="C59" s="229" t="s">
        <v>14</v>
      </c>
      <c r="D59" s="230">
        <f>D11+D20+D27+D34+D41+D48</f>
        <v>3659.7959999999998</v>
      </c>
      <c r="E59" s="231"/>
      <c r="F59" s="230">
        <f>F11+F20+F27+F34+F41+F48</f>
        <v>1614.7830419999998</v>
      </c>
      <c r="G59" s="231"/>
      <c r="H59" s="230">
        <f>H11+H20+H27+H34+H41+H48</f>
        <v>1242.5430419999998</v>
      </c>
      <c r="I59" s="231"/>
      <c r="J59" s="230">
        <f>J11+J20+J27+J34+J41+J48</f>
        <v>1566.484056</v>
      </c>
      <c r="K59" s="231"/>
      <c r="L59" s="230">
        <f>L11+L20+L27+L34+L41+L48</f>
        <v>105.74999999999999</v>
      </c>
      <c r="M59" s="231"/>
      <c r="N59" s="230">
        <f>N11+N20+N27+N34+N41+N48</f>
        <v>109.97999999999999</v>
      </c>
      <c r="O59" s="231"/>
      <c r="P59" s="230">
        <f>P11+P20+P27+P34+P41+P48</f>
        <v>1488.9599999999998</v>
      </c>
      <c r="Q59" s="231"/>
      <c r="R59" s="230">
        <f>R11+R20+R27+R34+R41+R48</f>
        <v>541.43999999999994</v>
      </c>
      <c r="S59" s="231"/>
      <c r="T59" s="232">
        <f>T11+T20+T27+T34+T41+T48</f>
        <v>10329.736140000001</v>
      </c>
      <c r="U59" s="202"/>
    </row>
    <row r="60" spans="1:23" ht="30" x14ac:dyDescent="0.25">
      <c r="A60" s="217"/>
      <c r="B60" s="233">
        <v>5211</v>
      </c>
      <c r="C60" s="234" t="s">
        <v>157</v>
      </c>
      <c r="D60" s="230">
        <f>D12</f>
        <v>9000</v>
      </c>
      <c r="E60" s="231"/>
      <c r="F60" s="230">
        <f>F12</f>
        <v>0</v>
      </c>
      <c r="G60" s="231"/>
      <c r="H60" s="230">
        <f>H12</f>
        <v>0</v>
      </c>
      <c r="I60" s="231"/>
      <c r="J60" s="230">
        <f>J12</f>
        <v>0</v>
      </c>
      <c r="K60" s="231"/>
      <c r="L60" s="230">
        <f>L12</f>
        <v>0</v>
      </c>
      <c r="M60" s="231"/>
      <c r="N60" s="230">
        <f>N12</f>
        <v>0</v>
      </c>
      <c r="O60" s="231"/>
      <c r="P60" s="230">
        <f>P12</f>
        <v>0</v>
      </c>
      <c r="Q60" s="231"/>
      <c r="R60" s="230">
        <f>R12</f>
        <v>0</v>
      </c>
      <c r="S60" s="231"/>
      <c r="T60" s="232">
        <f>T12</f>
        <v>9000</v>
      </c>
      <c r="U60" s="203"/>
    </row>
    <row r="61" spans="1:23" x14ac:dyDescent="0.25">
      <c r="A61" s="217"/>
      <c r="B61" s="228">
        <v>5400</v>
      </c>
      <c r="C61" s="229" t="s">
        <v>48</v>
      </c>
      <c r="D61" s="230">
        <f>D13+D21+D28+D35+D42+D49</f>
        <v>33292.214999999997</v>
      </c>
      <c r="E61" s="231"/>
      <c r="F61" s="230">
        <f>F13+F21+F28+F35+F42+F49</f>
        <v>13456.525349999998</v>
      </c>
      <c r="G61" s="231"/>
      <c r="H61" s="230">
        <f>H13+H21+H28+H35+H42+H49</f>
        <v>10354.525349999998</v>
      </c>
      <c r="I61" s="231"/>
      <c r="J61" s="230">
        <f>J13+J21+J28+J35+J42+J49</f>
        <v>13054.033799999999</v>
      </c>
      <c r="K61" s="231"/>
      <c r="L61" s="230">
        <f>L13+L21+L28+L35+L42+L49</f>
        <v>881.24999999999989</v>
      </c>
      <c r="M61" s="231"/>
      <c r="N61" s="230">
        <f>N13+N21+N28+N35+N42+N49</f>
        <v>916.49999999999989</v>
      </c>
      <c r="O61" s="231"/>
      <c r="P61" s="230">
        <f>P13+P21+P28+P35+P42+P49</f>
        <v>12407.999999999998</v>
      </c>
      <c r="Q61" s="231"/>
      <c r="R61" s="230">
        <f>R13+R21+R28+R35+R42+R49</f>
        <v>4511.9999999999991</v>
      </c>
      <c r="S61" s="231"/>
      <c r="T61" s="232">
        <f>T13+T21+T28+T35+T42+T49</f>
        <v>88875.049499999994</v>
      </c>
      <c r="U61" s="202"/>
    </row>
    <row r="62" spans="1:23" ht="30.75" thickBot="1" x14ac:dyDescent="0.3">
      <c r="B62" s="235">
        <v>5990</v>
      </c>
      <c r="C62" s="236" t="s">
        <v>156</v>
      </c>
      <c r="D62" s="237">
        <f>D14</f>
        <v>10815</v>
      </c>
      <c r="E62" s="238"/>
      <c r="F62" s="237">
        <f>F14</f>
        <v>3246.8175000000001</v>
      </c>
      <c r="G62" s="238"/>
      <c r="H62" s="237">
        <f>H14</f>
        <v>3246.8175000000001</v>
      </c>
      <c r="I62" s="238"/>
      <c r="J62" s="237">
        <f>J14</f>
        <v>4329.09</v>
      </c>
      <c r="K62" s="238"/>
      <c r="L62" s="237">
        <f>L14</f>
        <v>0</v>
      </c>
      <c r="M62" s="238"/>
      <c r="N62" s="237">
        <f>N14</f>
        <v>0</v>
      </c>
      <c r="O62" s="238"/>
      <c r="P62" s="237">
        <f>P14</f>
        <v>0</v>
      </c>
      <c r="Q62" s="238"/>
      <c r="R62" s="237">
        <f>R14</f>
        <v>0</v>
      </c>
      <c r="S62" s="238"/>
      <c r="T62" s="239">
        <f>T14</f>
        <v>21637.724999999999</v>
      </c>
      <c r="U62" s="204"/>
    </row>
    <row r="64" spans="1:23" x14ac:dyDescent="0.25">
      <c r="D64" s="200"/>
      <c r="L64">
        <f>881*2</f>
        <v>1762</v>
      </c>
    </row>
  </sheetData>
  <sheetProtection algorithmName="SHA-512" hashValue="B+ad8O+PW9hfI6wYKHin+yKCpO5tekI9U3b9yOLG3+WEzoOrFacO5+V4nmd7a3k+BLudRfUwd/WEiPW66TEVoA==" saltValue="yluUZYTrDaq+s1p26q8qRw==" spinCount="100000" sheet="1" objects="1" scenarios="1"/>
  <mergeCells count="8">
    <mergeCell ref="U23:W28"/>
    <mergeCell ref="U30:W35"/>
    <mergeCell ref="U37:W42"/>
    <mergeCell ref="U44:W49"/>
    <mergeCell ref="B1:C1"/>
    <mergeCell ref="B2:C2"/>
    <mergeCell ref="U6:W14"/>
    <mergeCell ref="U16:W2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zoomScale="85" zoomScaleNormal="85" workbookViewId="0">
      <pane xSplit="3" ySplit="5" topLeftCell="D13" activePane="bottomRight" state="frozen"/>
      <selection pane="topRight" activeCell="D1" sqref="D1"/>
      <selection pane="bottomLeft" activeCell="A6" sqref="A6"/>
      <selection pane="bottomRight" activeCell="E36" sqref="E36"/>
    </sheetView>
  </sheetViews>
  <sheetFormatPr baseColWidth="10" defaultColWidth="11.5703125" defaultRowHeight="15" x14ac:dyDescent="0.25"/>
  <cols>
    <col min="1" max="1" width="7.42578125" bestFit="1" customWidth="1"/>
    <col min="2" max="2" width="11.42578125" bestFit="1" customWidth="1"/>
    <col min="3" max="3" width="30.5703125" style="161" customWidth="1"/>
    <col min="4" max="5" width="15.5703125" bestFit="1" customWidth="1"/>
    <col min="6" max="6" width="25.5703125" bestFit="1" customWidth="1"/>
    <col min="7" max="7" width="15.5703125" bestFit="1" customWidth="1"/>
    <col min="8" max="8" width="26.5703125" style="102" bestFit="1" customWidth="1"/>
  </cols>
  <sheetData>
    <row r="1" spans="1:8" thickBot="1" x14ac:dyDescent="0.35"/>
    <row r="2" spans="1:8" thickBot="1" x14ac:dyDescent="0.35">
      <c r="A2" s="54"/>
      <c r="B2" s="55"/>
      <c r="C2" s="205"/>
      <c r="D2" s="87" t="s">
        <v>45</v>
      </c>
      <c r="E2" s="88" t="s">
        <v>46</v>
      </c>
      <c r="F2" s="88" t="s">
        <v>241</v>
      </c>
      <c r="G2" s="107" t="s">
        <v>218</v>
      </c>
      <c r="H2"/>
    </row>
    <row r="3" spans="1:8" thickBot="1" x14ac:dyDescent="0.35">
      <c r="A3" s="52"/>
      <c r="B3" s="53"/>
      <c r="C3" s="206" t="s">
        <v>112</v>
      </c>
      <c r="D3" s="89">
        <f>D6+D18+D23+D30+D43+D53+D75+D64+D84</f>
        <v>2048989</v>
      </c>
      <c r="E3" s="90">
        <f>E6+E18+E23+E30+E43+E53+E75+E64+E84</f>
        <v>2391417.5546399998</v>
      </c>
      <c r="F3" s="90">
        <f>F6+F18+F23+F30+F43+F53+F75+F64+F84</f>
        <v>-342428.55463999987</v>
      </c>
      <c r="G3" s="108">
        <f>G6+G18+G23+G30+G43+G53+G75+G64+G84</f>
        <v>-206395.36190914022</v>
      </c>
      <c r="H3"/>
    </row>
    <row r="4" spans="1:8" thickBot="1" x14ac:dyDescent="0.35"/>
    <row r="5" spans="1:8" thickBot="1" x14ac:dyDescent="0.35">
      <c r="A5" s="54" t="s">
        <v>111</v>
      </c>
      <c r="B5" s="55" t="s">
        <v>109</v>
      </c>
      <c r="C5" s="207" t="s">
        <v>110</v>
      </c>
      <c r="D5" s="55" t="s">
        <v>45</v>
      </c>
      <c r="E5" s="57" t="s">
        <v>46</v>
      </c>
      <c r="F5" s="57" t="s">
        <v>241</v>
      </c>
      <c r="G5" s="56" t="s">
        <v>218</v>
      </c>
      <c r="H5" s="88" t="s">
        <v>172</v>
      </c>
    </row>
    <row r="6" spans="1:8" ht="14.45" x14ac:dyDescent="0.3">
      <c r="A6" s="59" t="s">
        <v>84</v>
      </c>
      <c r="B6" s="262" t="s">
        <v>187</v>
      </c>
      <c r="C6" s="263"/>
      <c r="D6" s="91">
        <f>SUM(D7:D17)</f>
        <v>1750000</v>
      </c>
      <c r="E6" s="92">
        <f>SUM(E7:E17)</f>
        <v>481035.011</v>
      </c>
      <c r="F6" s="91">
        <f>D6-E6</f>
        <v>1268964.9890000001</v>
      </c>
      <c r="G6" s="92">
        <f>SUM(G7:G16)</f>
        <v>1420045.3199999998</v>
      </c>
      <c r="H6" s="106">
        <f>E6/E3</f>
        <v>0.20115057283353188</v>
      </c>
    </row>
    <row r="7" spans="1:8" ht="14.45" x14ac:dyDescent="0.3">
      <c r="A7" s="46"/>
      <c r="B7" s="47">
        <v>10000</v>
      </c>
      <c r="C7" s="208" t="s">
        <v>85</v>
      </c>
      <c r="D7" s="94">
        <f>'1 Administrasjon'!D12</f>
        <v>0</v>
      </c>
      <c r="E7" s="95">
        <f>'1 Administrasjon'!D58</f>
        <v>410235.011</v>
      </c>
      <c r="F7" s="95">
        <f t="shared" ref="F7:F16" si="0">D7-E7</f>
        <v>-410235.011</v>
      </c>
      <c r="G7" s="96">
        <f>'1 Administrasjon'!F59</f>
        <v>-437803.41</v>
      </c>
      <c r="H7" s="104"/>
    </row>
    <row r="8" spans="1:8" x14ac:dyDescent="0.25">
      <c r="A8" s="46"/>
      <c r="B8" s="47">
        <v>11000</v>
      </c>
      <c r="C8" s="208" t="s">
        <v>54</v>
      </c>
      <c r="D8" s="94">
        <f>'1 Administrasjon'!H12</f>
        <v>0</v>
      </c>
      <c r="E8" s="95">
        <f>'1 Administrasjon'!H58</f>
        <v>25000</v>
      </c>
      <c r="F8" s="95">
        <f t="shared" si="0"/>
        <v>-25000</v>
      </c>
      <c r="G8" s="96">
        <f>'1 Administrasjon'!J59</f>
        <v>-3076</v>
      </c>
      <c r="H8" s="104"/>
    </row>
    <row r="9" spans="1:8" ht="14.45" x14ac:dyDescent="0.3">
      <c r="A9" s="46"/>
      <c r="B9" s="47">
        <v>12000</v>
      </c>
      <c r="C9" s="208" t="s">
        <v>55</v>
      </c>
      <c r="D9" s="94">
        <f>'1 Administrasjon'!L12</f>
        <v>0</v>
      </c>
      <c r="E9" s="95">
        <f>'1 Administrasjon'!L58</f>
        <v>42800</v>
      </c>
      <c r="F9" s="95">
        <f t="shared" si="0"/>
        <v>-42800</v>
      </c>
      <c r="G9" s="96">
        <f>'1 Administrasjon'!N59</f>
        <v>-10017.879999999999</v>
      </c>
      <c r="H9" s="104"/>
    </row>
    <row r="10" spans="1:8" ht="14.45" x14ac:dyDescent="0.3">
      <c r="A10" s="46"/>
      <c r="B10" s="47">
        <v>19001</v>
      </c>
      <c r="C10" s="208" t="s">
        <v>263</v>
      </c>
      <c r="D10" s="94">
        <f>'1 Administrasjon'!P12</f>
        <v>730000</v>
      </c>
      <c r="E10" s="95">
        <f>'1 Administrasjon'!P58</f>
        <v>0</v>
      </c>
      <c r="F10" s="95">
        <f t="shared" si="0"/>
        <v>730000</v>
      </c>
      <c r="G10" s="96">
        <f>'1 Administrasjon'!R59</f>
        <v>746024</v>
      </c>
      <c r="H10" s="104"/>
    </row>
    <row r="11" spans="1:8" ht="28.9" x14ac:dyDescent="0.3">
      <c r="A11" s="46"/>
      <c r="B11" s="47">
        <v>19002</v>
      </c>
      <c r="C11" s="208" t="s">
        <v>264</v>
      </c>
      <c r="D11" s="94">
        <f>'1 Administrasjon'!T12</f>
        <v>200000</v>
      </c>
      <c r="E11" s="95">
        <f>'1 Administrasjon'!T58</f>
        <v>0</v>
      </c>
      <c r="F11" s="95">
        <f t="shared" si="0"/>
        <v>200000</v>
      </c>
      <c r="G11" s="96">
        <f>'1 Administrasjon'!V59</f>
        <v>200400</v>
      </c>
      <c r="H11" s="104"/>
    </row>
    <row r="12" spans="1:8" ht="14.45" x14ac:dyDescent="0.3">
      <c r="A12" s="46"/>
      <c r="B12" s="47">
        <v>19003</v>
      </c>
      <c r="C12" s="208" t="s">
        <v>146</v>
      </c>
      <c r="D12" s="94">
        <f>'1 Administrasjon'!X12</f>
        <v>500000</v>
      </c>
      <c r="E12" s="95">
        <f>'1 Administrasjon'!X57</f>
        <v>0</v>
      </c>
      <c r="F12" s="95">
        <f t="shared" si="0"/>
        <v>500000</v>
      </c>
      <c r="G12" s="96">
        <f>'1 Administrasjon'!Z59</f>
        <v>507641</v>
      </c>
      <c r="H12" s="104"/>
    </row>
    <row r="13" spans="1:8" ht="14.45" x14ac:dyDescent="0.3">
      <c r="A13" s="46"/>
      <c r="B13" s="47">
        <v>19004</v>
      </c>
      <c r="C13" s="208" t="s">
        <v>192</v>
      </c>
      <c r="D13" s="94">
        <f>'1 Administrasjon'!AB12</f>
        <v>0</v>
      </c>
      <c r="E13" s="95">
        <f>'1 Administrasjon'!AB58</f>
        <v>0</v>
      </c>
      <c r="F13" s="95">
        <f t="shared" si="0"/>
        <v>0</v>
      </c>
      <c r="G13" s="96">
        <f>'1 Administrasjon'!AD59</f>
        <v>2112</v>
      </c>
      <c r="H13" s="104"/>
    </row>
    <row r="14" spans="1:8" ht="14.45" x14ac:dyDescent="0.3">
      <c r="A14" s="46"/>
      <c r="B14" s="47">
        <v>19005</v>
      </c>
      <c r="C14" s="208" t="s">
        <v>189</v>
      </c>
      <c r="D14" s="94">
        <f>'1 Administrasjon'!AF12</f>
        <v>200000</v>
      </c>
      <c r="E14" s="95">
        <f>'1 Administrasjon'!AF58</f>
        <v>3000</v>
      </c>
      <c r="F14" s="95">
        <f t="shared" si="0"/>
        <v>197000</v>
      </c>
      <c r="G14" s="96">
        <f>'1 Administrasjon'!AH59</f>
        <v>293208.61</v>
      </c>
      <c r="H14" s="104"/>
    </row>
    <row r="15" spans="1:8" ht="14.45" x14ac:dyDescent="0.3">
      <c r="A15" s="46"/>
      <c r="B15" s="47">
        <v>19006</v>
      </c>
      <c r="C15" s="208" t="s">
        <v>245</v>
      </c>
      <c r="D15" s="94">
        <f>'1 Administrasjon'!AJ12</f>
        <v>100000</v>
      </c>
      <c r="E15" s="95">
        <f>'1 Administrasjon'!AJ58</f>
        <v>0</v>
      </c>
      <c r="F15" s="95">
        <f t="shared" si="0"/>
        <v>100000</v>
      </c>
      <c r="G15" s="96">
        <f>'1 Administrasjon'!AL59</f>
        <v>102817</v>
      </c>
      <c r="H15" s="104"/>
    </row>
    <row r="16" spans="1:8" ht="14.45" x14ac:dyDescent="0.3">
      <c r="A16" s="46"/>
      <c r="B16" s="47">
        <v>19007</v>
      </c>
      <c r="C16" s="208" t="s">
        <v>246</v>
      </c>
      <c r="D16" s="94">
        <f>'1 Administrasjon'!AN12</f>
        <v>20000</v>
      </c>
      <c r="E16" s="95">
        <f>'1 Administrasjon'!AN58</f>
        <v>0</v>
      </c>
      <c r="F16" s="95">
        <f t="shared" si="0"/>
        <v>20000</v>
      </c>
      <c r="G16" s="96">
        <f>'1 Administrasjon'!AP59</f>
        <v>18740</v>
      </c>
      <c r="H16" s="104"/>
    </row>
    <row r="17" spans="1:13" thickBot="1" x14ac:dyDescent="0.35">
      <c r="A17" s="46"/>
      <c r="B17" s="47"/>
      <c r="C17" s="208"/>
      <c r="D17" s="94"/>
      <c r="E17" s="95"/>
      <c r="F17" s="95"/>
      <c r="G17" s="96"/>
      <c r="H17" s="104"/>
    </row>
    <row r="18" spans="1:13" ht="14.45" x14ac:dyDescent="0.3">
      <c r="A18" s="59" t="s">
        <v>86</v>
      </c>
      <c r="B18" s="262" t="s">
        <v>87</v>
      </c>
      <c r="C18" s="263"/>
      <c r="D18" s="91">
        <f>SUM(D19:D22)</f>
        <v>0</v>
      </c>
      <c r="E18" s="92">
        <f>SUM(E19:E22)</f>
        <v>13000</v>
      </c>
      <c r="F18" s="92">
        <f>D18-E18</f>
        <v>-13000</v>
      </c>
      <c r="G18" s="93">
        <f>SUM(G19:G21)</f>
        <v>-19893.37</v>
      </c>
      <c r="H18" s="106">
        <f>E18/E3</f>
        <v>5.4361062854859738E-3</v>
      </c>
    </row>
    <row r="19" spans="1:13" ht="14.45" x14ac:dyDescent="0.3">
      <c r="A19" s="46"/>
      <c r="B19" s="47">
        <v>20000</v>
      </c>
      <c r="C19" s="208" t="s">
        <v>85</v>
      </c>
      <c r="D19" s="94">
        <f>'2 Ekstern kommunikasjon'!D11</f>
        <v>0</v>
      </c>
      <c r="E19" s="95">
        <f>'2 Ekstern kommunikasjon'!D51</f>
        <v>2000</v>
      </c>
      <c r="F19" s="95">
        <f>D19-E19</f>
        <v>-2000</v>
      </c>
      <c r="G19" s="96">
        <f>'2 Ekstern kommunikasjon'!F52</f>
        <v>-1097</v>
      </c>
      <c r="H19" s="104"/>
    </row>
    <row r="20" spans="1:13" ht="14.45" x14ac:dyDescent="0.3">
      <c r="A20" s="46"/>
      <c r="B20" s="47">
        <v>21000</v>
      </c>
      <c r="C20" s="208" t="s">
        <v>108</v>
      </c>
      <c r="D20" s="94">
        <f>'2 Ekstern kommunikasjon'!H11</f>
        <v>0</v>
      </c>
      <c r="E20" s="95">
        <f>'2 Ekstern kommunikasjon'!H51</f>
        <v>11000</v>
      </c>
      <c r="F20" s="95">
        <f t="shared" ref="F20:F21" si="1">D20-E20</f>
        <v>-11000</v>
      </c>
      <c r="G20" s="96">
        <f>'2 Ekstern kommunikasjon'!J52</f>
        <v>-17945.37</v>
      </c>
      <c r="H20" s="104"/>
    </row>
    <row r="21" spans="1:13" ht="28.9" x14ac:dyDescent="0.3">
      <c r="A21" s="46"/>
      <c r="B21" s="47">
        <v>22000</v>
      </c>
      <c r="C21" s="208" t="s">
        <v>266</v>
      </c>
      <c r="D21" s="94">
        <f>'2 Ekstern kommunikasjon'!L11</f>
        <v>0</v>
      </c>
      <c r="E21" s="95">
        <f>'2 Ekstern kommunikasjon'!L51</f>
        <v>0</v>
      </c>
      <c r="F21" s="95">
        <f t="shared" si="1"/>
        <v>0</v>
      </c>
      <c r="G21" s="96">
        <f>'2 Ekstern kommunikasjon'!N52</f>
        <v>-851</v>
      </c>
      <c r="H21" s="104"/>
    </row>
    <row r="22" spans="1:13" ht="15.75" thickBot="1" x14ac:dyDescent="0.3">
      <c r="A22" s="46"/>
      <c r="B22" s="47"/>
      <c r="C22" s="208"/>
      <c r="D22" s="94"/>
      <c r="E22" s="95"/>
      <c r="F22" s="95"/>
      <c r="G22" s="96"/>
      <c r="H22" s="104"/>
      <c r="M22" s="103"/>
    </row>
    <row r="23" spans="1:13" x14ac:dyDescent="0.25">
      <c r="A23" s="59" t="s">
        <v>89</v>
      </c>
      <c r="B23" s="262" t="s">
        <v>90</v>
      </c>
      <c r="C23" s="263"/>
      <c r="D23" s="91">
        <f>SUM(D24:D29)</f>
        <v>3000</v>
      </c>
      <c r="E23" s="92">
        <f>SUM(E24:E29)</f>
        <v>111720</v>
      </c>
      <c r="F23" s="92">
        <f>D23-E23</f>
        <v>-108720</v>
      </c>
      <c r="G23" s="93">
        <f>SUM(G24:G28)</f>
        <v>-167437.94</v>
      </c>
      <c r="H23" s="106">
        <f>E23/E3</f>
        <v>4.6717061093422538E-2</v>
      </c>
    </row>
    <row r="24" spans="1:13" x14ac:dyDescent="0.25">
      <c r="A24" s="46"/>
      <c r="B24" s="47">
        <v>30000</v>
      </c>
      <c r="C24" s="208" t="s">
        <v>85</v>
      </c>
      <c r="D24" s="94">
        <f>'3 Forbundsutvikling'!D11</f>
        <v>0</v>
      </c>
      <c r="E24" s="95">
        <f>'3 Forbundsutvikling'!D51</f>
        <v>14720</v>
      </c>
      <c r="F24" s="95">
        <f>'3 Forbundsutvikling'!D52</f>
        <v>-14720</v>
      </c>
      <c r="G24" s="96">
        <f>'3 Forbundsutvikling'!F52</f>
        <v>0</v>
      </c>
      <c r="H24" s="104"/>
    </row>
    <row r="25" spans="1:13" x14ac:dyDescent="0.25">
      <c r="A25" s="46"/>
      <c r="B25" s="47">
        <v>31000</v>
      </c>
      <c r="C25" s="208" t="s">
        <v>323</v>
      </c>
      <c r="D25" s="94">
        <f>'3 Forbundsutvikling'!H11</f>
        <v>0</v>
      </c>
      <c r="E25" s="95">
        <f>'3 Forbundsutvikling'!H51</f>
        <v>0</v>
      </c>
      <c r="F25" s="95">
        <f>'3 Forbundsutvikling'!H52</f>
        <v>0</v>
      </c>
      <c r="G25" s="96">
        <f>'3 Forbundsutvikling'!J52</f>
        <v>-58347.51</v>
      </c>
      <c r="H25" s="104"/>
    </row>
    <row r="26" spans="1:13" x14ac:dyDescent="0.25">
      <c r="A26" s="46"/>
      <c r="B26" s="58">
        <v>31001</v>
      </c>
      <c r="C26" s="208" t="s">
        <v>339</v>
      </c>
      <c r="D26" s="94">
        <f>'3 Forbundsutvikling'!L11</f>
        <v>3000</v>
      </c>
      <c r="E26" s="95">
        <f>'3 Forbundsutvikling'!L51</f>
        <v>70000</v>
      </c>
      <c r="F26" s="95">
        <f>'3 Forbundsutvikling'!L52</f>
        <v>-67000</v>
      </c>
      <c r="G26" s="96">
        <v>-108124.63</v>
      </c>
      <c r="H26" s="104"/>
    </row>
    <row r="27" spans="1:13" x14ac:dyDescent="0.25">
      <c r="A27" s="46"/>
      <c r="B27" s="47">
        <v>32000</v>
      </c>
      <c r="C27" s="208" t="s">
        <v>57</v>
      </c>
      <c r="D27" s="94">
        <f>'3 Forbundsutvikling'!P11</f>
        <v>0</v>
      </c>
      <c r="E27" s="95">
        <f>'3 Forbundsutvikling'!P51</f>
        <v>27000</v>
      </c>
      <c r="F27" s="95">
        <f>'3 Forbundsutvikling'!P52</f>
        <v>-27000</v>
      </c>
      <c r="G27" s="96">
        <v>-965.8</v>
      </c>
      <c r="H27" s="104"/>
    </row>
    <row r="28" spans="1:13" x14ac:dyDescent="0.25">
      <c r="A28" s="46"/>
      <c r="B28" s="58"/>
      <c r="C28" s="208"/>
      <c r="D28" s="94"/>
      <c r="E28" s="95"/>
      <c r="F28" s="95"/>
      <c r="G28" s="96"/>
      <c r="H28" s="104"/>
    </row>
    <row r="29" spans="1:13" ht="15.75" thickBot="1" x14ac:dyDescent="0.3">
      <c r="A29" s="49"/>
      <c r="B29" s="50"/>
      <c r="C29" s="209"/>
      <c r="D29" s="97"/>
      <c r="E29" s="98"/>
      <c r="F29" s="98"/>
      <c r="G29" s="99"/>
      <c r="H29" s="105"/>
    </row>
    <row r="30" spans="1:13" x14ac:dyDescent="0.25">
      <c r="A30" s="59" t="s">
        <v>91</v>
      </c>
      <c r="B30" s="262" t="s">
        <v>93</v>
      </c>
      <c r="C30" s="263"/>
      <c r="D30" s="91">
        <f>SUM(D31:D42)</f>
        <v>35989</v>
      </c>
      <c r="E30" s="92">
        <f>SUM(E31:E42)</f>
        <v>327248.44189199997</v>
      </c>
      <c r="F30" s="92">
        <f>D30-E30</f>
        <v>-291259.44189199997</v>
      </c>
      <c r="G30" s="93">
        <f>SUM(G31:G41)</f>
        <v>-242930.75000000003</v>
      </c>
      <c r="H30" s="106">
        <f>E30/E3</f>
        <v>0.13684287014496865</v>
      </c>
    </row>
    <row r="31" spans="1:13" x14ac:dyDescent="0.25">
      <c r="A31" s="46"/>
      <c r="B31" s="47">
        <v>40000</v>
      </c>
      <c r="C31" s="208" t="s">
        <v>85</v>
      </c>
      <c r="D31" s="94">
        <f>'4. Utvilklingstiltak'!D11</f>
        <v>0</v>
      </c>
      <c r="E31" s="95">
        <f>'4. Utvilklingstiltak'!D52</f>
        <v>125206.837892</v>
      </c>
      <c r="F31" s="95">
        <f>D31-E31</f>
        <v>-125206.837892</v>
      </c>
      <c r="G31" s="95">
        <f>'4. Utvilklingstiltak'!F53</f>
        <v>-120830.6</v>
      </c>
      <c r="H31" s="104"/>
    </row>
    <row r="32" spans="1:13" x14ac:dyDescent="0.25">
      <c r="A32" s="46"/>
      <c r="B32" s="47">
        <v>41000</v>
      </c>
      <c r="C32" s="208" t="s">
        <v>58</v>
      </c>
      <c r="D32" s="94">
        <f>'4. Utvilklingstiltak'!H11</f>
        <v>0</v>
      </c>
      <c r="E32" s="95">
        <f>'4. Utvilklingstiltak'!H52</f>
        <v>0</v>
      </c>
      <c r="F32" s="95">
        <f t="shared" ref="F32:F41" si="2">D32-E32</f>
        <v>0</v>
      </c>
      <c r="G32" s="95">
        <f>'4. Utvilklingstiltak'!J53</f>
        <v>0</v>
      </c>
      <c r="H32" s="104"/>
    </row>
    <row r="33" spans="1:8" x14ac:dyDescent="0.25">
      <c r="A33" s="46"/>
      <c r="B33" s="47">
        <v>42000</v>
      </c>
      <c r="C33" s="208" t="s">
        <v>59</v>
      </c>
      <c r="D33" s="94">
        <f>'4. Utvilklingstiltak'!L11</f>
        <v>0</v>
      </c>
      <c r="E33" s="95">
        <f>'4. Utvilklingstiltak'!L52</f>
        <v>0</v>
      </c>
      <c r="F33" s="95">
        <f t="shared" si="2"/>
        <v>0</v>
      </c>
      <c r="G33" s="95">
        <f>'4. Utvilklingstiltak'!N53</f>
        <v>0</v>
      </c>
      <c r="H33" s="104"/>
    </row>
    <row r="34" spans="1:8" x14ac:dyDescent="0.25">
      <c r="A34" s="46"/>
      <c r="B34" s="58">
        <v>42100</v>
      </c>
      <c r="C34" s="208" t="s">
        <v>265</v>
      </c>
      <c r="D34" s="94">
        <f>'4. Utvilklingstiltak'!T11</f>
        <v>0</v>
      </c>
      <c r="E34" s="95">
        <f>'4. Utvilklingstiltak'!T52</f>
        <v>41000</v>
      </c>
      <c r="F34" s="95">
        <f t="shared" si="2"/>
        <v>-41000</v>
      </c>
      <c r="G34" s="95">
        <f>'4. Utvilklingstiltak'!V53</f>
        <v>-24501.200000000001</v>
      </c>
      <c r="H34" s="104"/>
    </row>
    <row r="35" spans="1:8" x14ac:dyDescent="0.25">
      <c r="A35" s="46"/>
      <c r="B35" s="58">
        <v>42200</v>
      </c>
      <c r="C35" s="208" t="s">
        <v>283</v>
      </c>
      <c r="D35" s="94">
        <f>'4. Utvilklingstiltak'!X11</f>
        <v>0</v>
      </c>
      <c r="E35" s="95">
        <f>'4. Utvilklingstiltak'!X52</f>
        <v>31000</v>
      </c>
      <c r="F35" s="95">
        <f t="shared" si="2"/>
        <v>-31000</v>
      </c>
      <c r="G35" s="95">
        <f>'4. Utvilklingstiltak'!Z53</f>
        <v>0</v>
      </c>
      <c r="H35" s="104"/>
    </row>
    <row r="36" spans="1:8" x14ac:dyDescent="0.25">
      <c r="A36" s="46"/>
      <c r="B36" s="58">
        <v>42500</v>
      </c>
      <c r="C36" s="208" t="s">
        <v>194</v>
      </c>
      <c r="D36" s="94">
        <f>'4. Utvilklingstiltak'!P11</f>
        <v>35989</v>
      </c>
      <c r="E36" s="95">
        <f>'4. Utvilklingstiltak'!P52</f>
        <v>57041.603999999999</v>
      </c>
      <c r="F36" s="95">
        <f t="shared" si="2"/>
        <v>-21052.603999999999</v>
      </c>
      <c r="G36" s="95">
        <f>'4. Utvilklingstiltak'!R53</f>
        <v>-49500.039999999994</v>
      </c>
      <c r="H36" s="104"/>
    </row>
    <row r="37" spans="1:8" x14ac:dyDescent="0.25">
      <c r="A37" s="46"/>
      <c r="B37" s="58">
        <v>43000</v>
      </c>
      <c r="C37" s="208" t="s">
        <v>60</v>
      </c>
      <c r="D37" s="94">
        <f>'4. Utvilklingstiltak'!AB11</f>
        <v>0</v>
      </c>
      <c r="E37" s="95">
        <f>'4. Utvilklingstiltak'!AB52</f>
        <v>18000</v>
      </c>
      <c r="F37" s="95">
        <f t="shared" si="2"/>
        <v>-18000</v>
      </c>
      <c r="G37" s="95">
        <f>'4. Utvilklingstiltak'!AD53</f>
        <v>-15328.91</v>
      </c>
      <c r="H37" s="104"/>
    </row>
    <row r="38" spans="1:8" x14ac:dyDescent="0.25">
      <c r="A38" s="46"/>
      <c r="B38" s="58">
        <v>44000</v>
      </c>
      <c r="C38" s="208" t="s">
        <v>61</v>
      </c>
      <c r="D38" s="94">
        <f>'4. Utvilklingstiltak'!AF11</f>
        <v>0</v>
      </c>
      <c r="E38" s="95">
        <f>'4. Utvilklingstiltak'!AF52</f>
        <v>15000</v>
      </c>
      <c r="F38" s="95">
        <f t="shared" si="2"/>
        <v>-15000</v>
      </c>
      <c r="G38" s="95">
        <f>'4. Utvilklingstiltak'!AH53</f>
        <v>0</v>
      </c>
      <c r="H38" s="104"/>
    </row>
    <row r="39" spans="1:8" x14ac:dyDescent="0.25">
      <c r="A39" s="46"/>
      <c r="B39" s="58">
        <v>45000</v>
      </c>
      <c r="C39" s="208" t="s">
        <v>92</v>
      </c>
      <c r="D39" s="94">
        <f>'4. Utvilklingstiltak'!AJ11</f>
        <v>0</v>
      </c>
      <c r="E39" s="95">
        <f>'4. Utvilklingstiltak'!AJ52</f>
        <v>0</v>
      </c>
      <c r="F39" s="95">
        <f t="shared" si="2"/>
        <v>0</v>
      </c>
      <c r="G39" s="95">
        <f>'4. Utvilklingstiltak'!AL53</f>
        <v>0</v>
      </c>
      <c r="H39" s="104"/>
    </row>
    <row r="40" spans="1:8" x14ac:dyDescent="0.25">
      <c r="A40" s="46"/>
      <c r="B40" s="58">
        <v>46000</v>
      </c>
      <c r="C40" s="208" t="s">
        <v>62</v>
      </c>
      <c r="D40" s="94">
        <f>'4. Utvilklingstiltak'!AN11</f>
        <v>0</v>
      </c>
      <c r="E40" s="95">
        <f>'4. Utvilklingstiltak'!AN52</f>
        <v>10000</v>
      </c>
      <c r="F40" s="95">
        <f t="shared" si="2"/>
        <v>-10000</v>
      </c>
      <c r="G40" s="95">
        <f>'4. Utvilklingstiltak'!AP53</f>
        <v>-2770</v>
      </c>
      <c r="H40" s="104"/>
    </row>
    <row r="41" spans="1:8" x14ac:dyDescent="0.25">
      <c r="A41" s="46"/>
      <c r="B41" s="58">
        <v>46001</v>
      </c>
      <c r="C41" s="208" t="s">
        <v>247</v>
      </c>
      <c r="D41" s="94">
        <f>'4. Utvilklingstiltak'!AR11</f>
        <v>0</v>
      </c>
      <c r="E41" s="95">
        <f>'4. Utvilklingstiltak'!AR52</f>
        <v>30000</v>
      </c>
      <c r="F41" s="95">
        <f t="shared" si="2"/>
        <v>-30000</v>
      </c>
      <c r="G41" s="95">
        <f>'4. Utvilklingstiltak'!AT53</f>
        <v>-30000</v>
      </c>
      <c r="H41" s="104"/>
    </row>
    <row r="42" spans="1:8" ht="15.75" thickBot="1" x14ac:dyDescent="0.3">
      <c r="A42" s="46"/>
      <c r="B42" s="58"/>
      <c r="C42" s="208"/>
      <c r="D42" s="94"/>
      <c r="E42" s="95"/>
      <c r="F42" s="95"/>
      <c r="G42" s="96"/>
      <c r="H42" s="104"/>
    </row>
    <row r="43" spans="1:8" x14ac:dyDescent="0.25">
      <c r="A43" s="59" t="s">
        <v>94</v>
      </c>
      <c r="B43" s="262" t="s">
        <v>95</v>
      </c>
      <c r="C43" s="263"/>
      <c r="D43" s="91">
        <f>SUM(D44:D52)</f>
        <v>0</v>
      </c>
      <c r="E43" s="92">
        <f>SUM(E44:E52)</f>
        <v>74000</v>
      </c>
      <c r="F43" s="92">
        <f>D43-E43</f>
        <v>-74000</v>
      </c>
      <c r="G43" s="93">
        <f>SUM(G44:G51)</f>
        <v>-14413.93</v>
      </c>
      <c r="H43" s="106">
        <f>E43/E3</f>
        <v>3.0943989625074005E-2</v>
      </c>
    </row>
    <row r="44" spans="1:8" x14ac:dyDescent="0.25">
      <c r="A44" s="46"/>
      <c r="B44" s="47">
        <v>50000</v>
      </c>
      <c r="C44" s="208" t="s">
        <v>85</v>
      </c>
      <c r="D44" s="94">
        <f>'5 Klubbutvikling'!D11</f>
        <v>0</v>
      </c>
      <c r="E44" s="95">
        <f>'5 Klubbutvikling'!D51</f>
        <v>0</v>
      </c>
      <c r="F44" s="95">
        <f>D44-E44</f>
        <v>0</v>
      </c>
      <c r="G44" s="95">
        <f>'5 Klubbutvikling'!F52</f>
        <v>-1183.18</v>
      </c>
      <c r="H44" s="104"/>
    </row>
    <row r="45" spans="1:8" x14ac:dyDescent="0.25">
      <c r="A45" s="46"/>
      <c r="B45" s="47">
        <v>51000</v>
      </c>
      <c r="C45" s="208" t="s">
        <v>96</v>
      </c>
      <c r="D45" s="94">
        <f>'5 Klubbutvikling'!H11</f>
        <v>0</v>
      </c>
      <c r="E45" s="95">
        <f>'5 Klubbutvikling'!H51</f>
        <v>0</v>
      </c>
      <c r="F45" s="95">
        <f t="shared" ref="F45:F51" si="3">D45-E45</f>
        <v>0</v>
      </c>
      <c r="G45" s="95">
        <f>'5 Klubbutvikling'!J52</f>
        <v>0</v>
      </c>
      <c r="H45" s="104"/>
    </row>
    <row r="46" spans="1:8" x14ac:dyDescent="0.25">
      <c r="A46" s="46"/>
      <c r="B46" s="47">
        <v>52000</v>
      </c>
      <c r="C46" s="208" t="s">
        <v>62</v>
      </c>
      <c r="D46" s="94">
        <f>'5 Klubbutvikling'!L11</f>
        <v>0</v>
      </c>
      <c r="E46" s="95">
        <f>'5 Klubbutvikling'!L51</f>
        <v>0</v>
      </c>
      <c r="F46" s="95">
        <f t="shared" si="3"/>
        <v>0</v>
      </c>
      <c r="G46" s="95">
        <f>'5 Klubbutvikling'!N52</f>
        <v>0</v>
      </c>
      <c r="H46" s="104"/>
    </row>
    <row r="47" spans="1:8" ht="30" x14ac:dyDescent="0.25">
      <c r="A47" s="46"/>
      <c r="B47" s="58">
        <v>52100</v>
      </c>
      <c r="C47" s="208" t="s">
        <v>158</v>
      </c>
      <c r="D47" s="94">
        <f>'5 Klubbutvikling'!P11</f>
        <v>0</v>
      </c>
      <c r="E47" s="95">
        <f>'5 Klubbutvikling'!P51</f>
        <v>6000</v>
      </c>
      <c r="F47" s="95">
        <f t="shared" si="3"/>
        <v>-6000</v>
      </c>
      <c r="G47" s="95">
        <f>'5 Klubbutvikling'!R52</f>
        <v>-2800</v>
      </c>
      <c r="H47" s="104"/>
    </row>
    <row r="48" spans="1:8" ht="30" x14ac:dyDescent="0.25">
      <c r="A48" s="46"/>
      <c r="B48" s="58">
        <v>52200</v>
      </c>
      <c r="C48" s="208" t="s">
        <v>159</v>
      </c>
      <c r="D48" s="94">
        <f>'5 Klubbutvikling'!T11</f>
        <v>0</v>
      </c>
      <c r="E48" s="95">
        <f>'5 Klubbutvikling'!T51</f>
        <v>4000</v>
      </c>
      <c r="F48" s="95">
        <f t="shared" si="3"/>
        <v>-4000</v>
      </c>
      <c r="G48" s="95">
        <f>'5 Klubbutvikling'!V52</f>
        <v>-6000</v>
      </c>
      <c r="H48" s="104"/>
    </row>
    <row r="49" spans="1:8" x14ac:dyDescent="0.25">
      <c r="A49" s="46"/>
      <c r="B49" s="58">
        <v>52300</v>
      </c>
      <c r="C49" s="208" t="s">
        <v>162</v>
      </c>
      <c r="D49" s="94">
        <f>'5 Klubbutvikling'!X11</f>
        <v>0</v>
      </c>
      <c r="E49" s="95">
        <f>'5 Klubbutvikling'!X51</f>
        <v>24000</v>
      </c>
      <c r="F49" s="95">
        <f t="shared" si="3"/>
        <v>-24000</v>
      </c>
      <c r="G49" s="95">
        <f>'5 Klubbutvikling'!Z52</f>
        <v>16896</v>
      </c>
      <c r="H49" s="104"/>
    </row>
    <row r="50" spans="1:8" x14ac:dyDescent="0.25">
      <c r="A50" s="46"/>
      <c r="B50" s="47">
        <v>53000</v>
      </c>
      <c r="C50" s="208" t="s">
        <v>63</v>
      </c>
      <c r="D50" s="94">
        <f>'5 Klubbutvikling'!AB11</f>
        <v>0</v>
      </c>
      <c r="E50" s="95">
        <f>'5 Klubbutvikling'!AB51</f>
        <v>5000</v>
      </c>
      <c r="F50" s="95">
        <f t="shared" si="3"/>
        <v>-5000</v>
      </c>
      <c r="G50" s="95">
        <f>'5 Klubbutvikling'!AD52</f>
        <v>0</v>
      </c>
      <c r="H50" s="104"/>
    </row>
    <row r="51" spans="1:8" x14ac:dyDescent="0.25">
      <c r="A51" s="46"/>
      <c r="B51" s="47">
        <v>54000</v>
      </c>
      <c r="C51" s="208" t="s">
        <v>64</v>
      </c>
      <c r="D51" s="94">
        <f>'5 Klubbutvikling'!AF11</f>
        <v>0</v>
      </c>
      <c r="E51" s="95">
        <f>'5 Klubbutvikling'!AF51</f>
        <v>35000</v>
      </c>
      <c r="F51" s="95">
        <f t="shared" si="3"/>
        <v>-35000</v>
      </c>
      <c r="G51" s="95">
        <f>'5 Klubbutvikling'!AH52</f>
        <v>-21326.75</v>
      </c>
      <c r="H51" s="104"/>
    </row>
    <row r="52" spans="1:8" ht="15.75" thickBot="1" x14ac:dyDescent="0.3">
      <c r="A52" s="49"/>
      <c r="B52" s="50"/>
      <c r="C52" s="209"/>
      <c r="D52" s="97"/>
      <c r="E52" s="98"/>
      <c r="F52" s="98"/>
      <c r="G52" s="99"/>
      <c r="H52" s="105"/>
    </row>
    <row r="53" spans="1:8" x14ac:dyDescent="0.25">
      <c r="A53" s="59" t="s">
        <v>97</v>
      </c>
      <c r="B53" s="262" t="s">
        <v>98</v>
      </c>
      <c r="C53" s="263"/>
      <c r="D53" s="91">
        <f>SUM(D54:D63)</f>
        <v>0</v>
      </c>
      <c r="E53" s="92">
        <f>SUM(E54:E63)</f>
        <v>282002.59789199999</v>
      </c>
      <c r="F53" s="92">
        <f>D53-E53</f>
        <v>-282002.59789199999</v>
      </c>
      <c r="G53" s="93">
        <f>SUM(G54:G62)</f>
        <v>-149540.32999999999</v>
      </c>
      <c r="H53" s="106">
        <f>E53/E3</f>
        <v>0.11792277653262113</v>
      </c>
    </row>
    <row r="54" spans="1:8" x14ac:dyDescent="0.25">
      <c r="A54" s="46"/>
      <c r="B54" s="47">
        <v>60000</v>
      </c>
      <c r="C54" s="208" t="s">
        <v>85</v>
      </c>
      <c r="D54" s="94">
        <f>'6 Barn og Ungdom'!D11</f>
        <v>0</v>
      </c>
      <c r="E54" s="95">
        <f>'6 Barn og Ungdom'!D51</f>
        <v>112092.59789200001</v>
      </c>
      <c r="F54" s="95">
        <f>D54-E54</f>
        <v>-112092.59789200001</v>
      </c>
      <c r="G54" s="96">
        <f>'6 Barn og Ungdom'!F52</f>
        <v>-109533.9</v>
      </c>
      <c r="H54" s="104"/>
    </row>
    <row r="55" spans="1:8" x14ac:dyDescent="0.25">
      <c r="A55" s="46"/>
      <c r="B55" s="58">
        <v>61001</v>
      </c>
      <c r="C55" s="208" t="s">
        <v>253</v>
      </c>
      <c r="D55" s="94">
        <v>0</v>
      </c>
      <c r="E55" s="95">
        <v>0</v>
      </c>
      <c r="F55" s="95">
        <f t="shared" ref="F55:F62" si="4">D55-E55</f>
        <v>0</v>
      </c>
      <c r="G55" s="96">
        <v>-30993.43</v>
      </c>
      <c r="H55" s="104"/>
    </row>
    <row r="56" spans="1:8" x14ac:dyDescent="0.25">
      <c r="A56" s="46"/>
      <c r="B56" s="47">
        <v>61000</v>
      </c>
      <c r="C56" s="208" t="s">
        <v>99</v>
      </c>
      <c r="D56" s="94">
        <f>'6 Barn og Ungdom'!H11</f>
        <v>0</v>
      </c>
      <c r="E56" s="95">
        <f>'6 Barn og Ungdom'!H51</f>
        <v>89410</v>
      </c>
      <c r="F56" s="95">
        <f t="shared" si="4"/>
        <v>-89410</v>
      </c>
      <c r="G56" s="96">
        <f>'6 Barn og Ungdom'!J52</f>
        <v>0</v>
      </c>
      <c r="H56" s="104"/>
    </row>
    <row r="57" spans="1:8" x14ac:dyDescent="0.25">
      <c r="A57" s="46"/>
      <c r="B57" s="47">
        <v>62000</v>
      </c>
      <c r="C57" s="208" t="s">
        <v>100</v>
      </c>
      <c r="D57" s="94">
        <f>'6 Barn og Ungdom'!L11</f>
        <v>0</v>
      </c>
      <c r="E57" s="95">
        <f>'6 Barn og Ungdom'!L51</f>
        <v>18000</v>
      </c>
      <c r="F57" s="95">
        <f t="shared" si="4"/>
        <v>-18000</v>
      </c>
      <c r="G57" s="96">
        <f>'6 Barn og Ungdom'!N52</f>
        <v>0</v>
      </c>
      <c r="H57" s="104"/>
    </row>
    <row r="58" spans="1:8" x14ac:dyDescent="0.25">
      <c r="A58" s="46"/>
      <c r="B58" s="47">
        <v>63000</v>
      </c>
      <c r="C58" s="208" t="s">
        <v>65</v>
      </c>
      <c r="D58" s="94">
        <f>'6 Barn og Ungdom'!P11</f>
        <v>0</v>
      </c>
      <c r="E58" s="95">
        <f>'6 Barn og Ungdom'!P51</f>
        <v>0</v>
      </c>
      <c r="F58" s="95">
        <f t="shared" si="4"/>
        <v>0</v>
      </c>
      <c r="G58" s="96">
        <f>'6 Barn og Ungdom'!R52</f>
        <v>0</v>
      </c>
      <c r="H58" s="104"/>
    </row>
    <row r="59" spans="1:8" x14ac:dyDescent="0.25">
      <c r="A59" s="46"/>
      <c r="B59" s="47">
        <v>63001</v>
      </c>
      <c r="C59" s="208" t="s">
        <v>244</v>
      </c>
      <c r="D59" s="94">
        <f>'6 Barn og Ungdom'!T11</f>
        <v>0</v>
      </c>
      <c r="E59" s="95">
        <f>'6 Barn og Ungdom'!T51</f>
        <v>10000</v>
      </c>
      <c r="F59" s="95">
        <f t="shared" si="4"/>
        <v>-10000</v>
      </c>
      <c r="G59" s="96">
        <v>0</v>
      </c>
      <c r="H59" s="104"/>
    </row>
    <row r="60" spans="1:8" x14ac:dyDescent="0.25">
      <c r="A60" s="46"/>
      <c r="B60" s="58">
        <v>63002</v>
      </c>
      <c r="C60" s="208" t="s">
        <v>301</v>
      </c>
      <c r="D60" s="94">
        <f>'6 Barn og Ungdom'!X11</f>
        <v>0</v>
      </c>
      <c r="E60" s="95">
        <f>'6 Barn og Ungdom'!X51</f>
        <v>10000</v>
      </c>
      <c r="F60" s="95">
        <f t="shared" si="4"/>
        <v>-10000</v>
      </c>
      <c r="G60" s="96">
        <v>0</v>
      </c>
      <c r="H60" s="104"/>
    </row>
    <row r="61" spans="1:8" x14ac:dyDescent="0.25">
      <c r="A61" s="46"/>
      <c r="B61" s="47">
        <v>64000</v>
      </c>
      <c r="C61" s="208" t="s">
        <v>80</v>
      </c>
      <c r="D61" s="94">
        <f>'6 Barn og Ungdom'!AB11</f>
        <v>0</v>
      </c>
      <c r="E61" s="95">
        <f>'6 Barn og Ungdom'!AB51</f>
        <v>22500</v>
      </c>
      <c r="F61" s="95">
        <f t="shared" si="4"/>
        <v>-22500</v>
      </c>
      <c r="G61" s="96">
        <f>'6 Barn og Ungdom'!AD52</f>
        <v>-9013</v>
      </c>
      <c r="H61" s="104"/>
    </row>
    <row r="62" spans="1:8" x14ac:dyDescent="0.25">
      <c r="A62" s="46"/>
      <c r="B62" s="47">
        <v>65000</v>
      </c>
      <c r="C62" s="208" t="s">
        <v>66</v>
      </c>
      <c r="D62" s="94">
        <f>'6 Barn og Ungdom'!AF11</f>
        <v>0</v>
      </c>
      <c r="E62" s="95">
        <f>'6 Barn og Ungdom'!AF51</f>
        <v>20000</v>
      </c>
      <c r="F62" s="95">
        <f t="shared" si="4"/>
        <v>-20000</v>
      </c>
      <c r="G62" s="96">
        <f>'6 Barn og Ungdom'!AH52</f>
        <v>0</v>
      </c>
      <c r="H62" s="104"/>
    </row>
    <row r="63" spans="1:8" ht="15.75" thickBot="1" x14ac:dyDescent="0.3">
      <c r="A63" s="46"/>
      <c r="B63" s="47"/>
      <c r="C63" s="208"/>
      <c r="D63" s="94"/>
      <c r="E63" s="95"/>
      <c r="F63" s="95"/>
      <c r="G63" s="96"/>
      <c r="H63" s="104"/>
    </row>
    <row r="64" spans="1:8" x14ac:dyDescent="0.25">
      <c r="A64" s="59" t="s">
        <v>101</v>
      </c>
      <c r="B64" s="262" t="s">
        <v>102</v>
      </c>
      <c r="C64" s="263"/>
      <c r="D64" s="91">
        <f>SUM(D65:D74)</f>
        <v>186000</v>
      </c>
      <c r="E64" s="92">
        <f>SUM(E65:E74)</f>
        <v>430227.103856</v>
      </c>
      <c r="F64" s="92">
        <f>D64-E64</f>
        <v>-244227.103856</v>
      </c>
      <c r="G64" s="93">
        <f>SUM(G65:G72)</f>
        <v>-193138.94999999998</v>
      </c>
      <c r="H64" s="106">
        <f>E64/E3</f>
        <v>0.17990463565061757</v>
      </c>
    </row>
    <row r="65" spans="1:11" x14ac:dyDescent="0.25">
      <c r="A65" s="46"/>
      <c r="B65" s="47">
        <v>70000</v>
      </c>
      <c r="C65" s="208" t="s">
        <v>85</v>
      </c>
      <c r="D65" s="94">
        <f>'7 Konkurranse'!D15</f>
        <v>130500</v>
      </c>
      <c r="E65" s="95">
        <f>'7 Konkurranse'!D58</f>
        <v>40992</v>
      </c>
      <c r="F65" s="95">
        <f>D65-E65</f>
        <v>89508</v>
      </c>
      <c r="G65" s="96">
        <f>'7 Konkurranse'!F59</f>
        <v>-141769.29999999999</v>
      </c>
      <c r="H65" s="104"/>
    </row>
    <row r="66" spans="1:11" x14ac:dyDescent="0.25">
      <c r="A66" s="46"/>
      <c r="B66" s="47">
        <v>71000</v>
      </c>
      <c r="C66" s="208" t="s">
        <v>81</v>
      </c>
      <c r="D66" s="94">
        <f>'7 Konkurranse'!H15</f>
        <v>30500</v>
      </c>
      <c r="E66" s="95">
        <f>'7 Konkurranse'!H58</f>
        <v>266641.223856</v>
      </c>
      <c r="F66" s="95">
        <f t="shared" ref="F66:F72" si="5">D66-E66</f>
        <v>-236141.223856</v>
      </c>
      <c r="G66" s="96">
        <f>'7 Konkurranse'!J59</f>
        <v>37970.550000000003</v>
      </c>
      <c r="H66" s="104"/>
    </row>
    <row r="67" spans="1:11" x14ac:dyDescent="0.25">
      <c r="A67" s="46"/>
      <c r="B67" s="47">
        <v>71100</v>
      </c>
      <c r="C67" s="208" t="s">
        <v>243</v>
      </c>
      <c r="D67" s="94">
        <f>'7 Konkurranse'!L15</f>
        <v>12500</v>
      </c>
      <c r="E67" s="95">
        <f>'7 Konkurranse'!L58</f>
        <v>51345</v>
      </c>
      <c r="F67" s="95">
        <f t="shared" si="5"/>
        <v>-38845</v>
      </c>
      <c r="G67" s="96">
        <f>'7 Konkurranse'!N59</f>
        <v>-86643.7</v>
      </c>
      <c r="H67" s="104"/>
      <c r="I67" s="83"/>
      <c r="J67" s="83"/>
      <c r="K67" s="83"/>
    </row>
    <row r="68" spans="1:11" x14ac:dyDescent="0.25">
      <c r="A68" s="46"/>
      <c r="B68" s="58">
        <v>71200</v>
      </c>
      <c r="C68" s="208" t="s">
        <v>242</v>
      </c>
      <c r="D68" s="94">
        <f>'7 Konkurranse'!P15</f>
        <v>12500</v>
      </c>
      <c r="E68" s="95">
        <f>'7 Konkurranse'!P58</f>
        <v>39113.480000000003</v>
      </c>
      <c r="F68" s="95">
        <f t="shared" si="5"/>
        <v>-26613.480000000003</v>
      </c>
      <c r="G68" s="96">
        <f>'7 Konkurranse'!R59</f>
        <v>6000</v>
      </c>
      <c r="H68" s="104"/>
      <c r="I68" s="83"/>
      <c r="J68" s="83"/>
      <c r="K68" s="83"/>
    </row>
    <row r="69" spans="1:11" x14ac:dyDescent="0.25">
      <c r="A69" s="46"/>
      <c r="B69" s="58">
        <v>71300</v>
      </c>
      <c r="C69" s="210" t="s">
        <v>130</v>
      </c>
      <c r="D69" s="94">
        <f>'7 Konkurranse'!T15</f>
        <v>0</v>
      </c>
      <c r="E69" s="95">
        <f>'7 Konkurranse'!T58</f>
        <v>13007.4</v>
      </c>
      <c r="F69" s="95">
        <f t="shared" si="5"/>
        <v>-13007.4</v>
      </c>
      <c r="G69" s="96">
        <f>'7 Konkurranse'!V59</f>
        <v>0</v>
      </c>
      <c r="H69" s="104"/>
      <c r="I69" s="83"/>
      <c r="J69" s="83"/>
      <c r="K69" s="83"/>
    </row>
    <row r="70" spans="1:11" x14ac:dyDescent="0.25">
      <c r="A70" s="46"/>
      <c r="B70" s="58">
        <v>71400</v>
      </c>
      <c r="C70" s="210" t="s">
        <v>131</v>
      </c>
      <c r="D70" s="94">
        <f>'7 Konkurranse'!X15</f>
        <v>0</v>
      </c>
      <c r="E70" s="95">
        <f>'7 Konkurranse'!X58</f>
        <v>13423</v>
      </c>
      <c r="F70" s="95">
        <f t="shared" si="5"/>
        <v>-13423</v>
      </c>
      <c r="G70" s="96">
        <f>'7 Konkurranse'!Z59</f>
        <v>-4884.5</v>
      </c>
      <c r="H70" s="104"/>
      <c r="I70" s="83"/>
      <c r="J70" s="83"/>
      <c r="K70" s="83"/>
    </row>
    <row r="71" spans="1:11" x14ac:dyDescent="0.25">
      <c r="A71" s="46"/>
      <c r="B71" s="58">
        <v>71500</v>
      </c>
      <c r="C71" s="210" t="s">
        <v>132</v>
      </c>
      <c r="D71" s="94">
        <f>'7 Konkurranse'!AB15</f>
        <v>0</v>
      </c>
      <c r="E71" s="95">
        <f>'7 Konkurranse'!AB58</f>
        <v>5705</v>
      </c>
      <c r="F71" s="95">
        <f t="shared" si="5"/>
        <v>-5705</v>
      </c>
      <c r="G71" s="96">
        <f>'7 Konkurranse'!AD59</f>
        <v>-3812</v>
      </c>
      <c r="H71" s="104"/>
      <c r="I71" s="83"/>
      <c r="J71" s="83"/>
      <c r="K71" s="83"/>
    </row>
    <row r="72" spans="1:11" x14ac:dyDescent="0.25">
      <c r="A72" s="46"/>
      <c r="B72" s="58">
        <v>71600</v>
      </c>
      <c r="C72" s="210" t="s">
        <v>133</v>
      </c>
      <c r="D72" s="94">
        <f>'7 Konkurranse'!AF15</f>
        <v>0</v>
      </c>
      <c r="E72" s="95">
        <f>'7 Konkurranse'!AF58</f>
        <v>0</v>
      </c>
      <c r="F72" s="95">
        <f t="shared" si="5"/>
        <v>0</v>
      </c>
      <c r="G72" s="96">
        <f>0</f>
        <v>0</v>
      </c>
      <c r="H72" s="104"/>
      <c r="I72" s="83"/>
      <c r="J72" s="83"/>
      <c r="K72" s="83"/>
    </row>
    <row r="73" spans="1:11" x14ac:dyDescent="0.25">
      <c r="A73" s="46"/>
      <c r="B73" s="47"/>
      <c r="C73" s="208"/>
      <c r="D73" s="94"/>
      <c r="E73" s="95"/>
      <c r="F73" s="95"/>
      <c r="G73" s="96"/>
      <c r="H73" s="104"/>
      <c r="I73" s="83"/>
      <c r="J73" s="83"/>
      <c r="K73" s="83"/>
    </row>
    <row r="74" spans="1:11" ht="15.75" thickBot="1" x14ac:dyDescent="0.3">
      <c r="A74" s="49"/>
      <c r="B74" s="50"/>
      <c r="C74" s="209"/>
      <c r="D74" s="97"/>
      <c r="E74" s="98"/>
      <c r="F74" s="98"/>
      <c r="G74" s="99"/>
      <c r="H74" s="105"/>
    </row>
    <row r="75" spans="1:11" x14ac:dyDescent="0.25">
      <c r="A75" s="59" t="s">
        <v>103</v>
      </c>
      <c r="B75" s="262" t="s">
        <v>105</v>
      </c>
      <c r="C75" s="263"/>
      <c r="D75" s="91">
        <f>SUM(D76:D83)</f>
        <v>74000</v>
      </c>
      <c r="E75" s="92">
        <f>SUM(E76:E83)</f>
        <v>422184.4</v>
      </c>
      <c r="F75" s="92">
        <f>D75-E75</f>
        <v>-348184.4</v>
      </c>
      <c r="G75" s="93">
        <f>SUM(G76:G82)</f>
        <v>-538578.09190914</v>
      </c>
      <c r="H75" s="106">
        <f>E75/E3</f>
        <v>0.17654148234416345</v>
      </c>
    </row>
    <row r="76" spans="1:11" x14ac:dyDescent="0.25">
      <c r="A76" s="46"/>
      <c r="B76" s="47">
        <v>80000</v>
      </c>
      <c r="C76" s="208" t="s">
        <v>85</v>
      </c>
      <c r="D76" s="94">
        <f>'8 Eliteaktivitet'!D11</f>
        <v>0</v>
      </c>
      <c r="E76" s="95">
        <f>'8 Eliteaktivitet'!D51</f>
        <v>8134</v>
      </c>
      <c r="F76" s="95">
        <f>D76-E76</f>
        <v>-8134</v>
      </c>
      <c r="G76" s="96">
        <v>3000</v>
      </c>
      <c r="H76" s="104"/>
    </row>
    <row r="77" spans="1:11" ht="30" x14ac:dyDescent="0.25">
      <c r="A77" s="46"/>
      <c r="B77" s="47">
        <v>81000</v>
      </c>
      <c r="C77" s="208" t="s">
        <v>257</v>
      </c>
      <c r="D77" s="94">
        <f>'8 Eliteaktivitet'!H11</f>
        <v>0</v>
      </c>
      <c r="E77" s="95">
        <f>'8 Eliteaktivitet'!H51</f>
        <v>141456.96000000002</v>
      </c>
      <c r="F77" s="95">
        <f t="shared" ref="F77:F82" si="6">D77-E77</f>
        <v>-141456.96000000002</v>
      </c>
      <c r="G77" s="96">
        <v>-223881.28623621602</v>
      </c>
      <c r="H77" s="104"/>
    </row>
    <row r="78" spans="1:11" ht="30" x14ac:dyDescent="0.25">
      <c r="A78" s="46"/>
      <c r="B78" s="47">
        <v>81100</v>
      </c>
      <c r="C78" s="208" t="s">
        <v>255</v>
      </c>
      <c r="D78" s="94">
        <f>'8 Eliteaktivitet'!L11</f>
        <v>46500</v>
      </c>
      <c r="E78" s="95">
        <f>'8 Eliteaktivitet'!L51</f>
        <v>129900</v>
      </c>
      <c r="F78" s="95">
        <f t="shared" ref="F78" si="7">D78-E78</f>
        <v>-83400</v>
      </c>
      <c r="G78" s="96">
        <v>-11357</v>
      </c>
      <c r="H78" s="104"/>
    </row>
    <row r="79" spans="1:11" ht="30" x14ac:dyDescent="0.25">
      <c r="A79" s="46"/>
      <c r="B79" s="58">
        <v>81200</v>
      </c>
      <c r="C79" s="208" t="s">
        <v>256</v>
      </c>
      <c r="D79" s="94">
        <v>0</v>
      </c>
      <c r="E79" s="95">
        <v>0</v>
      </c>
      <c r="F79" s="95">
        <v>0</v>
      </c>
      <c r="G79" s="96">
        <v>-35130.479999999996</v>
      </c>
      <c r="H79" s="104"/>
    </row>
    <row r="80" spans="1:11" x14ac:dyDescent="0.25">
      <c r="A80" s="46"/>
      <c r="B80" s="47">
        <v>82000</v>
      </c>
      <c r="C80" s="208" t="s">
        <v>258</v>
      </c>
      <c r="D80" s="94">
        <f>'8 Eliteaktivitet'!P11</f>
        <v>27500</v>
      </c>
      <c r="E80" s="95">
        <f>'8 Eliteaktivitet'!P51</f>
        <v>41493.440000000002</v>
      </c>
      <c r="F80" s="95">
        <f t="shared" si="6"/>
        <v>-13993.440000000002</v>
      </c>
      <c r="G80" s="96">
        <v>-168151.94567292399</v>
      </c>
      <c r="H80" s="104"/>
    </row>
    <row r="81" spans="1:8" ht="30" x14ac:dyDescent="0.25">
      <c r="A81" s="46"/>
      <c r="B81" s="47">
        <v>82100</v>
      </c>
      <c r="C81" s="208" t="s">
        <v>259</v>
      </c>
      <c r="D81" s="94">
        <f>'8 Eliteaktivitet'!T11</f>
        <v>0</v>
      </c>
      <c r="E81" s="95">
        <f>'8 Eliteaktivitet'!T51</f>
        <v>101200</v>
      </c>
      <c r="F81" s="95">
        <f t="shared" si="6"/>
        <v>-101200</v>
      </c>
      <c r="G81" s="96">
        <v>-26922.35</v>
      </c>
      <c r="H81" s="104"/>
    </row>
    <row r="82" spans="1:8" x14ac:dyDescent="0.25">
      <c r="A82" s="46"/>
      <c r="B82" s="47">
        <v>82200</v>
      </c>
      <c r="C82" s="208" t="s">
        <v>260</v>
      </c>
      <c r="D82" s="94">
        <f>'8 Eliteaktivitet'!X11</f>
        <v>0</v>
      </c>
      <c r="E82" s="95">
        <f>'8 Eliteaktivitet'!X51</f>
        <v>0</v>
      </c>
      <c r="F82" s="95">
        <f t="shared" si="6"/>
        <v>0</v>
      </c>
      <c r="G82" s="96">
        <v>-76135.03</v>
      </c>
      <c r="H82" s="104"/>
    </row>
    <row r="83" spans="1:8" ht="15.75" thickBot="1" x14ac:dyDescent="0.3">
      <c r="A83" s="46"/>
      <c r="B83" s="47"/>
      <c r="C83" s="208"/>
      <c r="D83" s="94"/>
      <c r="E83" s="95"/>
      <c r="F83" s="95"/>
      <c r="G83" s="96"/>
      <c r="H83" s="104"/>
    </row>
    <row r="84" spans="1:8" x14ac:dyDescent="0.25">
      <c r="A84" s="59" t="s">
        <v>104</v>
      </c>
      <c r="B84" s="262" t="s">
        <v>106</v>
      </c>
      <c r="C84" s="263"/>
      <c r="D84" s="91">
        <f>SUM(D85:D88)</f>
        <v>0</v>
      </c>
      <c r="E84" s="92">
        <f>SUM(E85:E88)</f>
        <v>250000</v>
      </c>
      <c r="F84" s="92">
        <f>D84-E84</f>
        <v>-250000</v>
      </c>
      <c r="G84" s="93">
        <f>SUM(G85:G88)</f>
        <v>-300507.32</v>
      </c>
      <c r="H84" s="106">
        <f>E84/E3</f>
        <v>0.10454050549011489</v>
      </c>
    </row>
    <row r="85" spans="1:8" x14ac:dyDescent="0.25">
      <c r="A85" s="46"/>
      <c r="B85" s="47">
        <v>90000</v>
      </c>
      <c r="C85" s="208" t="s">
        <v>85</v>
      </c>
      <c r="D85" s="95">
        <f>'9 Anlegg og infrastruktur'!D11</f>
        <v>0</v>
      </c>
      <c r="E85" s="94">
        <f>'9 Anlegg og infrastruktur'!D52</f>
        <v>0</v>
      </c>
      <c r="F85" s="95">
        <f>D85-E85</f>
        <v>0</v>
      </c>
      <c r="G85" s="96">
        <v>-3100.82</v>
      </c>
      <c r="H85" s="104"/>
    </row>
    <row r="86" spans="1:8" x14ac:dyDescent="0.25">
      <c r="A86" s="46"/>
      <c r="B86" s="47">
        <v>91000</v>
      </c>
      <c r="C86" s="208" t="s">
        <v>69</v>
      </c>
      <c r="D86" s="95">
        <f>'9 Anlegg og infrastruktur'!H11</f>
        <v>0</v>
      </c>
      <c r="E86" s="95">
        <f>'9 Anlegg og infrastruktur'!H52</f>
        <v>250000</v>
      </c>
      <c r="F86" s="95">
        <f>D86-E86</f>
        <v>-250000</v>
      </c>
      <c r="G86" s="96">
        <v>-297406.5</v>
      </c>
      <c r="H86" s="104"/>
    </row>
    <row r="87" spans="1:8" x14ac:dyDescent="0.25">
      <c r="A87" s="46"/>
      <c r="B87" s="58">
        <v>92000</v>
      </c>
      <c r="C87" s="208" t="s">
        <v>193</v>
      </c>
      <c r="D87" s="94">
        <f>'9 Anlegg og infrastruktur'!L11</f>
        <v>0</v>
      </c>
      <c r="E87" s="95">
        <f>'9 Anlegg og infrastruktur'!L52</f>
        <v>0</v>
      </c>
      <c r="F87" s="95">
        <f>D87-E87</f>
        <v>0</v>
      </c>
      <c r="G87" s="96"/>
      <c r="H87" s="104"/>
    </row>
    <row r="88" spans="1:8" ht="15.75" thickBot="1" x14ac:dyDescent="0.3">
      <c r="A88" s="49"/>
      <c r="B88" s="50"/>
      <c r="C88" s="209"/>
      <c r="D88" s="97"/>
      <c r="E88" s="98"/>
      <c r="F88" s="98"/>
      <c r="G88" s="99"/>
      <c r="H88" s="105"/>
    </row>
    <row r="91" spans="1:8" x14ac:dyDescent="0.25">
      <c r="F91" s="110"/>
    </row>
  </sheetData>
  <sheetProtection algorithmName="SHA-512" hashValue="FMrvZQrbzeWvIXEFUV79NkIdd1kvVJAPJSm4RkewCPXnOQi3G0aH14Q2ghDrlYhf2BVOjA/O8TdIFzJ8MiOHQw==" saltValue="aCN1LoIzojCJz5vygLzInA==" spinCount="100000" sheet="1" objects="1" scenarios="1"/>
  <mergeCells count="9">
    <mergeCell ref="B84:C84"/>
    <mergeCell ref="B75:C75"/>
    <mergeCell ref="B64:C64"/>
    <mergeCell ref="B6:C6"/>
    <mergeCell ref="B18:C18"/>
    <mergeCell ref="B23:C23"/>
    <mergeCell ref="B30:C30"/>
    <mergeCell ref="B43:C43"/>
    <mergeCell ref="B53:C5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64"/>
  <sheetViews>
    <sheetView zoomScale="70" zoomScaleNormal="70" workbookViewId="0">
      <selection activeCell="J64" sqref="J64"/>
    </sheetView>
  </sheetViews>
  <sheetFormatPr baseColWidth="10" defaultColWidth="11.5703125" defaultRowHeight="15" x14ac:dyDescent="0.25"/>
  <cols>
    <col min="1" max="1" width="6.42578125" bestFit="1" customWidth="1"/>
    <col min="2" max="2" width="37.85546875" bestFit="1" customWidth="1"/>
    <col min="3" max="3" width="16.42578125" bestFit="1" customWidth="1"/>
    <col min="4" max="4" width="14.85546875" bestFit="1" customWidth="1"/>
    <col min="5" max="6" width="15.5703125" bestFit="1" customWidth="1"/>
    <col min="7" max="7" width="14.85546875" bestFit="1" customWidth="1"/>
    <col min="8" max="8" width="16" bestFit="1" customWidth="1"/>
    <col min="9" max="9" width="15.7109375" bestFit="1" customWidth="1"/>
    <col min="10" max="10" width="15.5703125" bestFit="1" customWidth="1"/>
    <col min="11" max="11" width="16" bestFit="1" customWidth="1"/>
    <col min="12" max="12" width="16.5703125" bestFit="1" customWidth="1"/>
  </cols>
  <sheetData>
    <row r="2" spans="1:12" thickBot="1" x14ac:dyDescent="0.35"/>
    <row r="3" spans="1:12" thickBot="1" x14ac:dyDescent="0.35">
      <c r="A3" s="4" t="s">
        <v>0</v>
      </c>
      <c r="B3" s="24" t="s">
        <v>47</v>
      </c>
      <c r="C3" s="150" t="s">
        <v>196</v>
      </c>
      <c r="D3" s="150" t="s">
        <v>197</v>
      </c>
      <c r="E3" s="150" t="s">
        <v>198</v>
      </c>
      <c r="F3" s="150" t="s">
        <v>199</v>
      </c>
      <c r="G3" s="150" t="s">
        <v>200</v>
      </c>
      <c r="H3" s="150" t="s">
        <v>201</v>
      </c>
      <c r="I3" s="150" t="s">
        <v>204</v>
      </c>
      <c r="J3" s="150" t="s">
        <v>202</v>
      </c>
      <c r="K3" s="150" t="s">
        <v>203</v>
      </c>
      <c r="L3" s="150" t="s">
        <v>52</v>
      </c>
    </row>
    <row r="4" spans="1:12" thickBot="1" x14ac:dyDescent="0.35">
      <c r="A4" s="7">
        <v>3010</v>
      </c>
      <c r="B4" s="8" t="s">
        <v>148</v>
      </c>
      <c r="C4" s="149"/>
      <c r="D4" s="149"/>
      <c r="E4" s="149"/>
      <c r="F4" s="149"/>
      <c r="G4" s="149"/>
      <c r="H4" s="149"/>
      <c r="I4" s="149">
        <f>'7 Konkurranse'!AN4</f>
        <v>65000</v>
      </c>
      <c r="J4" s="149"/>
      <c r="K4" s="149"/>
      <c r="L4" s="131">
        <f>SUM(C4:K4)</f>
        <v>65000</v>
      </c>
    </row>
    <row r="5" spans="1:12" thickBot="1" x14ac:dyDescent="0.35">
      <c r="A5" s="7">
        <v>3011</v>
      </c>
      <c r="B5" s="8" t="s">
        <v>149</v>
      </c>
      <c r="C5" s="147"/>
      <c r="D5" s="147"/>
      <c r="E5" s="147"/>
      <c r="F5" s="147"/>
      <c r="G5" s="147"/>
      <c r="H5" s="147"/>
      <c r="I5" s="147">
        <f>'7 Konkurranse'!AN5</f>
        <v>23000</v>
      </c>
      <c r="J5" s="147"/>
      <c r="K5" s="147"/>
      <c r="L5" s="131">
        <f t="shared" ref="L5:L63" si="0">SUM(C5:K5)</f>
        <v>23000</v>
      </c>
    </row>
    <row r="6" spans="1:12" thickBot="1" x14ac:dyDescent="0.35">
      <c r="A6" s="7">
        <v>3016</v>
      </c>
      <c r="B6" s="8" t="s">
        <v>150</v>
      </c>
      <c r="C6" s="147"/>
      <c r="D6" s="147"/>
      <c r="E6" s="147"/>
      <c r="F6" s="147"/>
      <c r="G6" s="147"/>
      <c r="H6" s="147"/>
      <c r="I6" s="147">
        <f>'7 Konkurranse'!AN6</f>
        <v>67500</v>
      </c>
      <c r="J6" s="147"/>
      <c r="K6" s="147"/>
      <c r="L6" s="131">
        <f t="shared" si="0"/>
        <v>67500</v>
      </c>
    </row>
    <row r="7" spans="1:12" thickBot="1" x14ac:dyDescent="0.35">
      <c r="A7" s="7">
        <v>3017</v>
      </c>
      <c r="B7" s="8" t="s">
        <v>151</v>
      </c>
      <c r="C7" s="147"/>
      <c r="D7" s="147"/>
      <c r="E7" s="147"/>
      <c r="F7" s="147"/>
      <c r="G7" s="147"/>
      <c r="H7" s="147"/>
      <c r="I7" s="147">
        <f>'7 Konkurranse'!AN7</f>
        <v>0</v>
      </c>
      <c r="J7" s="147"/>
      <c r="K7" s="147"/>
      <c r="L7" s="131">
        <f t="shared" si="0"/>
        <v>0</v>
      </c>
    </row>
    <row r="8" spans="1:12" thickBot="1" x14ac:dyDescent="0.35">
      <c r="A8" s="7">
        <v>3100</v>
      </c>
      <c r="B8" s="23" t="s">
        <v>3</v>
      </c>
      <c r="C8" s="147">
        <f>'1 Administrasjon'!AQ4</f>
        <v>0</v>
      </c>
      <c r="D8" s="147">
        <f>'2 Ekstern kommunikasjon'!X4</f>
        <v>0</v>
      </c>
      <c r="E8" s="147">
        <f>'3 Forbundsutvikling'!AB4</f>
        <v>0</v>
      </c>
      <c r="F8" s="147">
        <f>'4. Utvilklingstiltak'!AZ4</f>
        <v>7889</v>
      </c>
      <c r="G8" s="147">
        <f>'5 Klubbutvikling'!AN4</f>
        <v>0</v>
      </c>
      <c r="H8" s="147">
        <f>'6 Barn og Ungdom'!AN4</f>
        <v>0</v>
      </c>
      <c r="I8" s="147">
        <f>'7 Konkurranse'!AN8</f>
        <v>30500</v>
      </c>
      <c r="J8" s="147">
        <f>'8 Eliteaktivitet'!AR4</f>
        <v>0</v>
      </c>
      <c r="K8" s="147">
        <f>'9 Anlegg og infrastruktur'!X4</f>
        <v>0</v>
      </c>
      <c r="L8" s="131">
        <f t="shared" si="0"/>
        <v>38389</v>
      </c>
    </row>
    <row r="9" spans="1:12" thickBot="1" x14ac:dyDescent="0.35">
      <c r="A9" s="7">
        <v>3120</v>
      </c>
      <c r="B9" s="8" t="s">
        <v>4</v>
      </c>
      <c r="C9" s="147">
        <f>'1 Administrasjon'!AQ5</f>
        <v>0</v>
      </c>
      <c r="D9" s="147">
        <f>'2 Ekstern kommunikasjon'!X5</f>
        <v>0</v>
      </c>
      <c r="E9" s="147">
        <f>'3 Forbundsutvikling'!AB5</f>
        <v>0</v>
      </c>
      <c r="F9" s="147">
        <f>'4. Utvilklingstiltak'!AZ5</f>
        <v>0</v>
      </c>
      <c r="G9" s="147">
        <f>'5 Klubbutvikling'!AN5</f>
        <v>0</v>
      </c>
      <c r="H9" s="147">
        <f>'6 Barn og Ungdom'!AN5</f>
        <v>0</v>
      </c>
      <c r="I9" s="147">
        <f>'7 Konkurranse'!AN9</f>
        <v>0</v>
      </c>
      <c r="J9" s="147">
        <f>'8 Eliteaktivitet'!AR5</f>
        <v>5000</v>
      </c>
      <c r="K9" s="147">
        <f>'9 Anlegg og infrastruktur'!X5</f>
        <v>0</v>
      </c>
      <c r="L9" s="131">
        <f t="shared" si="0"/>
        <v>5000</v>
      </c>
    </row>
    <row r="10" spans="1:12" ht="15.75" thickBot="1" x14ac:dyDescent="0.3">
      <c r="A10" s="7">
        <v>3400</v>
      </c>
      <c r="B10" s="8" t="s">
        <v>5</v>
      </c>
      <c r="C10" s="147">
        <f>'1 Administrasjon'!AQ6</f>
        <v>700000</v>
      </c>
      <c r="D10" s="147">
        <f>'2 Ekstern kommunikasjon'!X6</f>
        <v>0</v>
      </c>
      <c r="E10" s="147">
        <f>'3 Forbundsutvikling'!AB6</f>
        <v>0</v>
      </c>
      <c r="F10" s="147">
        <f>'4. Utvilklingstiltak'!AZ6</f>
        <v>0</v>
      </c>
      <c r="G10" s="147">
        <f>'5 Klubbutvikling'!AN6</f>
        <v>0</v>
      </c>
      <c r="H10" s="147">
        <f>'6 Barn og Ungdom'!AN6</f>
        <v>0</v>
      </c>
      <c r="I10" s="147">
        <f>'7 Konkurranse'!AN10</f>
        <v>0</v>
      </c>
      <c r="J10" s="147">
        <f>'8 Eliteaktivitet'!AR6</f>
        <v>0</v>
      </c>
      <c r="K10" s="147">
        <f>'9 Anlegg og infrastruktur'!X6</f>
        <v>0</v>
      </c>
      <c r="L10" s="131">
        <f t="shared" si="0"/>
        <v>700000</v>
      </c>
    </row>
    <row r="11" spans="1:12" ht="15.75" thickBot="1" x14ac:dyDescent="0.3">
      <c r="A11" s="7">
        <v>3410</v>
      </c>
      <c r="B11" s="8" t="s">
        <v>6</v>
      </c>
      <c r="C11" s="147">
        <f>'1 Administrasjon'!AQ7</f>
        <v>730000</v>
      </c>
      <c r="D11" s="147">
        <f>'2 Ekstern kommunikasjon'!X7</f>
        <v>0</v>
      </c>
      <c r="E11" s="147">
        <f>'3 Forbundsutvikling'!AB7</f>
        <v>0</v>
      </c>
      <c r="F11" s="147">
        <f>'4. Utvilklingstiltak'!AZ7</f>
        <v>0</v>
      </c>
      <c r="G11" s="147">
        <f>'5 Klubbutvikling'!AN7</f>
        <v>0</v>
      </c>
      <c r="H11" s="147">
        <f>'6 Barn og Ungdom'!AN7</f>
        <v>0</v>
      </c>
      <c r="I11" s="147">
        <f>'7 Konkurranse'!AN11</f>
        <v>0</v>
      </c>
      <c r="J11" s="147">
        <f>'8 Eliteaktivitet'!AR7</f>
        <v>0</v>
      </c>
      <c r="K11" s="147">
        <f>'9 Anlegg og infrastruktur'!X7</f>
        <v>0</v>
      </c>
      <c r="L11" s="131">
        <f t="shared" si="0"/>
        <v>730000</v>
      </c>
    </row>
    <row r="12" spans="1:12" hidden="1" thickBot="1" x14ac:dyDescent="0.35">
      <c r="A12" s="7">
        <v>3900</v>
      </c>
      <c r="B12" s="8" t="s">
        <v>7</v>
      </c>
      <c r="C12" s="147">
        <f>'1 Administrasjon'!AQ8</f>
        <v>0</v>
      </c>
      <c r="D12" s="147">
        <f>'2 Ekstern kommunikasjon'!X8</f>
        <v>0</v>
      </c>
      <c r="E12" s="147">
        <f>'3 Forbundsutvikling'!AB8</f>
        <v>0</v>
      </c>
      <c r="F12" s="147">
        <f>'4. Utvilklingstiltak'!AZ8</f>
        <v>0</v>
      </c>
      <c r="G12" s="147">
        <f>'5 Klubbutvikling'!AN8</f>
        <v>0</v>
      </c>
      <c r="H12" s="147">
        <f>'6 Barn og Ungdom'!AN8</f>
        <v>0</v>
      </c>
      <c r="I12" s="147">
        <f>'7 Konkurranse'!AN12</f>
        <v>0</v>
      </c>
      <c r="J12" s="147">
        <f>'8 Eliteaktivitet'!AR8</f>
        <v>0</v>
      </c>
      <c r="K12" s="147">
        <f>'9 Anlegg og infrastruktur'!X8</f>
        <v>0</v>
      </c>
      <c r="L12" s="131">
        <f t="shared" si="0"/>
        <v>0</v>
      </c>
    </row>
    <row r="13" spans="1:12" ht="15.75" thickBot="1" x14ac:dyDescent="0.3">
      <c r="A13" s="7">
        <v>3910</v>
      </c>
      <c r="B13" s="8" t="s">
        <v>8</v>
      </c>
      <c r="C13" s="147">
        <f>'1 Administrasjon'!AQ9</f>
        <v>0</v>
      </c>
      <c r="D13" s="147">
        <f>'2 Ekstern kommunikasjon'!X9</f>
        <v>0</v>
      </c>
      <c r="E13" s="147">
        <f>'3 Forbundsutvikling'!AB9</f>
        <v>3000</v>
      </c>
      <c r="F13" s="147">
        <f>'4. Utvilklingstiltak'!AZ9</f>
        <v>28100</v>
      </c>
      <c r="G13" s="147">
        <f>'5 Klubbutvikling'!AN9</f>
        <v>0</v>
      </c>
      <c r="H13" s="147">
        <f>'6 Barn og Ungdom'!AN9</f>
        <v>0</v>
      </c>
      <c r="I13" s="147">
        <f>'7 Konkurranse'!AN13</f>
        <v>0</v>
      </c>
      <c r="J13" s="147">
        <f>'8 Eliteaktivitet'!AR9</f>
        <v>69000</v>
      </c>
      <c r="K13" s="147">
        <f>'9 Anlegg og infrastruktur'!X9</f>
        <v>0</v>
      </c>
      <c r="L13" s="131">
        <f t="shared" si="0"/>
        <v>100100</v>
      </c>
    </row>
    <row r="14" spans="1:12" ht="15.75" thickBot="1" x14ac:dyDescent="0.3">
      <c r="A14" s="7">
        <v>3950</v>
      </c>
      <c r="B14" s="8" t="s">
        <v>9</v>
      </c>
      <c r="C14" s="147">
        <f>'1 Administrasjon'!AQ10</f>
        <v>120000</v>
      </c>
      <c r="D14" s="147">
        <f>'2 Ekstern kommunikasjon'!X10</f>
        <v>0</v>
      </c>
      <c r="E14" s="147">
        <f>'3 Forbundsutvikling'!AB10</f>
        <v>0</v>
      </c>
      <c r="F14" s="147">
        <f>'4. Utvilklingstiltak'!AZ10</f>
        <v>0</v>
      </c>
      <c r="G14" s="147">
        <f>'5 Klubbutvikling'!AN10</f>
        <v>0</v>
      </c>
      <c r="H14" s="147">
        <f>'6 Barn og Ungdom'!AN10</f>
        <v>0</v>
      </c>
      <c r="I14" s="147">
        <f>'7 Konkurranse'!AN14</f>
        <v>0</v>
      </c>
      <c r="J14" s="147">
        <f>'8 Eliteaktivitet'!AR10</f>
        <v>0</v>
      </c>
      <c r="K14" s="147">
        <f>'9 Anlegg og infrastruktur'!X10</f>
        <v>0</v>
      </c>
      <c r="L14" s="131">
        <f t="shared" si="0"/>
        <v>120000</v>
      </c>
    </row>
    <row r="15" spans="1:12" ht="15.75" thickBot="1" x14ac:dyDescent="0.3">
      <c r="A15" s="7">
        <v>3951</v>
      </c>
      <c r="B15" s="8" t="s">
        <v>137</v>
      </c>
      <c r="C15" s="148">
        <f>'1 Administrasjon'!AQ11</f>
        <v>200000</v>
      </c>
      <c r="D15" s="148"/>
      <c r="E15" s="148"/>
      <c r="F15" s="148"/>
      <c r="G15" s="148"/>
      <c r="H15" s="147"/>
      <c r="I15" s="147"/>
      <c r="J15" s="147"/>
      <c r="K15" s="147"/>
      <c r="L15" s="131">
        <f t="shared" si="0"/>
        <v>200000</v>
      </c>
    </row>
    <row r="16" spans="1:12" ht="15.75" thickBot="1" x14ac:dyDescent="0.3">
      <c r="A16" s="30"/>
      <c r="B16" s="31" t="s">
        <v>73</v>
      </c>
      <c r="C16" s="131">
        <f>'1 Administrasjon'!AQ12</f>
        <v>1750000</v>
      </c>
      <c r="D16" s="131">
        <f>'2 Ekstern kommunikasjon'!X11</f>
        <v>0</v>
      </c>
      <c r="E16" s="131">
        <f>'3 Forbundsutvikling'!AB11</f>
        <v>3000</v>
      </c>
      <c r="F16" s="131">
        <f>'4. Utvilklingstiltak'!AZ11</f>
        <v>35989</v>
      </c>
      <c r="G16" s="131">
        <f>'5 Klubbutvikling'!AN11</f>
        <v>0</v>
      </c>
      <c r="H16" s="131">
        <f>'6 Barn og Ungdom'!AN11</f>
        <v>0</v>
      </c>
      <c r="I16" s="131">
        <f>'7 Konkurranse'!AN15</f>
        <v>186000</v>
      </c>
      <c r="J16" s="131">
        <f>'8 Eliteaktivitet'!AR11</f>
        <v>74000</v>
      </c>
      <c r="K16" s="131">
        <f>'9 Anlegg og infrastruktur'!X11</f>
        <v>0</v>
      </c>
      <c r="L16" s="131">
        <f t="shared" si="0"/>
        <v>2048989</v>
      </c>
    </row>
    <row r="17" spans="1:12" ht="15.75" thickBot="1" x14ac:dyDescent="0.3">
      <c r="A17" s="26">
        <v>5000</v>
      </c>
      <c r="B17" s="29" t="s">
        <v>10</v>
      </c>
      <c r="C17" s="149">
        <f>'1 Administrasjon'!AQ13</f>
        <v>216300</v>
      </c>
      <c r="D17" s="149">
        <f>'2 Ekstern kommunikasjon'!X12</f>
        <v>0</v>
      </c>
      <c r="E17" s="149">
        <f>'3 Forbundsutvikling'!AB12</f>
        <v>0</v>
      </c>
      <c r="F17" s="149">
        <f>'4. Utvilklingstiltak'!AZ12</f>
        <v>101636.35</v>
      </c>
      <c r="G17" s="149">
        <f>'5 Klubbutvikling'!AN12</f>
        <v>0</v>
      </c>
      <c r="H17" s="149">
        <f>'6 Barn og Ungdom'!AN12</f>
        <v>73436.350000000006</v>
      </c>
      <c r="I17" s="149">
        <f>'7 Konkurranse'!AN16</f>
        <v>105331.8</v>
      </c>
      <c r="J17" s="149">
        <f>'8 Eliteaktivitet'!AR12</f>
        <v>120000</v>
      </c>
      <c r="K17" s="149">
        <f>'9 Anlegg og infrastruktur'!X12</f>
        <v>0</v>
      </c>
      <c r="L17" s="131">
        <f t="shared" si="0"/>
        <v>616704.5</v>
      </c>
    </row>
    <row r="18" spans="1:12" hidden="1" thickBot="1" x14ac:dyDescent="0.35">
      <c r="A18" s="7">
        <v>5001</v>
      </c>
      <c r="B18" s="15" t="s">
        <v>11</v>
      </c>
      <c r="C18" s="149">
        <f>'1 Administrasjon'!AQ14</f>
        <v>0</v>
      </c>
      <c r="D18" s="149">
        <f>'2 Ekstern kommunikasjon'!X13</f>
        <v>0</v>
      </c>
      <c r="E18" s="149">
        <f>'3 Forbundsutvikling'!AB13</f>
        <v>0</v>
      </c>
      <c r="F18" s="149">
        <f>'4. Utvilklingstiltak'!AZ13</f>
        <v>0</v>
      </c>
      <c r="G18" s="149">
        <f>'5 Klubbutvikling'!AN13</f>
        <v>0</v>
      </c>
      <c r="H18" s="149">
        <f>'6 Barn og Ungdom'!AN13</f>
        <v>0</v>
      </c>
      <c r="I18" s="149">
        <f>'7 Konkurranse'!AN17</f>
        <v>0</v>
      </c>
      <c r="J18" s="149">
        <f>'8 Eliteaktivitet'!AR13</f>
        <v>0</v>
      </c>
      <c r="K18" s="149">
        <f>'9 Anlegg og infrastruktur'!X13</f>
        <v>0</v>
      </c>
      <c r="L18" s="131">
        <f t="shared" si="0"/>
        <v>0</v>
      </c>
    </row>
    <row r="19" spans="1:12" ht="15.75" thickBot="1" x14ac:dyDescent="0.3">
      <c r="A19" s="7">
        <v>5004</v>
      </c>
      <c r="B19" s="15" t="s">
        <v>12</v>
      </c>
      <c r="C19" s="149">
        <f>'1 Administrasjon'!AQ15</f>
        <v>0</v>
      </c>
      <c r="D19" s="149">
        <f>'2 Ekstern kommunikasjon'!X14</f>
        <v>0</v>
      </c>
      <c r="E19" s="149">
        <f>'3 Forbundsutvikling'!AB14</f>
        <v>0</v>
      </c>
      <c r="F19" s="149">
        <f>'4. Utvilklingstiltak'!AZ14</f>
        <v>0</v>
      </c>
      <c r="G19" s="149">
        <f>'5 Klubbutvikling'!AN14</f>
        <v>0</v>
      </c>
      <c r="H19" s="149">
        <f>'6 Barn og Ungdom'!AN14</f>
        <v>10000</v>
      </c>
      <c r="I19" s="149">
        <f>'7 Konkurranse'!AN18</f>
        <v>0</v>
      </c>
      <c r="J19" s="149">
        <f>'8 Eliteaktivitet'!AR14</f>
        <v>0</v>
      </c>
      <c r="K19" s="149">
        <f>'9 Anlegg og infrastruktur'!X14</f>
        <v>0</v>
      </c>
      <c r="L19" s="131">
        <f t="shared" si="0"/>
        <v>10000</v>
      </c>
    </row>
    <row r="20" spans="1:12" ht="15.75" thickBot="1" x14ac:dyDescent="0.3">
      <c r="A20" s="14">
        <v>5180</v>
      </c>
      <c r="B20" s="17" t="s">
        <v>13</v>
      </c>
      <c r="C20" s="149">
        <f>'1 Administrasjon'!AQ17</f>
        <v>25956</v>
      </c>
      <c r="D20" s="149">
        <f>'2 Ekstern kommunikasjon'!X15</f>
        <v>0</v>
      </c>
      <c r="E20" s="149">
        <f>'3 Forbundsutvikling'!AB15</f>
        <v>0</v>
      </c>
      <c r="F20" s="149">
        <f>'4. Utvilklingstiltak'!AZ15</f>
        <v>12196.361999999999</v>
      </c>
      <c r="G20" s="149">
        <f>'5 Klubbutvikling'!AN15</f>
        <v>0</v>
      </c>
      <c r="H20" s="149">
        <f>'6 Barn og Ungdom'!AN15</f>
        <v>8812.3619999999992</v>
      </c>
      <c r="I20" s="149">
        <f>'7 Konkurranse'!AN21</f>
        <v>12639.816000000001</v>
      </c>
      <c r="J20" s="149">
        <f>'8 Eliteaktivitet'!AR15</f>
        <v>14400</v>
      </c>
      <c r="K20" s="149">
        <f>'9 Anlegg og infrastruktur'!X15</f>
        <v>0</v>
      </c>
      <c r="L20" s="131">
        <f t="shared" si="0"/>
        <v>74004.540000000008</v>
      </c>
    </row>
    <row r="21" spans="1:12" ht="15.75" thickBot="1" x14ac:dyDescent="0.3">
      <c r="A21" s="14">
        <v>5182</v>
      </c>
      <c r="B21" s="17" t="s">
        <v>14</v>
      </c>
      <c r="C21" s="149">
        <f>'1 Administrasjon'!AQ18</f>
        <v>3659.7959999999998</v>
      </c>
      <c r="D21" s="149">
        <f>'2 Ekstern kommunikasjon'!X16</f>
        <v>0</v>
      </c>
      <c r="E21" s="149">
        <f>'3 Forbundsutvikling'!AB16</f>
        <v>0</v>
      </c>
      <c r="F21" s="149">
        <f>'4. Utvilklingstiltak'!AZ16</f>
        <v>1719.6870419999998</v>
      </c>
      <c r="G21" s="149">
        <f>'5 Klubbutvikling'!AN16</f>
        <v>0</v>
      </c>
      <c r="H21" s="149">
        <f>'6 Barn og Ungdom'!AN16</f>
        <v>1242.5430419999998</v>
      </c>
      <c r="I21" s="149">
        <f>'7 Konkurranse'!AN22</f>
        <v>1782.214056</v>
      </c>
      <c r="J21" s="149">
        <f>'8 Eliteaktivitet'!AR16</f>
        <v>2030.3999999999996</v>
      </c>
      <c r="K21" s="149">
        <f>'9 Anlegg og infrastruktur'!X16</f>
        <v>0</v>
      </c>
      <c r="L21" s="131">
        <f t="shared" si="0"/>
        <v>10434.64014</v>
      </c>
    </row>
    <row r="22" spans="1:12" ht="15.75" thickBot="1" x14ac:dyDescent="0.3">
      <c r="A22" s="14">
        <v>5211</v>
      </c>
      <c r="B22" s="17" t="s">
        <v>15</v>
      </c>
      <c r="C22" s="149">
        <f>'1 Administrasjon'!AQ19</f>
        <v>9000</v>
      </c>
      <c r="D22" s="149">
        <f>'2 Ekstern kommunikasjon'!X17</f>
        <v>0</v>
      </c>
      <c r="E22" s="149">
        <f>'3 Forbundsutvikling'!AB17</f>
        <v>0</v>
      </c>
      <c r="F22" s="149">
        <f>'4. Utvilklingstiltak'!AZ17</f>
        <v>0</v>
      </c>
      <c r="G22" s="149">
        <f>'5 Klubbutvikling'!AN17</f>
        <v>0</v>
      </c>
      <c r="H22" s="149">
        <f>'6 Barn og Ungdom'!AN17</f>
        <v>0</v>
      </c>
      <c r="I22" s="149">
        <f>'7 Konkurranse'!AN23</f>
        <v>0</v>
      </c>
      <c r="J22" s="149">
        <f>'8 Eliteaktivitet'!AR17</f>
        <v>0</v>
      </c>
      <c r="K22" s="149">
        <f>'9 Anlegg og infrastruktur'!X17</f>
        <v>0</v>
      </c>
      <c r="L22" s="131">
        <f t="shared" si="0"/>
        <v>9000</v>
      </c>
    </row>
    <row r="23" spans="1:12" hidden="1" thickBot="1" x14ac:dyDescent="0.35">
      <c r="A23" s="14">
        <v>5230</v>
      </c>
      <c r="B23" s="17" t="s">
        <v>16</v>
      </c>
      <c r="C23" s="149">
        <f>'1 Administrasjon'!AQ20</f>
        <v>0</v>
      </c>
      <c r="D23" s="149">
        <f>'2 Ekstern kommunikasjon'!X18</f>
        <v>0</v>
      </c>
      <c r="E23" s="149">
        <f>'3 Forbundsutvikling'!AB18</f>
        <v>0</v>
      </c>
      <c r="F23" s="149">
        <f>'4. Utvilklingstiltak'!AZ18</f>
        <v>0</v>
      </c>
      <c r="G23" s="149">
        <f>'5 Klubbutvikling'!AN18</f>
        <v>0</v>
      </c>
      <c r="H23" s="149">
        <f>'6 Barn og Ungdom'!AN18</f>
        <v>0</v>
      </c>
      <c r="I23" s="149">
        <f>'7 Konkurranse'!AN24</f>
        <v>0</v>
      </c>
      <c r="J23" s="149">
        <f>'8 Eliteaktivitet'!AR18</f>
        <v>0</v>
      </c>
      <c r="K23" s="149">
        <f>'9 Anlegg og infrastruktur'!X18</f>
        <v>0</v>
      </c>
      <c r="L23" s="131">
        <f t="shared" si="0"/>
        <v>0</v>
      </c>
    </row>
    <row r="24" spans="1:12" ht="15.75" thickBot="1" x14ac:dyDescent="0.3">
      <c r="A24" s="7">
        <v>5400</v>
      </c>
      <c r="B24" s="15" t="s">
        <v>48</v>
      </c>
      <c r="C24" s="149">
        <f>'1 Administrasjon'!AQ21</f>
        <v>33292.214999999997</v>
      </c>
      <c r="D24" s="149">
        <f>'2 Ekstern kommunikasjon'!X19</f>
        <v>0</v>
      </c>
      <c r="E24" s="149">
        <f>'3 Forbundsutvikling'!AB19</f>
        <v>0</v>
      </c>
      <c r="F24" s="149">
        <f>'4. Utvilklingstiltak'!AZ19</f>
        <v>14330.725349999999</v>
      </c>
      <c r="G24" s="149">
        <f>'5 Klubbutvikling'!AN19</f>
        <v>0</v>
      </c>
      <c r="H24" s="149">
        <f>'6 Barn og Ungdom'!AN19</f>
        <v>11764.525349999998</v>
      </c>
      <c r="I24" s="149">
        <f>'7 Konkurranse'!AN25</f>
        <v>16543.783799999997</v>
      </c>
      <c r="J24" s="149">
        <f>'8 Eliteaktivitet'!AR19</f>
        <v>16919.999999999996</v>
      </c>
      <c r="K24" s="149">
        <f>'9 Anlegg og infrastruktur'!X19</f>
        <v>0</v>
      </c>
      <c r="L24" s="131">
        <f t="shared" si="0"/>
        <v>92851.249499999991</v>
      </c>
    </row>
    <row r="25" spans="1:12" ht="15.75" thickBot="1" x14ac:dyDescent="0.3">
      <c r="A25" s="7">
        <v>5990</v>
      </c>
      <c r="B25" s="15" t="s">
        <v>17</v>
      </c>
      <c r="C25" s="149">
        <f>'1 Administrasjon'!AQ22</f>
        <v>13815</v>
      </c>
      <c r="D25" s="149">
        <f>'2 Ekstern kommunikasjon'!X20</f>
        <v>0</v>
      </c>
      <c r="E25" s="149">
        <f>'3 Forbundsutvikling'!AB20</f>
        <v>0</v>
      </c>
      <c r="F25" s="149">
        <f>'4. Utvilklingstiltak'!AZ20</f>
        <v>0</v>
      </c>
      <c r="G25" s="149">
        <f>'5 Klubbutvikling'!AN20</f>
        <v>0</v>
      </c>
      <c r="H25" s="149">
        <f>'6 Barn og Ungdom'!AN20</f>
        <v>3246.8175000000001</v>
      </c>
      <c r="I25" s="149">
        <f>'7 Konkurranse'!AN26</f>
        <v>4329.09</v>
      </c>
      <c r="J25" s="149">
        <f>'8 Eliteaktivitet'!AR20</f>
        <v>0</v>
      </c>
      <c r="K25" s="149">
        <f>'9 Anlegg og infrastruktur'!X20</f>
        <v>0</v>
      </c>
      <c r="L25" s="131">
        <f t="shared" si="0"/>
        <v>21390.907500000001</v>
      </c>
    </row>
    <row r="26" spans="1:12" ht="15.75" thickBot="1" x14ac:dyDescent="0.3">
      <c r="A26" s="7">
        <v>6110</v>
      </c>
      <c r="B26" s="15" t="s">
        <v>50</v>
      </c>
      <c r="C26" s="149">
        <f>'1 Administrasjon'!AQ23</f>
        <v>0</v>
      </c>
      <c r="D26" s="149">
        <f>'2 Ekstern kommunikasjon'!X21</f>
        <v>0</v>
      </c>
      <c r="E26" s="149">
        <f>'3 Forbundsutvikling'!AB21</f>
        <v>0</v>
      </c>
      <c r="F26" s="149">
        <f>'4. Utvilklingstiltak'!AZ22</f>
        <v>825</v>
      </c>
      <c r="G26" s="149">
        <f>'5 Klubbutvikling'!AN21</f>
        <v>0</v>
      </c>
      <c r="H26" s="149">
        <f>'6 Barn og Ungdom'!AN21</f>
        <v>3000</v>
      </c>
      <c r="I26" s="149">
        <f>'7 Konkurranse'!AN27</f>
        <v>20000</v>
      </c>
      <c r="J26" s="149">
        <f>'8 Eliteaktivitet'!AR21</f>
        <v>0</v>
      </c>
      <c r="K26" s="149">
        <f>'9 Anlegg og infrastruktur'!X21</f>
        <v>0</v>
      </c>
      <c r="L26" s="131">
        <f t="shared" si="0"/>
        <v>23825</v>
      </c>
    </row>
    <row r="27" spans="1:12" ht="15.75" thickBot="1" x14ac:dyDescent="0.3">
      <c r="A27" s="7">
        <v>6300</v>
      </c>
      <c r="B27" s="15" t="s">
        <v>18</v>
      </c>
      <c r="C27" s="149">
        <f>'1 Administrasjon'!AQ24</f>
        <v>8556</v>
      </c>
      <c r="D27" s="149">
        <f>'2 Ekstern kommunikasjon'!X22</f>
        <v>0</v>
      </c>
      <c r="E27" s="149">
        <f>'3 Forbundsutvikling'!AB22</f>
        <v>15000</v>
      </c>
      <c r="F27" s="149">
        <f>'4. Utvilklingstiltak'!AZ23</f>
        <v>33450</v>
      </c>
      <c r="G27" s="149">
        <f>'5 Klubbutvikling'!AN22</f>
        <v>0</v>
      </c>
      <c r="H27" s="149">
        <f>'6 Barn og Ungdom'!AN22</f>
        <v>30000</v>
      </c>
      <c r="I27" s="149">
        <f>'7 Konkurranse'!AN28</f>
        <v>0</v>
      </c>
      <c r="J27" s="149">
        <f>'8 Eliteaktivitet'!AR22</f>
        <v>31000</v>
      </c>
      <c r="K27" s="149">
        <f>'9 Anlegg og infrastruktur'!X22</f>
        <v>0</v>
      </c>
      <c r="L27" s="131">
        <f t="shared" si="0"/>
        <v>118006</v>
      </c>
    </row>
    <row r="28" spans="1:12" ht="15.75" thickBot="1" x14ac:dyDescent="0.3">
      <c r="A28" s="7">
        <v>6310</v>
      </c>
      <c r="B28" s="15" t="s">
        <v>139</v>
      </c>
      <c r="C28" s="149">
        <f>'1 Administrasjon'!AQ25</f>
        <v>14656</v>
      </c>
      <c r="D28" s="149"/>
      <c r="E28" s="149"/>
      <c r="F28" s="149"/>
      <c r="G28" s="149"/>
      <c r="H28" s="149"/>
      <c r="I28" s="149"/>
      <c r="J28" s="149"/>
      <c r="K28" s="149"/>
      <c r="L28" s="131">
        <f t="shared" si="0"/>
        <v>14656</v>
      </c>
    </row>
    <row r="29" spans="1:12" ht="15.75" thickBot="1" x14ac:dyDescent="0.3">
      <c r="A29" s="7">
        <v>6440</v>
      </c>
      <c r="B29" s="15" t="s">
        <v>19</v>
      </c>
      <c r="C29" s="149">
        <f>'1 Administrasjon'!AQ26</f>
        <v>0</v>
      </c>
      <c r="D29" s="149">
        <f>'2 Ekstern kommunikasjon'!X23</f>
        <v>3000</v>
      </c>
      <c r="E29" s="149">
        <f>'3 Forbundsutvikling'!AB23</f>
        <v>0</v>
      </c>
      <c r="F29" s="149">
        <f>'4. Utvilklingstiltak'!AZ24</f>
        <v>0</v>
      </c>
      <c r="G29" s="149">
        <f>'5 Klubbutvikling'!AN23</f>
        <v>0</v>
      </c>
      <c r="H29" s="149">
        <f>'6 Barn og Ungdom'!AN23</f>
        <v>0</v>
      </c>
      <c r="I29" s="149">
        <f>'7 Konkurranse'!AN29</f>
        <v>0</v>
      </c>
      <c r="J29" s="149">
        <f>'8 Eliteaktivitet'!AR23</f>
        <v>7200</v>
      </c>
      <c r="K29" s="149">
        <f>'9 Anlegg og infrastruktur'!X23</f>
        <v>0</v>
      </c>
      <c r="L29" s="131">
        <f t="shared" si="0"/>
        <v>10200</v>
      </c>
    </row>
    <row r="30" spans="1:12" hidden="1" thickBot="1" x14ac:dyDescent="0.35">
      <c r="A30" s="7">
        <v>6540</v>
      </c>
      <c r="B30" s="15" t="s">
        <v>152</v>
      </c>
      <c r="C30" s="149"/>
      <c r="D30" s="149"/>
      <c r="E30" s="149"/>
      <c r="F30" s="149"/>
      <c r="G30" s="149"/>
      <c r="H30" s="149"/>
      <c r="I30" s="149"/>
      <c r="J30" s="149"/>
      <c r="K30" s="149">
        <f>'9 Anlegg og infrastruktur'!X24</f>
        <v>0</v>
      </c>
      <c r="L30" s="131">
        <f t="shared" si="0"/>
        <v>0</v>
      </c>
    </row>
    <row r="31" spans="1:12" ht="15.75" thickBot="1" x14ac:dyDescent="0.3">
      <c r="A31" s="7">
        <v>6550</v>
      </c>
      <c r="B31" s="15" t="s">
        <v>20</v>
      </c>
      <c r="C31" s="149">
        <f>'1 Administrasjon'!AQ27</f>
        <v>5000</v>
      </c>
      <c r="D31" s="149">
        <f>'2 Ekstern kommunikasjon'!X24</f>
        <v>0</v>
      </c>
      <c r="E31" s="149">
        <f>'3 Forbundsutvikling'!AB24</f>
        <v>0</v>
      </c>
      <c r="F31" s="149">
        <f>'4. Utvilklingstiltak'!AZ25</f>
        <v>0</v>
      </c>
      <c r="G31" s="149">
        <f>'5 Klubbutvikling'!AN24</f>
        <v>0</v>
      </c>
      <c r="H31" s="149">
        <f>'6 Barn og Ungdom'!AN24</f>
        <v>0</v>
      </c>
      <c r="I31" s="149">
        <f>'7 Konkurranse'!AN30</f>
        <v>0</v>
      </c>
      <c r="J31" s="149">
        <f>'8 Eliteaktivitet'!AR24</f>
        <v>0</v>
      </c>
      <c r="K31" s="149">
        <f>'9 Anlegg og infrastruktur'!X25</f>
        <v>0</v>
      </c>
      <c r="L31" s="131">
        <f t="shared" si="0"/>
        <v>5000</v>
      </c>
    </row>
    <row r="32" spans="1:12" ht="15.75" thickBot="1" x14ac:dyDescent="0.3">
      <c r="A32" s="7">
        <v>6560</v>
      </c>
      <c r="B32" s="15" t="s">
        <v>21</v>
      </c>
      <c r="C32" s="149">
        <f>'1 Administrasjon'!AQ28</f>
        <v>4000</v>
      </c>
      <c r="D32" s="149">
        <f>'2 Ekstern kommunikasjon'!X25</f>
        <v>0</v>
      </c>
      <c r="E32" s="149">
        <f>'3 Forbundsutvikling'!AB25</f>
        <v>0</v>
      </c>
      <c r="F32" s="149">
        <f>'4. Utvilklingstiltak'!AZ26</f>
        <v>0</v>
      </c>
      <c r="G32" s="149">
        <f>'5 Klubbutvikling'!AN25</f>
        <v>0</v>
      </c>
      <c r="H32" s="149">
        <f>'6 Barn og Ungdom'!AN25</f>
        <v>0</v>
      </c>
      <c r="I32" s="149">
        <f>'7 Konkurranse'!AN31</f>
        <v>0</v>
      </c>
      <c r="J32" s="149">
        <f>'8 Eliteaktivitet'!AR25</f>
        <v>0</v>
      </c>
      <c r="K32" s="149">
        <f>'9 Anlegg og infrastruktur'!X26</f>
        <v>0</v>
      </c>
      <c r="L32" s="131">
        <f t="shared" si="0"/>
        <v>4000</v>
      </c>
    </row>
    <row r="33" spans="1:12" ht="15.75" thickBot="1" x14ac:dyDescent="0.3">
      <c r="A33" s="7">
        <v>6580</v>
      </c>
      <c r="B33" s="15" t="s">
        <v>2</v>
      </c>
      <c r="C33" s="149">
        <f>'1 Administrasjon'!AQ29</f>
        <v>0</v>
      </c>
      <c r="D33" s="149">
        <f>'2 Ekstern kommunikasjon'!X26</f>
        <v>0</v>
      </c>
      <c r="E33" s="149">
        <f>'3 Forbundsutvikling'!AB26</f>
        <v>0</v>
      </c>
      <c r="F33" s="149">
        <f>'4. Utvilklingstiltak'!AZ27</f>
        <v>0</v>
      </c>
      <c r="G33" s="149">
        <f>'5 Klubbutvikling'!AN26</f>
        <v>0</v>
      </c>
      <c r="H33" s="149">
        <f>'6 Barn og Ungdom'!AN26</f>
        <v>25000</v>
      </c>
      <c r="I33" s="149">
        <f>'7 Konkurranse'!AN32</f>
        <v>80000</v>
      </c>
      <c r="J33" s="149">
        <f>'8 Eliteaktivitet'!AR26</f>
        <v>0</v>
      </c>
      <c r="K33" s="149">
        <f>'9 Anlegg og infrastruktur'!X27</f>
        <v>0</v>
      </c>
      <c r="L33" s="131">
        <f t="shared" si="0"/>
        <v>105000</v>
      </c>
    </row>
    <row r="34" spans="1:12" ht="15.75" thickBot="1" x14ac:dyDescent="0.3">
      <c r="A34" s="7">
        <v>6700</v>
      </c>
      <c r="B34" s="15" t="s">
        <v>140</v>
      </c>
      <c r="C34" s="149">
        <f>'1 Administrasjon'!AQ30</f>
        <v>20000</v>
      </c>
      <c r="D34" s="149"/>
      <c r="E34" s="149"/>
      <c r="F34" s="149"/>
      <c r="G34" s="149"/>
      <c r="H34" s="149"/>
      <c r="I34" s="149"/>
      <c r="J34" s="149"/>
      <c r="K34" s="149"/>
      <c r="L34" s="131">
        <f t="shared" si="0"/>
        <v>20000</v>
      </c>
    </row>
    <row r="35" spans="1:12" ht="15.75" thickBot="1" x14ac:dyDescent="0.3">
      <c r="A35" s="7">
        <v>6720</v>
      </c>
      <c r="B35" s="15" t="s">
        <v>141</v>
      </c>
      <c r="C35" s="149">
        <f>'1 Administrasjon'!AQ31</f>
        <v>25000</v>
      </c>
      <c r="D35" s="149"/>
      <c r="E35" s="149"/>
      <c r="F35" s="149"/>
      <c r="G35" s="149"/>
      <c r="H35" s="149"/>
      <c r="I35" s="149">
        <f>'7 Konkurranse'!AN33</f>
        <v>12000</v>
      </c>
      <c r="J35" s="149"/>
      <c r="K35" s="149"/>
      <c r="L35" s="131">
        <f t="shared" si="0"/>
        <v>37000</v>
      </c>
    </row>
    <row r="36" spans="1:12" ht="15.75" thickBot="1" x14ac:dyDescent="0.3">
      <c r="A36" s="7">
        <v>6730</v>
      </c>
      <c r="B36" s="15" t="s">
        <v>155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31"/>
    </row>
    <row r="37" spans="1:12" hidden="1" thickBot="1" x14ac:dyDescent="0.35">
      <c r="A37" s="7">
        <v>6725</v>
      </c>
      <c r="B37" s="15" t="s">
        <v>142</v>
      </c>
      <c r="C37" s="149">
        <f>'1 Administrasjon'!AQ32</f>
        <v>0</v>
      </c>
      <c r="D37" s="149"/>
      <c r="E37" s="149"/>
      <c r="F37" s="149"/>
      <c r="G37" s="149"/>
      <c r="H37" s="149"/>
      <c r="I37" s="149"/>
      <c r="J37" s="149"/>
      <c r="K37" s="149"/>
      <c r="L37" s="131">
        <f t="shared" si="0"/>
        <v>0</v>
      </c>
    </row>
    <row r="38" spans="1:12" hidden="1" thickBot="1" x14ac:dyDescent="0.35">
      <c r="A38" s="7">
        <v>6800</v>
      </c>
      <c r="B38" s="15" t="s">
        <v>22</v>
      </c>
      <c r="C38" s="149">
        <f>'1 Administrasjon'!AQ33</f>
        <v>0</v>
      </c>
      <c r="D38" s="149">
        <f>'2 Ekstern kommunikasjon'!X27</f>
        <v>0</v>
      </c>
      <c r="E38" s="149">
        <f>'3 Forbundsutvikling'!AB27</f>
        <v>0</v>
      </c>
      <c r="F38" s="149">
        <f>'4. Utvilklingstiltak'!AZ28</f>
        <v>0</v>
      </c>
      <c r="G38" s="149">
        <f>'5 Klubbutvikling'!AN27</f>
        <v>0</v>
      </c>
      <c r="H38" s="149">
        <f>'6 Barn og Ungdom'!AN27</f>
        <v>0</v>
      </c>
      <c r="I38" s="149">
        <f>'7 Konkurranse'!AN34</f>
        <v>0</v>
      </c>
      <c r="J38" s="149">
        <f>'8 Eliteaktivitet'!AR27</f>
        <v>0</v>
      </c>
      <c r="K38" s="149">
        <f>'9 Anlegg og infrastruktur'!X28</f>
        <v>0</v>
      </c>
      <c r="L38" s="131">
        <f t="shared" si="0"/>
        <v>0</v>
      </c>
    </row>
    <row r="39" spans="1:12" ht="15.75" thickBot="1" x14ac:dyDescent="0.3">
      <c r="A39" s="7">
        <v>6820</v>
      </c>
      <c r="B39" s="15" t="s">
        <v>23</v>
      </c>
      <c r="C39" s="149">
        <f>'1 Administrasjon'!AQ34</f>
        <v>1000</v>
      </c>
      <c r="D39" s="149">
        <f>'2 Ekstern kommunikasjon'!X28</f>
        <v>0</v>
      </c>
      <c r="E39" s="149">
        <f>'3 Forbundsutvikling'!AB28</f>
        <v>0</v>
      </c>
      <c r="F39" s="149">
        <f>'4. Utvilklingstiltak'!AZ29</f>
        <v>2000</v>
      </c>
      <c r="G39" s="149">
        <f>'5 Klubbutvikling'!AN28</f>
        <v>0</v>
      </c>
      <c r="H39" s="149">
        <f>'6 Barn og Ungdom'!AN28</f>
        <v>0</v>
      </c>
      <c r="I39" s="149">
        <f>'7 Konkurranse'!AN35</f>
        <v>0</v>
      </c>
      <c r="J39" s="149">
        <f>'8 Eliteaktivitet'!AR28</f>
        <v>0</v>
      </c>
      <c r="K39" s="149">
        <f>'9 Anlegg og infrastruktur'!X29</f>
        <v>0</v>
      </c>
      <c r="L39" s="131">
        <f t="shared" si="0"/>
        <v>3000</v>
      </c>
    </row>
    <row r="40" spans="1:12" hidden="1" thickBot="1" x14ac:dyDescent="0.35">
      <c r="A40" s="7">
        <v>6840</v>
      </c>
      <c r="B40" s="15" t="s">
        <v>24</v>
      </c>
      <c r="C40" s="149">
        <f>'1 Administrasjon'!AQ35</f>
        <v>0</v>
      </c>
      <c r="D40" s="149">
        <f>'2 Ekstern kommunikasjon'!X29</f>
        <v>0</v>
      </c>
      <c r="E40" s="149">
        <f>'3 Forbundsutvikling'!AB29</f>
        <v>0</v>
      </c>
      <c r="F40" s="149">
        <f>'4. Utvilklingstiltak'!AZ30</f>
        <v>0</v>
      </c>
      <c r="G40" s="149">
        <f>'5 Klubbutvikling'!AN29</f>
        <v>0</v>
      </c>
      <c r="H40" s="149">
        <f>'6 Barn og Ungdom'!AN29</f>
        <v>0</v>
      </c>
      <c r="I40" s="149">
        <f>'7 Konkurranse'!AN36</f>
        <v>0</v>
      </c>
      <c r="J40" s="149">
        <f>'8 Eliteaktivitet'!AR29</f>
        <v>0</v>
      </c>
      <c r="K40" s="149">
        <f>'9 Anlegg og infrastruktur'!X30</f>
        <v>0</v>
      </c>
      <c r="L40" s="131">
        <f t="shared" si="0"/>
        <v>0</v>
      </c>
    </row>
    <row r="41" spans="1:12" ht="15.75" thickBot="1" x14ac:dyDescent="0.3">
      <c r="A41" s="7">
        <v>6860</v>
      </c>
      <c r="B41" s="15" t="s">
        <v>25</v>
      </c>
      <c r="C41" s="149">
        <f>'1 Administrasjon'!AQ36</f>
        <v>2000</v>
      </c>
      <c r="D41" s="149">
        <f>'2 Ekstern kommunikasjon'!X30</f>
        <v>0</v>
      </c>
      <c r="E41" s="149">
        <f>'3 Forbundsutvikling'!AB30</f>
        <v>0</v>
      </c>
      <c r="F41" s="149">
        <f>'4. Utvilklingstiltak'!AZ31</f>
        <v>10000</v>
      </c>
      <c r="G41" s="149">
        <f>'5 Klubbutvikling'!AN30</f>
        <v>0</v>
      </c>
      <c r="H41" s="149">
        <f>'6 Barn og Ungdom'!AN30</f>
        <v>18000</v>
      </c>
      <c r="I41" s="149">
        <f>'7 Konkurranse'!AN37</f>
        <v>0</v>
      </c>
      <c r="J41" s="149">
        <f>'8 Eliteaktivitet'!AR30</f>
        <v>6155</v>
      </c>
      <c r="K41" s="149">
        <f>'9 Anlegg og infrastruktur'!X31</f>
        <v>0</v>
      </c>
      <c r="L41" s="131">
        <f t="shared" si="0"/>
        <v>36155</v>
      </c>
    </row>
    <row r="42" spans="1:12" hidden="1" thickBot="1" x14ac:dyDescent="0.35">
      <c r="A42" s="7">
        <v>6900</v>
      </c>
      <c r="B42" s="15" t="s">
        <v>143</v>
      </c>
      <c r="C42" s="149">
        <f>'1 Administrasjon'!AQ37</f>
        <v>0</v>
      </c>
      <c r="D42" s="149"/>
      <c r="E42" s="149"/>
      <c r="F42" s="149"/>
      <c r="G42" s="149"/>
      <c r="H42" s="149"/>
      <c r="I42" s="149"/>
      <c r="J42" s="149"/>
      <c r="K42" s="149"/>
      <c r="L42" s="131">
        <f t="shared" si="0"/>
        <v>0</v>
      </c>
    </row>
    <row r="43" spans="1:12" ht="15.75" thickBot="1" x14ac:dyDescent="0.3">
      <c r="A43" s="7">
        <v>6910</v>
      </c>
      <c r="B43" s="15" t="s">
        <v>26</v>
      </c>
      <c r="C43" s="149">
        <f>'1 Administrasjon'!AQ38</f>
        <v>23500</v>
      </c>
      <c r="D43" s="149">
        <f>'2 Ekstern kommunikasjon'!X31</f>
        <v>7000</v>
      </c>
      <c r="E43" s="149">
        <f>'3 Forbundsutvikling'!AB31</f>
        <v>5020</v>
      </c>
      <c r="F43" s="149">
        <f>'4. Utvilklingstiltak'!AZ32</f>
        <v>0</v>
      </c>
      <c r="G43" s="149">
        <f>'5 Klubbutvikling'!AN31</f>
        <v>0</v>
      </c>
      <c r="H43" s="149">
        <f>'6 Barn og Ungdom'!AN31</f>
        <v>0</v>
      </c>
      <c r="I43" s="149">
        <f>'7 Konkurranse'!AN38</f>
        <v>5000</v>
      </c>
      <c r="J43" s="149">
        <f>'8 Eliteaktivitet'!AR31</f>
        <v>0</v>
      </c>
      <c r="K43" s="149">
        <f>'9 Anlegg og infrastruktur'!X32</f>
        <v>0</v>
      </c>
      <c r="L43" s="131">
        <f t="shared" si="0"/>
        <v>40520</v>
      </c>
    </row>
    <row r="44" spans="1:12" ht="15.75" thickBot="1" x14ac:dyDescent="0.3">
      <c r="A44" s="7">
        <v>6940</v>
      </c>
      <c r="B44" s="15" t="s">
        <v>49</v>
      </c>
      <c r="C44" s="149">
        <f>'1 Administrasjon'!AQ39</f>
        <v>500</v>
      </c>
      <c r="D44" s="149">
        <f>'2 Ekstern kommunikasjon'!X32</f>
        <v>0</v>
      </c>
      <c r="E44" s="149">
        <f>'3 Forbundsutvikling'!AB32</f>
        <v>0</v>
      </c>
      <c r="F44" s="149">
        <f>'4. Utvilklingstiltak'!AZ33</f>
        <v>0</v>
      </c>
      <c r="G44" s="149">
        <f>'5 Klubbutvikling'!AN32</f>
        <v>0</v>
      </c>
      <c r="H44" s="149">
        <f>'6 Barn og Ungdom'!AN32</f>
        <v>0</v>
      </c>
      <c r="I44" s="149">
        <f>'7 Konkurranse'!AN39</f>
        <v>2000</v>
      </c>
      <c r="J44" s="149">
        <f>'8 Eliteaktivitet'!AR32</f>
        <v>0</v>
      </c>
      <c r="K44" s="149">
        <f>'9 Anlegg og infrastruktur'!X33</f>
        <v>0</v>
      </c>
      <c r="L44" s="131">
        <f t="shared" si="0"/>
        <v>2500</v>
      </c>
    </row>
    <row r="45" spans="1:12" ht="15.75" thickBot="1" x14ac:dyDescent="0.3">
      <c r="A45" s="7">
        <v>7000</v>
      </c>
      <c r="B45" s="15" t="s">
        <v>27</v>
      </c>
      <c r="C45" s="149">
        <f>'1 Administrasjon'!AQ40</f>
        <v>0</v>
      </c>
      <c r="D45" s="149">
        <f>'2 Ekstern kommunikasjon'!X33</f>
        <v>3000</v>
      </c>
      <c r="E45" s="149">
        <f>'3 Forbundsutvikling'!AB33</f>
        <v>0</v>
      </c>
      <c r="F45" s="149">
        <f>'4. Utvilklingstiltak'!AZ34</f>
        <v>2000</v>
      </c>
      <c r="G45" s="149">
        <f>'5 Klubbutvikling'!AN33</f>
        <v>0</v>
      </c>
      <c r="H45" s="149">
        <f>'6 Barn og Ungdom'!AN33</f>
        <v>0</v>
      </c>
      <c r="I45" s="149">
        <f>'7 Konkurranse'!AN40</f>
        <v>0</v>
      </c>
      <c r="J45" s="149">
        <f>'8 Eliteaktivitet'!AR33</f>
        <v>7500</v>
      </c>
      <c r="K45" s="149">
        <f>'9 Anlegg og infrastruktur'!X34</f>
        <v>0</v>
      </c>
      <c r="L45" s="131">
        <f t="shared" si="0"/>
        <v>12500</v>
      </c>
    </row>
    <row r="46" spans="1:12" ht="15.75" thickBot="1" x14ac:dyDescent="0.3">
      <c r="A46" s="7">
        <v>7100</v>
      </c>
      <c r="B46" s="15" t="s">
        <v>28</v>
      </c>
      <c r="C46" s="149">
        <f>'1 Administrasjon'!AQ41</f>
        <v>9000</v>
      </c>
      <c r="D46" s="149">
        <f>'2 Ekstern kommunikasjon'!X34</f>
        <v>0</v>
      </c>
      <c r="E46" s="149">
        <f>'3 Forbundsutvikling'!AB34</f>
        <v>6000</v>
      </c>
      <c r="F46" s="149">
        <f>'4. Utvilklingstiltak'!AZ35</f>
        <v>10643</v>
      </c>
      <c r="G46" s="149">
        <f>'5 Klubbutvikling'!AN34</f>
        <v>0</v>
      </c>
      <c r="H46" s="149">
        <f>'6 Barn og Ungdom'!AN34</f>
        <v>5000</v>
      </c>
      <c r="I46" s="149">
        <f>'7 Konkurranse'!AN41</f>
        <v>5000</v>
      </c>
      <c r="J46" s="149">
        <f>'8 Eliteaktivitet'!AR34</f>
        <v>2296</v>
      </c>
      <c r="K46" s="149">
        <f>'9 Anlegg og infrastruktur'!X35</f>
        <v>0</v>
      </c>
      <c r="L46" s="131">
        <f t="shared" si="0"/>
        <v>37939</v>
      </c>
    </row>
    <row r="47" spans="1:12" hidden="1" thickBot="1" x14ac:dyDescent="0.35">
      <c r="A47" s="7">
        <v>7101</v>
      </c>
      <c r="B47" s="15" t="s">
        <v>29</v>
      </c>
      <c r="C47" s="149">
        <f>'1 Administrasjon'!AQ42</f>
        <v>0</v>
      </c>
      <c r="D47" s="149">
        <f>'2 Ekstern kommunikasjon'!X35</f>
        <v>0</v>
      </c>
      <c r="E47" s="149">
        <f>'3 Forbundsutvikling'!AB35</f>
        <v>0</v>
      </c>
      <c r="F47" s="149">
        <f>'4. Utvilklingstiltak'!AZ36</f>
        <v>0</v>
      </c>
      <c r="G47" s="149">
        <f>'5 Klubbutvikling'!AN35</f>
        <v>0</v>
      </c>
      <c r="H47" s="149">
        <f>'6 Barn og Ungdom'!AN35</f>
        <v>0</v>
      </c>
      <c r="I47" s="149">
        <f>'7 Konkurranse'!AN42</f>
        <v>0</v>
      </c>
      <c r="J47" s="149">
        <f>'8 Eliteaktivitet'!AR35</f>
        <v>0</v>
      </c>
      <c r="K47" s="149">
        <f>'9 Anlegg og infrastruktur'!X36</f>
        <v>0</v>
      </c>
      <c r="L47" s="131">
        <f t="shared" si="0"/>
        <v>0</v>
      </c>
    </row>
    <row r="48" spans="1:12" ht="15.75" thickBot="1" x14ac:dyDescent="0.3">
      <c r="A48" s="7">
        <v>7110</v>
      </c>
      <c r="B48" s="15" t="s">
        <v>30</v>
      </c>
      <c r="C48" s="149">
        <f>'1 Administrasjon'!AQ43</f>
        <v>20000</v>
      </c>
      <c r="D48" s="149">
        <f>'2 Ekstern kommunikasjon'!X36</f>
        <v>0</v>
      </c>
      <c r="E48" s="149">
        <f>'3 Forbundsutvikling'!AB36</f>
        <v>31000</v>
      </c>
      <c r="F48" s="149">
        <f>'4. Utvilklingstiltak'!AZ37</f>
        <v>21898</v>
      </c>
      <c r="G48" s="149">
        <f>'5 Klubbutvikling'!AN36</f>
        <v>0</v>
      </c>
      <c r="H48" s="149">
        <f>'6 Barn og Ungdom'!AN36</f>
        <v>35000</v>
      </c>
      <c r="I48" s="149">
        <f>'7 Konkurranse'!AN43</f>
        <v>15000</v>
      </c>
      <c r="J48" s="149">
        <f>'8 Eliteaktivitet'!AR36</f>
        <v>83000</v>
      </c>
      <c r="K48" s="149">
        <f>'9 Anlegg og infrastruktur'!X37</f>
        <v>0</v>
      </c>
      <c r="L48" s="131">
        <f t="shared" si="0"/>
        <v>205898</v>
      </c>
    </row>
    <row r="49" spans="1:12" ht="15.75" thickBot="1" x14ac:dyDescent="0.3">
      <c r="A49" s="7">
        <v>7141</v>
      </c>
      <c r="B49" s="15" t="s">
        <v>31</v>
      </c>
      <c r="C49" s="149">
        <f>'1 Administrasjon'!AQ44</f>
        <v>15000</v>
      </c>
      <c r="D49" s="149">
        <f>'2 Ekstern kommunikasjon'!X37</f>
        <v>0</v>
      </c>
      <c r="E49" s="149">
        <f>'3 Forbundsutvikling'!AB37</f>
        <v>22000</v>
      </c>
      <c r="F49" s="149">
        <f>'4. Utvilklingstiltak'!AZ38</f>
        <v>21870</v>
      </c>
      <c r="G49" s="149">
        <f>'5 Klubbutvikling'!AN37</f>
        <v>0</v>
      </c>
      <c r="H49" s="149">
        <f>'6 Barn og Ungdom'!AN37</f>
        <v>2500</v>
      </c>
      <c r="I49" s="149">
        <f>'7 Konkurranse'!AN44</f>
        <v>10000</v>
      </c>
      <c r="J49" s="149">
        <f>'8 Eliteaktivitet'!AR37</f>
        <v>105400</v>
      </c>
      <c r="K49" s="149">
        <f>'9 Anlegg og infrastruktur'!X38</f>
        <v>0</v>
      </c>
      <c r="L49" s="131">
        <f t="shared" si="0"/>
        <v>176770</v>
      </c>
    </row>
    <row r="50" spans="1:12" ht="15.75" thickBot="1" x14ac:dyDescent="0.3">
      <c r="A50" s="7">
        <v>7145</v>
      </c>
      <c r="B50" s="15" t="s">
        <v>32</v>
      </c>
      <c r="C50" s="149">
        <f>'1 Administrasjon'!AQ45</f>
        <v>1500</v>
      </c>
      <c r="D50" s="149">
        <f>'2 Ekstern kommunikasjon'!X38</f>
        <v>0</v>
      </c>
      <c r="E50" s="149">
        <f>'3 Forbundsutvikling'!AB38</f>
        <v>4500</v>
      </c>
      <c r="F50" s="149">
        <f>'4. Utvilklingstiltak'!AZ39</f>
        <v>6223.5</v>
      </c>
      <c r="G50" s="149">
        <f>'5 Klubbutvikling'!AN38</f>
        <v>0</v>
      </c>
      <c r="H50" s="149">
        <f>'6 Barn og Ungdom'!AN38</f>
        <v>0</v>
      </c>
      <c r="I50" s="149">
        <f>'7 Konkurranse'!AN45</f>
        <v>5000</v>
      </c>
      <c r="J50" s="149">
        <f>'8 Eliteaktivitet'!AR38</f>
        <v>7783</v>
      </c>
      <c r="K50" s="149">
        <f>'9 Anlegg og infrastruktur'!X39</f>
        <v>0</v>
      </c>
      <c r="L50" s="131">
        <f t="shared" si="0"/>
        <v>25006.5</v>
      </c>
    </row>
    <row r="51" spans="1:12" ht="15.75" thickBot="1" x14ac:dyDescent="0.3">
      <c r="A51" s="7">
        <v>7162</v>
      </c>
      <c r="B51" s="15" t="s">
        <v>33</v>
      </c>
      <c r="C51" s="149">
        <f>'1 Administrasjon'!AQ46</f>
        <v>9800</v>
      </c>
      <c r="D51" s="149">
        <f>'2 Ekstern kommunikasjon'!X39</f>
        <v>0</v>
      </c>
      <c r="E51" s="149">
        <f>'3 Forbundsutvikling'!AB39</f>
        <v>15500</v>
      </c>
      <c r="F51" s="149">
        <f>'4. Utvilklingstiltak'!AZ40</f>
        <v>31771</v>
      </c>
      <c r="G51" s="149">
        <f>'5 Klubbutvikling'!AN39</f>
        <v>0</v>
      </c>
      <c r="H51" s="149">
        <f>'6 Barn og Ungdom'!AN39</f>
        <v>0</v>
      </c>
      <c r="I51" s="149">
        <f>'7 Konkurranse'!AN46</f>
        <v>2000</v>
      </c>
      <c r="J51" s="149">
        <f>'8 Eliteaktivitet'!AR39</f>
        <v>18500</v>
      </c>
      <c r="K51" s="149">
        <f>'9 Anlegg og infrastruktur'!X40</f>
        <v>0</v>
      </c>
      <c r="L51" s="131">
        <f t="shared" si="0"/>
        <v>77571</v>
      </c>
    </row>
    <row r="52" spans="1:12" hidden="1" thickBot="1" x14ac:dyDescent="0.35">
      <c r="A52" s="7">
        <v>7320</v>
      </c>
      <c r="B52" s="15" t="s">
        <v>34</v>
      </c>
      <c r="C52" s="149">
        <f>'1 Administrasjon'!AQ47</f>
        <v>0</v>
      </c>
      <c r="D52" s="149">
        <f>'2 Ekstern kommunikasjon'!X40</f>
        <v>0</v>
      </c>
      <c r="E52" s="149">
        <f>'3 Forbundsutvikling'!AB40</f>
        <v>0</v>
      </c>
      <c r="F52" s="149">
        <f>'4. Utvilklingstiltak'!AZ41</f>
        <v>0</v>
      </c>
      <c r="G52" s="149">
        <f>'5 Klubbutvikling'!AN40</f>
        <v>0</v>
      </c>
      <c r="H52" s="149">
        <f>'6 Barn og Ungdom'!AN40</f>
        <v>0</v>
      </c>
      <c r="I52" s="149">
        <f>'7 Konkurranse'!AN47</f>
        <v>0</v>
      </c>
      <c r="J52" s="149">
        <f>'8 Eliteaktivitet'!AR40</f>
        <v>0</v>
      </c>
      <c r="K52" s="149">
        <f>'9 Anlegg og infrastruktur'!X41</f>
        <v>0</v>
      </c>
      <c r="L52" s="131">
        <f t="shared" si="0"/>
        <v>0</v>
      </c>
    </row>
    <row r="53" spans="1:12" hidden="1" thickBot="1" x14ac:dyDescent="0.35">
      <c r="A53" s="7">
        <v>7350</v>
      </c>
      <c r="B53" s="15" t="s">
        <v>35</v>
      </c>
      <c r="C53" s="149">
        <f>'1 Administrasjon'!AQ48</f>
        <v>0</v>
      </c>
      <c r="D53" s="149">
        <f>'2 Ekstern kommunikasjon'!X41</f>
        <v>0</v>
      </c>
      <c r="E53" s="149">
        <f>'3 Forbundsutvikling'!AB41</f>
        <v>0</v>
      </c>
      <c r="F53" s="149">
        <f>'4. Utvilklingstiltak'!AZ42</f>
        <v>0</v>
      </c>
      <c r="G53" s="149">
        <f>'5 Klubbutvikling'!AN41</f>
        <v>0</v>
      </c>
      <c r="H53" s="149">
        <f>'6 Barn og Ungdom'!AN41</f>
        <v>0</v>
      </c>
      <c r="I53" s="149">
        <f>'7 Konkurranse'!AN48</f>
        <v>0</v>
      </c>
      <c r="J53" s="149">
        <f>'8 Eliteaktivitet'!AR41</f>
        <v>0</v>
      </c>
      <c r="K53" s="149">
        <f>'9 Anlegg og infrastruktur'!X42</f>
        <v>0</v>
      </c>
      <c r="L53" s="131">
        <f t="shared" si="0"/>
        <v>0</v>
      </c>
    </row>
    <row r="54" spans="1:12" ht="15.75" thickBot="1" x14ac:dyDescent="0.3">
      <c r="A54" s="7">
        <v>7400</v>
      </c>
      <c r="B54" s="15" t="s">
        <v>36</v>
      </c>
      <c r="C54" s="149">
        <f>'1 Administrasjon'!AQ49</f>
        <v>0</v>
      </c>
      <c r="D54" s="149">
        <f>'2 Ekstern kommunikasjon'!X42</f>
        <v>0</v>
      </c>
      <c r="E54" s="149">
        <f>'3 Forbundsutvikling'!AB42</f>
        <v>9700</v>
      </c>
      <c r="F54" s="149">
        <f>'4. Utvilklingstiltak'!AZ43</f>
        <v>0</v>
      </c>
      <c r="G54" s="149">
        <f>'5 Klubbutvikling'!AN42</f>
        <v>0</v>
      </c>
      <c r="H54" s="149">
        <f>'6 Barn og Ungdom'!AN42</f>
        <v>0</v>
      </c>
      <c r="I54" s="149">
        <f>'7 Konkurranse'!AN49</f>
        <v>0</v>
      </c>
      <c r="J54" s="149">
        <f>'8 Eliteaktivitet'!AR42</f>
        <v>0</v>
      </c>
      <c r="K54" s="149">
        <f>'9 Anlegg og infrastruktur'!X43</f>
        <v>0</v>
      </c>
      <c r="L54" s="131">
        <f t="shared" si="0"/>
        <v>9700</v>
      </c>
    </row>
    <row r="55" spans="1:12" ht="15.75" thickBot="1" x14ac:dyDescent="0.3">
      <c r="A55" s="7">
        <v>7411</v>
      </c>
      <c r="B55" s="15" t="s">
        <v>37</v>
      </c>
      <c r="C55" s="149">
        <f>'1 Administrasjon'!AQ50</f>
        <v>0</v>
      </c>
      <c r="D55" s="149">
        <f>'2 Ekstern kommunikasjon'!X43</f>
        <v>0</v>
      </c>
      <c r="E55" s="149">
        <f>'3 Forbundsutvikling'!AB43</f>
        <v>0</v>
      </c>
      <c r="F55" s="149">
        <f>'4. Utvilklingstiltak'!AZ44</f>
        <v>500</v>
      </c>
      <c r="G55" s="149">
        <f>'5 Klubbutvikling'!AN43</f>
        <v>0</v>
      </c>
      <c r="H55" s="149">
        <f>'6 Barn og Ungdom'!AN43</f>
        <v>0</v>
      </c>
      <c r="I55" s="149">
        <f>'7 Konkurranse'!AN50</f>
        <v>0</v>
      </c>
      <c r="J55" s="149">
        <f>'8 Eliteaktivitet'!AR43</f>
        <v>0</v>
      </c>
      <c r="K55" s="149">
        <f>'9 Anlegg og infrastruktur'!X44</f>
        <v>0</v>
      </c>
      <c r="L55" s="131">
        <f t="shared" si="0"/>
        <v>500</v>
      </c>
    </row>
    <row r="56" spans="1:12" ht="15.75" thickBot="1" x14ac:dyDescent="0.3">
      <c r="A56" s="7">
        <v>7420</v>
      </c>
      <c r="B56" s="15" t="s">
        <v>38</v>
      </c>
      <c r="C56" s="149">
        <f>'1 Administrasjon'!AQ51</f>
        <v>0</v>
      </c>
      <c r="D56" s="149">
        <f>'2 Ekstern kommunikasjon'!X44</f>
        <v>0</v>
      </c>
      <c r="E56" s="149">
        <f>'3 Forbundsutvikling'!AB44</f>
        <v>0</v>
      </c>
      <c r="F56" s="149">
        <f>'4. Utvilklingstiltak'!AZ45</f>
        <v>51950</v>
      </c>
      <c r="G56" s="149">
        <f>'5 Klubbutvikling'!AN44</f>
        <v>74000</v>
      </c>
      <c r="H56" s="149">
        <f>'6 Barn og Ungdom'!AN44</f>
        <v>55000</v>
      </c>
      <c r="I56" s="149">
        <f>'7 Konkurranse'!AN51</f>
        <v>10000</v>
      </c>
      <c r="J56" s="149">
        <f>'8 Eliteaktivitet'!AR44</f>
        <v>0</v>
      </c>
      <c r="K56" s="149">
        <f>'9 Anlegg og infrastruktur'!X45</f>
        <v>250000</v>
      </c>
      <c r="L56" s="131">
        <f t="shared" si="0"/>
        <v>440950</v>
      </c>
    </row>
    <row r="57" spans="1:12" ht="15.75" thickBot="1" x14ac:dyDescent="0.3">
      <c r="A57" s="7">
        <v>7425</v>
      </c>
      <c r="B57" s="15" t="s">
        <v>39</v>
      </c>
      <c r="C57" s="149">
        <f>'1 Administrasjon'!AQ52</f>
        <v>1000</v>
      </c>
      <c r="D57" s="149">
        <f>'2 Ekstern kommunikasjon'!X45</f>
        <v>0</v>
      </c>
      <c r="E57" s="149">
        <f>'3 Forbundsutvikling'!AB45</f>
        <v>3000</v>
      </c>
      <c r="F57" s="149">
        <f>'4. Utvilklingstiltak'!AZ46</f>
        <v>0</v>
      </c>
      <c r="G57" s="149">
        <f>'5 Klubbutvikling'!AN45</f>
        <v>0</v>
      </c>
      <c r="H57" s="149">
        <f>'6 Barn og Ungdom'!AN45</f>
        <v>0</v>
      </c>
      <c r="I57" s="149">
        <f>'7 Konkurranse'!AN52</f>
        <v>0</v>
      </c>
      <c r="J57" s="149">
        <f>'8 Eliteaktivitet'!AR45</f>
        <v>0</v>
      </c>
      <c r="K57" s="149">
        <f>'9 Anlegg og infrastruktur'!X46</f>
        <v>0</v>
      </c>
      <c r="L57" s="131">
        <f t="shared" si="0"/>
        <v>4000</v>
      </c>
    </row>
    <row r="58" spans="1:12" hidden="1" thickBot="1" x14ac:dyDescent="0.35">
      <c r="A58" s="7">
        <v>7430</v>
      </c>
      <c r="B58" s="15" t="s">
        <v>40</v>
      </c>
      <c r="C58" s="149">
        <f>'1 Administrasjon'!AQ53</f>
        <v>0</v>
      </c>
      <c r="D58" s="149">
        <f>'2 Ekstern kommunikasjon'!X46</f>
        <v>0</v>
      </c>
      <c r="E58" s="149">
        <f>'3 Forbundsutvikling'!AB46</f>
        <v>0</v>
      </c>
      <c r="F58" s="149">
        <f>'4. Utvilklingstiltak'!AZ47</f>
        <v>0</v>
      </c>
      <c r="G58" s="149">
        <f>'5 Klubbutvikling'!AN46</f>
        <v>0</v>
      </c>
      <c r="H58" s="149">
        <f>'6 Barn og Ungdom'!AN46</f>
        <v>0</v>
      </c>
      <c r="I58" s="149">
        <f>'7 Konkurranse'!AN53</f>
        <v>0</v>
      </c>
      <c r="J58" s="149">
        <f>'8 Eliteaktivitet'!AR46</f>
        <v>0</v>
      </c>
      <c r="K58" s="149">
        <f>'9 Anlegg og infrastruktur'!X47</f>
        <v>0</v>
      </c>
      <c r="L58" s="131">
        <f t="shared" si="0"/>
        <v>0</v>
      </c>
    </row>
    <row r="59" spans="1:12" ht="15.75" thickBot="1" x14ac:dyDescent="0.3">
      <c r="A59" s="7">
        <v>7500</v>
      </c>
      <c r="B59" s="15" t="s">
        <v>41</v>
      </c>
      <c r="C59" s="149">
        <f>'1 Administrasjon'!AQ54</f>
        <v>0</v>
      </c>
      <c r="D59" s="149">
        <f>'2 Ekstern kommunikasjon'!X47</f>
        <v>0</v>
      </c>
      <c r="E59" s="149">
        <f>'3 Forbundsutvikling'!AB47</f>
        <v>0</v>
      </c>
      <c r="F59" s="149">
        <f>'4. Utvilklingstiltak'!AZ48</f>
        <v>0</v>
      </c>
      <c r="G59" s="149">
        <f>'5 Klubbutvikling'!AN47</f>
        <v>0</v>
      </c>
      <c r="H59" s="149">
        <f>'6 Barn og Ungdom'!AN47</f>
        <v>0</v>
      </c>
      <c r="I59" s="149">
        <f>'7 Konkurranse'!AN54</f>
        <v>27300</v>
      </c>
      <c r="J59" s="149">
        <f>'8 Eliteaktivitet'!AR47</f>
        <v>0</v>
      </c>
      <c r="K59" s="149">
        <f>'9 Anlegg og infrastruktur'!X48</f>
        <v>0</v>
      </c>
      <c r="L59" s="131">
        <f t="shared" si="0"/>
        <v>27300</v>
      </c>
    </row>
    <row r="60" spans="1:12" hidden="1" thickBot="1" x14ac:dyDescent="0.35">
      <c r="A60" s="7">
        <v>7746</v>
      </c>
      <c r="B60" s="15" t="s">
        <v>42</v>
      </c>
      <c r="C60" s="149">
        <f>'1 Administrasjon'!AQ55</f>
        <v>0</v>
      </c>
      <c r="D60" s="149">
        <f>'2 Ekstern kommunikasjon'!X48</f>
        <v>0</v>
      </c>
      <c r="E60" s="149">
        <f>'3 Forbundsutvikling'!AB48</f>
        <v>0</v>
      </c>
      <c r="F60" s="149">
        <f>'4. Utvilklingstiltak'!AZ49</f>
        <v>0</v>
      </c>
      <c r="G60" s="149">
        <f>'5 Klubbutvikling'!AN48</f>
        <v>0</v>
      </c>
      <c r="H60" s="149">
        <f>'6 Barn og Ungdom'!AN48</f>
        <v>0</v>
      </c>
      <c r="I60" s="149">
        <f>'7 Konkurranse'!AN55</f>
        <v>0</v>
      </c>
      <c r="J60" s="149">
        <f>'8 Eliteaktivitet'!AR48</f>
        <v>0</v>
      </c>
      <c r="K60" s="149">
        <f>'9 Anlegg og infrastruktur'!X49</f>
        <v>0</v>
      </c>
      <c r="L60" s="131">
        <f t="shared" si="0"/>
        <v>0</v>
      </c>
    </row>
    <row r="61" spans="1:12" ht="15.75" thickBot="1" x14ac:dyDescent="0.3">
      <c r="A61" s="7">
        <v>7770</v>
      </c>
      <c r="B61" s="15" t="s">
        <v>43</v>
      </c>
      <c r="C61" s="149">
        <f>'1 Administrasjon'!AQ56</f>
        <v>2500</v>
      </c>
      <c r="D61" s="149">
        <f>'2 Ekstern kommunikasjon'!X49</f>
        <v>0</v>
      </c>
      <c r="E61" s="149">
        <f>'3 Forbundsutvikling'!AB49</f>
        <v>0</v>
      </c>
      <c r="F61" s="149">
        <f>'4. Utvilklingstiltak'!AZ50</f>
        <v>0</v>
      </c>
      <c r="G61" s="149">
        <f>'5 Klubbutvikling'!AN49</f>
        <v>0</v>
      </c>
      <c r="H61" s="149">
        <f>'6 Barn og Ungdom'!AN49</f>
        <v>0</v>
      </c>
      <c r="I61" s="149">
        <f>'7 Konkurranse'!AN56</f>
        <v>0</v>
      </c>
      <c r="J61" s="149">
        <f>'8 Eliteaktivitet'!AR49</f>
        <v>0</v>
      </c>
      <c r="K61" s="149">
        <f>'9 Anlegg og infrastruktur'!X50</f>
        <v>0</v>
      </c>
      <c r="L61" s="131">
        <f t="shared" si="0"/>
        <v>2500</v>
      </c>
    </row>
    <row r="62" spans="1:12" ht="15.75" thickBot="1" x14ac:dyDescent="0.3">
      <c r="A62" s="10">
        <v>7775</v>
      </c>
      <c r="B62" s="16" t="s">
        <v>44</v>
      </c>
      <c r="C62" s="149">
        <f>'1 Administrasjon'!AQ57</f>
        <v>0</v>
      </c>
      <c r="D62" s="149">
        <f>'2 Ekstern kommunikasjon'!X50</f>
        <v>0</v>
      </c>
      <c r="E62" s="149">
        <f>'3 Forbundsutvikling'!AB50</f>
        <v>0</v>
      </c>
      <c r="F62" s="149">
        <f>'4. Utvilklingstiltak'!AZ51</f>
        <v>988</v>
      </c>
      <c r="G62" s="149">
        <f>'5 Klubbutvikling'!AN50</f>
        <v>0</v>
      </c>
      <c r="H62" s="149">
        <f>'6 Barn og Ungdom'!AN50</f>
        <v>0</v>
      </c>
      <c r="I62" s="149">
        <f>'7 Konkurranse'!AN57</f>
        <v>0</v>
      </c>
      <c r="J62" s="149">
        <f>'8 Eliteaktivitet'!AR50</f>
        <v>0</v>
      </c>
      <c r="K62" s="149">
        <f>'9 Anlegg og infrastruktur'!X51</f>
        <v>0</v>
      </c>
      <c r="L62" s="131">
        <f t="shared" si="0"/>
        <v>988</v>
      </c>
    </row>
    <row r="63" spans="1:12" ht="15.75" thickBot="1" x14ac:dyDescent="0.3">
      <c r="A63" s="52"/>
      <c r="B63" s="31" t="s">
        <v>74</v>
      </c>
      <c r="C63" s="129">
        <f>'1 Administrasjon'!AQ58</f>
        <v>481035.011</v>
      </c>
      <c r="D63" s="129">
        <f>'2 Ekstern kommunikasjon'!X51</f>
        <v>13000</v>
      </c>
      <c r="E63" s="129">
        <f>'3 Forbundsutvikling'!AB51</f>
        <v>111720</v>
      </c>
      <c r="F63" s="129">
        <f>'4. Utvilklingstiltak'!AZ52</f>
        <v>327248.44189199997</v>
      </c>
      <c r="G63" s="129">
        <f>'5 Klubbutvikling'!AN51</f>
        <v>74000</v>
      </c>
      <c r="H63" s="129">
        <f>'6 Barn og Ungdom'!AN51</f>
        <v>282002.59789199999</v>
      </c>
      <c r="I63" s="131">
        <f>'7 Konkurranse'!AN58</f>
        <v>430227.103856</v>
      </c>
      <c r="J63" s="131">
        <f>'8 Eliteaktivitet'!AR51</f>
        <v>422184.4</v>
      </c>
      <c r="K63" s="131">
        <f>'9 Anlegg og infrastruktur'!X52</f>
        <v>250000</v>
      </c>
      <c r="L63" s="131">
        <f t="shared" si="0"/>
        <v>2391417.5546399998</v>
      </c>
    </row>
    <row r="64" spans="1:12" ht="15.75" thickBot="1" x14ac:dyDescent="0.3">
      <c r="B64" s="151" t="s">
        <v>51</v>
      </c>
      <c r="C64" s="129">
        <f>C16-C63</f>
        <v>1268964.9890000001</v>
      </c>
      <c r="D64" s="129">
        <f t="shared" ref="D64:L64" si="1">D16-D63</f>
        <v>-13000</v>
      </c>
      <c r="E64" s="129">
        <f t="shared" si="1"/>
        <v>-108720</v>
      </c>
      <c r="F64" s="129">
        <f t="shared" si="1"/>
        <v>-291259.44189199997</v>
      </c>
      <c r="G64" s="129">
        <f t="shared" si="1"/>
        <v>-74000</v>
      </c>
      <c r="H64" s="129">
        <f t="shared" si="1"/>
        <v>-282002.59789199999</v>
      </c>
      <c r="I64" s="131">
        <f t="shared" si="1"/>
        <v>-244227.103856</v>
      </c>
      <c r="J64" s="131">
        <f t="shared" si="1"/>
        <v>-348184.4</v>
      </c>
      <c r="K64" s="131">
        <f t="shared" si="1"/>
        <v>-250000</v>
      </c>
      <c r="L64" s="131">
        <f t="shared" si="1"/>
        <v>-342428.55463999975</v>
      </c>
    </row>
  </sheetData>
  <sheetProtection algorithmName="SHA-512" hashValue="FHmrEwjPejSRLt4s6epyWvRQp90qWi14iXJRlmh3oRHG/oCPoPzYPG0Kv+99UndcoTt7hD8XGlOmu2HZ0VO96w==" saltValue="5VF5S/meNianVfSBRwwnLA==" spinCount="100000" sheet="1" objects="1" scenarios="1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3"/>
  <sheetViews>
    <sheetView zoomScale="70" zoomScaleNormal="70" zoomScalePageLayoutView="90" workbookViewId="0">
      <pane xSplit="3" topLeftCell="X1" activePane="topRight" state="frozen"/>
      <selection pane="topRight" activeCell="AB16" sqref="AB16"/>
    </sheetView>
  </sheetViews>
  <sheetFormatPr baseColWidth="10" defaultColWidth="11.42578125" defaultRowHeight="15" x14ac:dyDescent="0.25"/>
  <cols>
    <col min="1" max="1" width="9.42578125" style="1" bestFit="1" customWidth="1"/>
    <col min="2" max="2" width="8.5703125" style="1" bestFit="1" customWidth="1"/>
    <col min="3" max="3" width="37.5703125" style="1" bestFit="1" customWidth="1"/>
    <col min="4" max="4" width="17.140625" style="19" bestFit="1" customWidth="1"/>
    <col min="5" max="5" width="36.42578125" style="195" bestFit="1" customWidth="1"/>
    <col min="6" max="6" width="19.140625" style="19" bestFit="1" customWidth="1"/>
    <col min="7" max="7" width="4.5703125" style="9" customWidth="1"/>
    <col min="8" max="8" width="17.140625" style="1" bestFit="1" customWidth="1"/>
    <col min="9" max="9" width="36.7109375" style="197" bestFit="1" customWidth="1"/>
    <col min="10" max="10" width="19.140625" style="1" bestFit="1" customWidth="1"/>
    <col min="11" max="11" width="4.5703125" style="9" customWidth="1"/>
    <col min="12" max="12" width="17.140625" style="1" bestFit="1" customWidth="1"/>
    <col min="13" max="13" width="41.42578125" style="1" bestFit="1" customWidth="1"/>
    <col min="14" max="14" width="19.140625" style="1" bestFit="1" customWidth="1"/>
    <col min="15" max="15" width="7.5703125" style="9" bestFit="1" customWidth="1"/>
    <col min="16" max="16" width="17.140625" style="1" bestFit="1" customWidth="1"/>
    <col min="17" max="17" width="16.85546875" style="1" bestFit="1" customWidth="1"/>
    <col min="18" max="18" width="19.140625" style="9" bestFit="1" customWidth="1"/>
    <col min="19" max="19" width="4.5703125" style="9" customWidth="1"/>
    <col min="20" max="20" width="17.140625" style="1" bestFit="1" customWidth="1"/>
    <col min="21" max="21" width="16.42578125" style="9" bestFit="1" customWidth="1"/>
    <col min="22" max="22" width="19.140625" style="1" bestFit="1" customWidth="1"/>
    <col min="23" max="23" width="7.7109375" style="1" bestFit="1" customWidth="1"/>
    <col min="24" max="24" width="17.140625" style="1" bestFit="1" customWidth="1"/>
    <col min="25" max="25" width="31" style="9" bestFit="1" customWidth="1"/>
    <col min="26" max="26" width="19.140625" style="1" bestFit="1" customWidth="1"/>
    <col min="27" max="27" width="4" style="1" customWidth="1"/>
    <col min="28" max="28" width="17.140625" style="1" bestFit="1" customWidth="1"/>
    <col min="29" max="29" width="16.42578125" style="9" bestFit="1" customWidth="1"/>
    <col min="30" max="30" width="19.140625" style="1" bestFit="1" customWidth="1"/>
    <col min="31" max="31" width="4.5703125" style="9" customWidth="1"/>
    <col min="32" max="32" width="17.140625" style="1" bestFit="1" customWidth="1"/>
    <col min="33" max="33" width="16.42578125" style="9" bestFit="1" customWidth="1"/>
    <col min="34" max="34" width="19.140625" style="1" bestFit="1" customWidth="1"/>
    <col min="35" max="35" width="4.5703125" style="9" customWidth="1"/>
    <col min="36" max="36" width="17.140625" style="1" customWidth="1"/>
    <col min="37" max="37" width="16.42578125" style="9" customWidth="1"/>
    <col min="38" max="38" width="19.140625" style="1" customWidth="1"/>
    <col min="39" max="39" width="4.5703125" style="9" customWidth="1"/>
    <col min="40" max="40" width="17.140625" style="1" customWidth="1"/>
    <col min="41" max="41" width="16.42578125" style="9" customWidth="1"/>
    <col min="42" max="42" width="19.140625" style="1" customWidth="1"/>
    <col min="43" max="43" width="16.5703125" style="1" bestFit="1" customWidth="1"/>
    <col min="44" max="44" width="8.5703125" style="1" bestFit="1" customWidth="1"/>
    <col min="45" max="16384" width="11.42578125" style="1"/>
  </cols>
  <sheetData>
    <row r="1" spans="1:44" ht="36.6" customHeight="1" thickBot="1" x14ac:dyDescent="0.3">
      <c r="A1" s="39"/>
      <c r="B1" s="260" t="s">
        <v>76</v>
      </c>
      <c r="C1" s="261"/>
      <c r="D1" s="25">
        <v>10000</v>
      </c>
      <c r="E1" s="264" t="s">
        <v>53</v>
      </c>
      <c r="F1" s="265"/>
      <c r="G1" s="2"/>
      <c r="H1" s="25">
        <v>11000</v>
      </c>
      <c r="I1" s="264" t="s">
        <v>333</v>
      </c>
      <c r="J1" s="265" t="s">
        <v>54</v>
      </c>
      <c r="K1" s="2"/>
      <c r="L1" s="25">
        <v>12000</v>
      </c>
      <c r="M1" s="264" t="s">
        <v>55</v>
      </c>
      <c r="N1" s="265"/>
      <c r="O1" s="2"/>
      <c r="P1" s="25">
        <v>19001</v>
      </c>
      <c r="Q1" s="264" t="s">
        <v>263</v>
      </c>
      <c r="R1" s="265"/>
      <c r="S1" s="2"/>
      <c r="T1" s="25">
        <v>19002</v>
      </c>
      <c r="U1" s="264" t="s">
        <v>264</v>
      </c>
      <c r="V1" s="265"/>
      <c r="X1" s="25">
        <v>19003</v>
      </c>
      <c r="Y1" s="266" t="s">
        <v>146</v>
      </c>
      <c r="Z1" s="267"/>
      <c r="AB1" s="25">
        <v>19004</v>
      </c>
      <c r="AC1" s="264" t="s">
        <v>138</v>
      </c>
      <c r="AD1" s="265"/>
      <c r="AE1" s="2"/>
      <c r="AF1" s="25">
        <v>19005</v>
      </c>
      <c r="AG1" s="264" t="s">
        <v>189</v>
      </c>
      <c r="AH1" s="265"/>
      <c r="AI1" s="2"/>
      <c r="AJ1" s="25">
        <v>19006</v>
      </c>
      <c r="AK1" s="264" t="s">
        <v>245</v>
      </c>
      <c r="AL1" s="265"/>
      <c r="AM1" s="2"/>
      <c r="AN1" s="25">
        <v>19007</v>
      </c>
      <c r="AO1" s="264" t="s">
        <v>246</v>
      </c>
      <c r="AP1" s="265"/>
    </row>
    <row r="2" spans="1:44" thickBot="1" x14ac:dyDescent="0.35">
      <c r="A2" s="38"/>
      <c r="B2" s="260" t="s">
        <v>75</v>
      </c>
      <c r="C2" s="261"/>
      <c r="D2" s="20"/>
      <c r="E2" s="189"/>
      <c r="F2" s="22"/>
      <c r="G2" s="3"/>
      <c r="H2" s="20"/>
      <c r="I2" s="189"/>
      <c r="J2" s="22"/>
      <c r="K2" s="3"/>
      <c r="L2" s="20"/>
      <c r="M2" s="21"/>
      <c r="N2" s="22"/>
      <c r="O2" s="3"/>
      <c r="P2" s="20"/>
      <c r="Q2" s="21"/>
      <c r="R2" s="22"/>
      <c r="S2" s="3"/>
      <c r="T2" s="20"/>
      <c r="U2" s="21"/>
      <c r="V2" s="22"/>
      <c r="X2" s="20"/>
      <c r="Y2" s="21"/>
      <c r="Z2" s="22"/>
      <c r="AB2" s="20"/>
      <c r="AC2" s="21"/>
      <c r="AD2" s="22"/>
      <c r="AE2" s="3"/>
      <c r="AF2" s="20"/>
      <c r="AG2" s="21"/>
      <c r="AH2" s="22"/>
      <c r="AI2" s="3"/>
      <c r="AJ2" s="20"/>
      <c r="AK2" s="21"/>
      <c r="AL2" s="22"/>
      <c r="AM2" s="3"/>
      <c r="AN2" s="20"/>
      <c r="AO2" s="21"/>
      <c r="AP2" s="22"/>
    </row>
    <row r="3" spans="1:44" thickBot="1" x14ac:dyDescent="0.35">
      <c r="B3" s="4" t="s">
        <v>0</v>
      </c>
      <c r="C3" s="24" t="s">
        <v>47</v>
      </c>
      <c r="D3" s="35" t="s">
        <v>217</v>
      </c>
      <c r="E3" s="190" t="s">
        <v>70</v>
      </c>
      <c r="F3" s="37" t="s">
        <v>218</v>
      </c>
      <c r="G3" s="5"/>
      <c r="H3" s="35" t="s">
        <v>217</v>
      </c>
      <c r="I3" s="190" t="s">
        <v>70</v>
      </c>
      <c r="J3" s="37" t="s">
        <v>218</v>
      </c>
      <c r="K3" s="5"/>
      <c r="L3" s="35" t="s">
        <v>217</v>
      </c>
      <c r="M3" s="36" t="s">
        <v>70</v>
      </c>
      <c r="N3" s="37" t="s">
        <v>218</v>
      </c>
      <c r="O3" s="5"/>
      <c r="P3" s="35" t="s">
        <v>217</v>
      </c>
      <c r="Q3" s="36" t="s">
        <v>70</v>
      </c>
      <c r="R3" s="37" t="s">
        <v>218</v>
      </c>
      <c r="S3" s="5"/>
      <c r="T3" s="35" t="s">
        <v>217</v>
      </c>
      <c r="U3" s="36" t="s">
        <v>70</v>
      </c>
      <c r="V3" s="37" t="s">
        <v>218</v>
      </c>
      <c r="X3" s="35" t="s">
        <v>217</v>
      </c>
      <c r="Y3" s="36" t="s">
        <v>70</v>
      </c>
      <c r="Z3" s="37" t="s">
        <v>218</v>
      </c>
      <c r="AB3" s="35" t="s">
        <v>217</v>
      </c>
      <c r="AC3" s="36" t="s">
        <v>70</v>
      </c>
      <c r="AD3" s="37" t="s">
        <v>218</v>
      </c>
      <c r="AE3" s="5"/>
      <c r="AF3" s="35" t="s">
        <v>217</v>
      </c>
      <c r="AG3" s="36" t="s">
        <v>70</v>
      </c>
      <c r="AH3" s="37" t="s">
        <v>218</v>
      </c>
      <c r="AI3" s="5"/>
      <c r="AJ3" s="35" t="s">
        <v>217</v>
      </c>
      <c r="AK3" s="36" t="s">
        <v>70</v>
      </c>
      <c r="AL3" s="37" t="s">
        <v>218</v>
      </c>
      <c r="AM3" s="5"/>
      <c r="AN3" s="35" t="s">
        <v>217</v>
      </c>
      <c r="AO3" s="36" t="s">
        <v>70</v>
      </c>
      <c r="AP3" s="37" t="s">
        <v>218</v>
      </c>
      <c r="AQ3" s="133" t="s">
        <v>52</v>
      </c>
      <c r="AR3" s="137" t="s">
        <v>0</v>
      </c>
    </row>
    <row r="4" spans="1:44" thickBot="1" x14ac:dyDescent="0.35">
      <c r="A4" s="6" t="s">
        <v>45</v>
      </c>
      <c r="B4" s="7">
        <v>3100</v>
      </c>
      <c r="C4" s="23" t="s">
        <v>3</v>
      </c>
      <c r="D4" s="113">
        <v>0</v>
      </c>
      <c r="E4" s="132"/>
      <c r="F4" s="115"/>
      <c r="H4" s="113"/>
      <c r="I4" s="132"/>
      <c r="J4" s="115"/>
      <c r="K4" s="116"/>
      <c r="L4" s="113"/>
      <c r="M4" s="114"/>
      <c r="N4" s="115"/>
      <c r="O4" s="116"/>
      <c r="P4" s="113"/>
      <c r="Q4" s="114"/>
      <c r="R4" s="115"/>
      <c r="S4" s="116"/>
      <c r="T4" s="113"/>
      <c r="U4" s="114"/>
      <c r="V4" s="115"/>
      <c r="W4" s="130"/>
      <c r="X4" s="113"/>
      <c r="Y4" s="114"/>
      <c r="Z4" s="115"/>
      <c r="AA4" s="130"/>
      <c r="AB4" s="113"/>
      <c r="AC4" s="114"/>
      <c r="AD4" s="115"/>
      <c r="AE4" s="116"/>
      <c r="AF4" s="113"/>
      <c r="AG4" s="114"/>
      <c r="AH4" s="115"/>
      <c r="AJ4" s="113"/>
      <c r="AK4" s="114"/>
      <c r="AL4" s="115"/>
      <c r="AM4" s="116"/>
      <c r="AN4" s="113"/>
      <c r="AO4" s="114"/>
      <c r="AP4" s="115"/>
      <c r="AQ4" s="129">
        <f t="shared" ref="AQ4:AQ57" si="0">AF4+AB4+X4+T4+P4+L4+H4+D4+AN4+AJ4</f>
        <v>0</v>
      </c>
      <c r="AR4" s="138">
        <v>3100</v>
      </c>
    </row>
    <row r="5" spans="1:44" hidden="1" thickBot="1" x14ac:dyDescent="0.35">
      <c r="B5" s="7">
        <v>3120</v>
      </c>
      <c r="C5" s="8" t="s">
        <v>4</v>
      </c>
      <c r="D5" s="113"/>
      <c r="E5" s="132"/>
      <c r="F5" s="115"/>
      <c r="H5" s="113"/>
      <c r="I5" s="132"/>
      <c r="J5" s="115"/>
      <c r="K5" s="116"/>
      <c r="L5" s="113"/>
      <c r="M5" s="114"/>
      <c r="N5" s="115"/>
      <c r="O5" s="116"/>
      <c r="P5" s="113"/>
      <c r="Q5" s="114"/>
      <c r="R5" s="115"/>
      <c r="S5" s="116"/>
      <c r="T5" s="113"/>
      <c r="U5" s="114"/>
      <c r="V5" s="115"/>
      <c r="W5" s="130"/>
      <c r="X5" s="113"/>
      <c r="Y5" s="114"/>
      <c r="Z5" s="115"/>
      <c r="AA5" s="130"/>
      <c r="AB5" s="113"/>
      <c r="AC5" s="114"/>
      <c r="AD5" s="115"/>
      <c r="AE5" s="116"/>
      <c r="AF5" s="113"/>
      <c r="AG5" s="114"/>
      <c r="AH5" s="115"/>
      <c r="AJ5" s="113"/>
      <c r="AK5" s="114"/>
      <c r="AL5" s="115"/>
      <c r="AM5" s="116"/>
      <c r="AN5" s="113"/>
      <c r="AO5" s="114"/>
      <c r="AP5" s="115"/>
      <c r="AQ5" s="129">
        <f t="shared" si="0"/>
        <v>0</v>
      </c>
      <c r="AR5" s="138">
        <v>3120</v>
      </c>
    </row>
    <row r="6" spans="1:44" thickBot="1" x14ac:dyDescent="0.35">
      <c r="B6" s="7">
        <v>3400</v>
      </c>
      <c r="C6" s="8" t="s">
        <v>5</v>
      </c>
      <c r="D6" s="113"/>
      <c r="E6" s="132"/>
      <c r="F6" s="115"/>
      <c r="H6" s="113"/>
      <c r="I6" s="132"/>
      <c r="J6" s="115"/>
      <c r="K6" s="116"/>
      <c r="L6" s="113"/>
      <c r="M6" s="114"/>
      <c r="N6" s="115"/>
      <c r="O6" s="116"/>
      <c r="P6" s="113"/>
      <c r="Q6" s="114"/>
      <c r="R6" s="115"/>
      <c r="S6" s="116"/>
      <c r="T6" s="113">
        <v>200000</v>
      </c>
      <c r="U6" s="114" t="s">
        <v>273</v>
      </c>
      <c r="V6" s="115"/>
      <c r="W6" s="130"/>
      <c r="X6" s="113">
        <v>500000</v>
      </c>
      <c r="Y6" s="114" t="s">
        <v>274</v>
      </c>
      <c r="Z6" s="115">
        <v>200000</v>
      </c>
      <c r="AA6" s="130"/>
      <c r="AB6" s="113">
        <v>0</v>
      </c>
      <c r="AC6" s="114" t="s">
        <v>138</v>
      </c>
      <c r="AD6" s="115">
        <v>0</v>
      </c>
      <c r="AE6" s="116"/>
      <c r="AF6" s="113"/>
      <c r="AG6" s="114"/>
      <c r="AH6" s="115"/>
      <c r="AJ6" s="113"/>
      <c r="AK6" s="114"/>
      <c r="AL6" s="115"/>
      <c r="AM6" s="116"/>
      <c r="AN6" s="113"/>
      <c r="AO6" s="114"/>
      <c r="AP6" s="115"/>
      <c r="AQ6" s="129">
        <f t="shared" si="0"/>
        <v>700000</v>
      </c>
      <c r="AR6" s="138">
        <v>3400</v>
      </c>
    </row>
    <row r="7" spans="1:44" thickBot="1" x14ac:dyDescent="0.35">
      <c r="B7" s="7">
        <v>3410</v>
      </c>
      <c r="C7" s="8" t="s">
        <v>6</v>
      </c>
      <c r="D7" s="113"/>
      <c r="E7" s="132"/>
      <c r="F7" s="115"/>
      <c r="H7" s="113"/>
      <c r="I7" s="132"/>
      <c r="J7" s="115"/>
      <c r="K7" s="116"/>
      <c r="L7" s="113"/>
      <c r="M7" s="114"/>
      <c r="N7" s="115"/>
      <c r="O7" s="116"/>
      <c r="P7" s="113">
        <v>730000</v>
      </c>
      <c r="Q7" s="114" t="s">
        <v>190</v>
      </c>
      <c r="R7" s="115"/>
      <c r="S7" s="116"/>
      <c r="T7" s="113"/>
      <c r="U7" s="114"/>
      <c r="V7" s="115"/>
      <c r="W7" s="130"/>
      <c r="X7" s="113"/>
      <c r="Y7" s="114"/>
      <c r="Z7" s="115"/>
      <c r="AA7" s="130"/>
      <c r="AB7" s="113"/>
      <c r="AC7" s="114"/>
      <c r="AD7" s="115"/>
      <c r="AE7" s="116"/>
      <c r="AF7" s="113"/>
      <c r="AG7" s="114"/>
      <c r="AH7" s="115"/>
      <c r="AJ7" s="113"/>
      <c r="AK7" s="114"/>
      <c r="AL7" s="115"/>
      <c r="AM7" s="116"/>
      <c r="AN7" s="113"/>
      <c r="AO7" s="114"/>
      <c r="AP7" s="115"/>
      <c r="AQ7" s="129">
        <f t="shared" si="0"/>
        <v>730000</v>
      </c>
      <c r="AR7" s="138">
        <v>3410</v>
      </c>
    </row>
    <row r="8" spans="1:44" hidden="1" thickBot="1" x14ac:dyDescent="0.35">
      <c r="B8" s="7">
        <v>3900</v>
      </c>
      <c r="C8" s="8" t="s">
        <v>7</v>
      </c>
      <c r="D8" s="113"/>
      <c r="E8" s="132"/>
      <c r="F8" s="115"/>
      <c r="H8" s="113"/>
      <c r="I8" s="132"/>
      <c r="J8" s="115"/>
      <c r="K8" s="116"/>
      <c r="L8" s="113"/>
      <c r="M8" s="114"/>
      <c r="N8" s="115"/>
      <c r="O8" s="116"/>
      <c r="P8" s="113"/>
      <c r="Q8" s="114"/>
      <c r="R8" s="115"/>
      <c r="S8" s="116"/>
      <c r="T8" s="113"/>
      <c r="U8" s="114"/>
      <c r="V8" s="115"/>
      <c r="W8" s="130"/>
      <c r="X8" s="113"/>
      <c r="Y8" s="114"/>
      <c r="Z8" s="115"/>
      <c r="AA8" s="130"/>
      <c r="AB8" s="113"/>
      <c r="AC8" s="114"/>
      <c r="AD8" s="115"/>
      <c r="AE8" s="116"/>
      <c r="AF8" s="113"/>
      <c r="AG8" s="114"/>
      <c r="AH8" s="115"/>
      <c r="AJ8" s="113"/>
      <c r="AK8" s="114"/>
      <c r="AL8" s="115"/>
      <c r="AM8" s="116"/>
      <c r="AN8" s="113"/>
      <c r="AO8" s="114"/>
      <c r="AP8" s="115"/>
      <c r="AQ8" s="129">
        <f t="shared" si="0"/>
        <v>0</v>
      </c>
      <c r="AR8" s="138">
        <v>3900</v>
      </c>
    </row>
    <row r="9" spans="1:44" hidden="1" thickBot="1" x14ac:dyDescent="0.35">
      <c r="B9" s="7">
        <v>3910</v>
      </c>
      <c r="C9" s="8" t="s">
        <v>8</v>
      </c>
      <c r="D9" s="113"/>
      <c r="E9" s="132"/>
      <c r="F9" s="115"/>
      <c r="H9" s="113"/>
      <c r="I9" s="132"/>
      <c r="J9" s="115"/>
      <c r="K9" s="116"/>
      <c r="L9" s="113">
        <v>0</v>
      </c>
      <c r="M9" s="114"/>
      <c r="N9" s="115"/>
      <c r="O9" s="116"/>
      <c r="P9" s="113"/>
      <c r="Q9" s="114"/>
      <c r="R9" s="115"/>
      <c r="S9" s="116"/>
      <c r="T9" s="113"/>
      <c r="U9" s="114"/>
      <c r="V9" s="115"/>
      <c r="W9" s="130"/>
      <c r="X9" s="113"/>
      <c r="Y9" s="114"/>
      <c r="Z9" s="115"/>
      <c r="AA9" s="130"/>
      <c r="AB9" s="113"/>
      <c r="AC9" s="114"/>
      <c r="AD9" s="115"/>
      <c r="AE9" s="116"/>
      <c r="AF9" s="113"/>
      <c r="AG9" s="114"/>
      <c r="AH9" s="115"/>
      <c r="AJ9" s="113"/>
      <c r="AK9" s="114"/>
      <c r="AL9" s="115"/>
      <c r="AM9" s="116"/>
      <c r="AN9" s="113"/>
      <c r="AO9" s="114"/>
      <c r="AP9" s="115"/>
      <c r="AQ9" s="129">
        <f t="shared" si="0"/>
        <v>0</v>
      </c>
      <c r="AR9" s="138">
        <v>3910</v>
      </c>
    </row>
    <row r="10" spans="1:44" thickBot="1" x14ac:dyDescent="0.35">
      <c r="B10" s="7">
        <v>3950</v>
      </c>
      <c r="C10" s="8" t="s">
        <v>9</v>
      </c>
      <c r="D10" s="113"/>
      <c r="E10" s="132"/>
      <c r="F10" s="115"/>
      <c r="H10" s="113"/>
      <c r="I10" s="132"/>
      <c r="J10" s="115"/>
      <c r="K10" s="116"/>
      <c r="L10" s="113"/>
      <c r="M10" s="114"/>
      <c r="N10" s="115"/>
      <c r="O10" s="116"/>
      <c r="P10" s="113"/>
      <c r="Q10" s="114"/>
      <c r="R10" s="115"/>
      <c r="S10" s="116"/>
      <c r="T10" s="113"/>
      <c r="U10" s="114"/>
      <c r="V10" s="115"/>
      <c r="W10" s="130"/>
      <c r="X10" s="113"/>
      <c r="Y10" s="114"/>
      <c r="Z10" s="115"/>
      <c r="AA10" s="130"/>
      <c r="AB10" s="113"/>
      <c r="AC10" s="114"/>
      <c r="AD10" s="115"/>
      <c r="AE10" s="116"/>
      <c r="AF10" s="113"/>
      <c r="AG10" s="114"/>
      <c r="AH10" s="115"/>
      <c r="AJ10" s="113">
        <v>100000</v>
      </c>
      <c r="AK10" s="114"/>
      <c r="AL10" s="115"/>
      <c r="AM10" s="116"/>
      <c r="AN10" s="113">
        <v>20000</v>
      </c>
      <c r="AO10" s="114"/>
      <c r="AP10" s="115"/>
      <c r="AQ10" s="129">
        <f t="shared" si="0"/>
        <v>120000</v>
      </c>
      <c r="AR10" s="138">
        <v>3950</v>
      </c>
    </row>
    <row r="11" spans="1:44" thickBot="1" x14ac:dyDescent="0.35">
      <c r="B11" s="7">
        <v>3951</v>
      </c>
      <c r="C11" s="8" t="s">
        <v>137</v>
      </c>
      <c r="D11" s="113"/>
      <c r="E11" s="132"/>
      <c r="F11" s="115"/>
      <c r="H11" s="113"/>
      <c r="I11" s="132"/>
      <c r="J11" s="115"/>
      <c r="K11" s="116"/>
      <c r="L11" s="113"/>
      <c r="M11" s="114"/>
      <c r="N11" s="115"/>
      <c r="O11" s="116"/>
      <c r="P11" s="113"/>
      <c r="Q11" s="114"/>
      <c r="R11" s="115"/>
      <c r="S11" s="116"/>
      <c r="T11" s="113"/>
      <c r="U11" s="114"/>
      <c r="V11" s="115"/>
      <c r="W11" s="130"/>
      <c r="X11" s="113"/>
      <c r="Y11" s="114"/>
      <c r="Z11" s="115"/>
      <c r="AA11" s="130"/>
      <c r="AB11" s="113"/>
      <c r="AC11" s="114"/>
      <c r="AD11" s="115"/>
      <c r="AE11" s="116"/>
      <c r="AF11" s="113">
        <v>200000</v>
      </c>
      <c r="AG11" s="114"/>
      <c r="AH11" s="115">
        <v>0</v>
      </c>
      <c r="AJ11" s="113"/>
      <c r="AK11" s="114"/>
      <c r="AL11" s="115"/>
      <c r="AM11" s="116"/>
      <c r="AN11" s="113"/>
      <c r="AO11" s="114"/>
      <c r="AP11" s="115"/>
      <c r="AQ11" s="129">
        <f t="shared" si="0"/>
        <v>200000</v>
      </c>
      <c r="AR11" s="138">
        <v>3951</v>
      </c>
    </row>
    <row r="12" spans="1:44" ht="15.75" thickBot="1" x14ac:dyDescent="0.3">
      <c r="B12" s="30"/>
      <c r="C12" s="31" t="s">
        <v>73</v>
      </c>
      <c r="D12" s="120">
        <f>SUM(D4:D11)</f>
        <v>0</v>
      </c>
      <c r="E12" s="191">
        <f t="shared" ref="E12:AF12" si="1">SUM(E4:E11)</f>
        <v>0</v>
      </c>
      <c r="F12" s="131"/>
      <c r="G12" s="13"/>
      <c r="H12" s="120">
        <f t="shared" si="1"/>
        <v>0</v>
      </c>
      <c r="I12" s="191">
        <f t="shared" si="1"/>
        <v>0</v>
      </c>
      <c r="J12" s="131">
        <f t="shared" si="1"/>
        <v>0</v>
      </c>
      <c r="K12" s="127"/>
      <c r="L12" s="120">
        <f t="shared" si="1"/>
        <v>0</v>
      </c>
      <c r="M12" s="120">
        <f t="shared" si="1"/>
        <v>0</v>
      </c>
      <c r="N12" s="131">
        <f t="shared" si="1"/>
        <v>0</v>
      </c>
      <c r="O12" s="127"/>
      <c r="P12" s="120">
        <f t="shared" si="1"/>
        <v>730000</v>
      </c>
      <c r="Q12" s="120">
        <f t="shared" si="1"/>
        <v>0</v>
      </c>
      <c r="R12" s="131">
        <v>746024</v>
      </c>
      <c r="S12" s="127"/>
      <c r="T12" s="120">
        <f t="shared" si="1"/>
        <v>200000</v>
      </c>
      <c r="U12" s="120">
        <f t="shared" si="1"/>
        <v>0</v>
      </c>
      <c r="V12" s="131">
        <v>200400</v>
      </c>
      <c r="W12" s="127"/>
      <c r="X12" s="120">
        <f t="shared" si="1"/>
        <v>500000</v>
      </c>
      <c r="Y12" s="120">
        <f t="shared" si="1"/>
        <v>0</v>
      </c>
      <c r="Z12" s="131">
        <v>507641</v>
      </c>
      <c r="AA12" s="127"/>
      <c r="AB12" s="120">
        <f t="shared" si="1"/>
        <v>0</v>
      </c>
      <c r="AC12" s="120"/>
      <c r="AD12" s="131">
        <v>2112</v>
      </c>
      <c r="AE12" s="127"/>
      <c r="AF12" s="120">
        <f t="shared" si="1"/>
        <v>200000</v>
      </c>
      <c r="AG12" s="120"/>
      <c r="AH12" s="131">
        <v>422917.61</v>
      </c>
      <c r="AI12" s="13"/>
      <c r="AJ12" s="120">
        <f t="shared" ref="AJ12" si="2">SUM(AJ4:AJ11)</f>
        <v>100000</v>
      </c>
      <c r="AK12" s="120"/>
      <c r="AL12" s="131">
        <v>102817</v>
      </c>
      <c r="AM12" s="127"/>
      <c r="AN12" s="120">
        <f t="shared" ref="AN12" si="3">SUM(AN4:AN11)</f>
        <v>20000</v>
      </c>
      <c r="AO12" s="120"/>
      <c r="AP12" s="131">
        <v>18740</v>
      </c>
      <c r="AQ12" s="129">
        <f t="shared" si="0"/>
        <v>1750000</v>
      </c>
      <c r="AR12" s="139"/>
    </row>
    <row r="13" spans="1:44" ht="15.75" thickBot="1" x14ac:dyDescent="0.3">
      <c r="A13" s="27" t="s">
        <v>46</v>
      </c>
      <c r="B13" s="26">
        <v>5000</v>
      </c>
      <c r="C13" s="29" t="s">
        <v>10</v>
      </c>
      <c r="D13" s="123">
        <f>Lønnsmatrise!D55</f>
        <v>216300</v>
      </c>
      <c r="E13" s="132"/>
      <c r="F13" s="115"/>
      <c r="H13" s="123"/>
      <c r="I13" s="132"/>
      <c r="J13" s="115"/>
      <c r="K13" s="116"/>
      <c r="L13" s="123"/>
      <c r="M13" s="114"/>
      <c r="N13" s="115"/>
      <c r="O13" s="116"/>
      <c r="P13" s="123"/>
      <c r="Q13" s="114"/>
      <c r="R13" s="115"/>
      <c r="S13" s="116"/>
      <c r="T13" s="123"/>
      <c r="U13" s="114"/>
      <c r="V13" s="115"/>
      <c r="W13" s="130"/>
      <c r="X13" s="123"/>
      <c r="Y13" s="114"/>
      <c r="Z13" s="115"/>
      <c r="AA13" s="130"/>
      <c r="AB13" s="123"/>
      <c r="AC13" s="114"/>
      <c r="AD13" s="115"/>
      <c r="AE13" s="116"/>
      <c r="AF13" s="123"/>
      <c r="AG13" s="114"/>
      <c r="AH13" s="115"/>
      <c r="AJ13" s="123"/>
      <c r="AK13" s="114"/>
      <c r="AL13" s="115"/>
      <c r="AM13" s="116"/>
      <c r="AN13" s="123"/>
      <c r="AO13" s="114"/>
      <c r="AP13" s="115"/>
      <c r="AQ13" s="129">
        <f t="shared" si="0"/>
        <v>216300</v>
      </c>
      <c r="AR13" s="140">
        <v>5000</v>
      </c>
    </row>
    <row r="14" spans="1:44" hidden="1" thickBot="1" x14ac:dyDescent="0.35">
      <c r="B14" s="7">
        <v>5001</v>
      </c>
      <c r="C14" s="15" t="s">
        <v>11</v>
      </c>
      <c r="D14" s="123">
        <f>Lønnsmatrise!D56</f>
        <v>0</v>
      </c>
      <c r="E14" s="132"/>
      <c r="F14" s="115"/>
      <c r="H14" s="123"/>
      <c r="I14" s="132"/>
      <c r="J14" s="115"/>
      <c r="K14" s="116"/>
      <c r="L14" s="123"/>
      <c r="M14" s="114"/>
      <c r="N14" s="115"/>
      <c r="O14" s="116"/>
      <c r="P14" s="123"/>
      <c r="Q14" s="114"/>
      <c r="R14" s="115"/>
      <c r="S14" s="116"/>
      <c r="T14" s="123"/>
      <c r="U14" s="114"/>
      <c r="V14" s="115"/>
      <c r="W14" s="130"/>
      <c r="X14" s="123"/>
      <c r="Y14" s="114"/>
      <c r="Z14" s="115"/>
      <c r="AA14" s="130"/>
      <c r="AB14" s="123"/>
      <c r="AC14" s="114"/>
      <c r="AD14" s="115"/>
      <c r="AE14" s="116"/>
      <c r="AF14" s="123"/>
      <c r="AG14" s="114"/>
      <c r="AH14" s="115"/>
      <c r="AJ14" s="123"/>
      <c r="AK14" s="114"/>
      <c r="AL14" s="115"/>
      <c r="AM14" s="116"/>
      <c r="AN14" s="123"/>
      <c r="AO14" s="114"/>
      <c r="AP14" s="115"/>
      <c r="AQ14" s="129">
        <f t="shared" si="0"/>
        <v>0</v>
      </c>
      <c r="AR14" s="138">
        <v>5001</v>
      </c>
    </row>
    <row r="15" spans="1:44" hidden="1" thickBot="1" x14ac:dyDescent="0.35">
      <c r="B15" s="7">
        <v>5004</v>
      </c>
      <c r="C15" s="15" t="s">
        <v>12</v>
      </c>
      <c r="D15" s="123">
        <f>Lønnsmatrise!D57</f>
        <v>0</v>
      </c>
      <c r="E15" s="132"/>
      <c r="F15" s="115"/>
      <c r="H15" s="123"/>
      <c r="I15" s="132"/>
      <c r="J15" s="115"/>
      <c r="K15" s="116"/>
      <c r="L15" s="123"/>
      <c r="M15" s="114"/>
      <c r="N15" s="115"/>
      <c r="O15" s="116"/>
      <c r="P15" s="123"/>
      <c r="Q15" s="114"/>
      <c r="R15" s="115"/>
      <c r="S15" s="116"/>
      <c r="T15" s="123"/>
      <c r="U15" s="114"/>
      <c r="V15" s="115"/>
      <c r="W15" s="130"/>
      <c r="X15" s="123"/>
      <c r="Y15" s="114"/>
      <c r="Z15" s="115"/>
      <c r="AA15" s="130"/>
      <c r="AB15" s="123"/>
      <c r="AC15" s="114"/>
      <c r="AD15" s="115"/>
      <c r="AE15" s="116"/>
      <c r="AF15" s="123"/>
      <c r="AG15" s="114"/>
      <c r="AH15" s="115"/>
      <c r="AJ15" s="123"/>
      <c r="AK15" s="114"/>
      <c r="AL15" s="115"/>
      <c r="AM15" s="116"/>
      <c r="AN15" s="123"/>
      <c r="AO15" s="114"/>
      <c r="AP15" s="115"/>
      <c r="AQ15" s="129">
        <f t="shared" si="0"/>
        <v>0</v>
      </c>
      <c r="AR15" s="138">
        <v>5004</v>
      </c>
    </row>
    <row r="16" spans="1:44" ht="45.75" thickBot="1" x14ac:dyDescent="0.3">
      <c r="B16" s="7">
        <v>5010</v>
      </c>
      <c r="C16" s="15" t="s">
        <v>334</v>
      </c>
      <c r="D16" s="123"/>
      <c r="E16" s="132"/>
      <c r="F16" s="115"/>
      <c r="H16" s="123">
        <f>8000+5000+3*1000</f>
        <v>16000</v>
      </c>
      <c r="I16" s="132" t="s">
        <v>335</v>
      </c>
      <c r="J16" s="115"/>
      <c r="K16" s="116"/>
      <c r="L16" s="123"/>
      <c r="M16" s="114"/>
      <c r="N16" s="115"/>
      <c r="O16" s="116"/>
      <c r="P16" s="123"/>
      <c r="Q16" s="114"/>
      <c r="R16" s="115"/>
      <c r="S16" s="116"/>
      <c r="T16" s="123"/>
      <c r="U16" s="114"/>
      <c r="V16" s="115"/>
      <c r="W16" s="130"/>
      <c r="X16" s="123"/>
      <c r="Y16" s="114"/>
      <c r="Z16" s="115"/>
      <c r="AA16" s="130"/>
      <c r="AB16" s="123"/>
      <c r="AC16" s="114"/>
      <c r="AD16" s="115"/>
      <c r="AE16" s="116"/>
      <c r="AF16" s="123"/>
      <c r="AG16" s="114"/>
      <c r="AH16" s="115"/>
      <c r="AJ16" s="123"/>
      <c r="AK16" s="114"/>
      <c r="AL16" s="115"/>
      <c r="AM16" s="116"/>
      <c r="AN16" s="123"/>
      <c r="AO16" s="114"/>
      <c r="AP16" s="115"/>
      <c r="AQ16" s="129">
        <f t="shared" si="0"/>
        <v>16000</v>
      </c>
      <c r="AR16" s="138"/>
    </row>
    <row r="17" spans="1:44" ht="15.75" thickBot="1" x14ac:dyDescent="0.3">
      <c r="A17" s="12"/>
      <c r="B17" s="14">
        <v>5180</v>
      </c>
      <c r="C17" s="17" t="s">
        <v>13</v>
      </c>
      <c r="D17" s="124">
        <f>Lønnsmatrise!D58</f>
        <v>25956</v>
      </c>
      <c r="E17" s="132"/>
      <c r="F17" s="126"/>
      <c r="G17" s="13"/>
      <c r="H17" s="124">
        <f>SUM(H13*0.12)</f>
        <v>0</v>
      </c>
      <c r="I17" s="196"/>
      <c r="J17" s="126"/>
      <c r="K17" s="127"/>
      <c r="L17" s="124">
        <f>SUM(L13*0.12)</f>
        <v>0</v>
      </c>
      <c r="M17" s="125"/>
      <c r="N17" s="126"/>
      <c r="O17" s="127"/>
      <c r="P17" s="124">
        <f>SUM(P13*0.12)</f>
        <v>0</v>
      </c>
      <c r="Q17" s="125"/>
      <c r="R17" s="126"/>
      <c r="S17" s="127"/>
      <c r="T17" s="124">
        <f>SUM(T13*0.12)</f>
        <v>0</v>
      </c>
      <c r="U17" s="125"/>
      <c r="V17" s="126"/>
      <c r="W17" s="130"/>
      <c r="X17" s="124">
        <f>SUM(X13*0.12)</f>
        <v>0</v>
      </c>
      <c r="Y17" s="125"/>
      <c r="Z17" s="126"/>
      <c r="AA17" s="130"/>
      <c r="AB17" s="124">
        <f>SUM(AB13*0.12)</f>
        <v>0</v>
      </c>
      <c r="AC17" s="125"/>
      <c r="AD17" s="126"/>
      <c r="AE17" s="127"/>
      <c r="AF17" s="124">
        <f>SUM(AF13*0.12)</f>
        <v>0</v>
      </c>
      <c r="AG17" s="125"/>
      <c r="AH17" s="126"/>
      <c r="AI17" s="13"/>
      <c r="AJ17" s="124">
        <f>SUM(AJ13*0.12)</f>
        <v>0</v>
      </c>
      <c r="AK17" s="125"/>
      <c r="AL17" s="126"/>
      <c r="AM17" s="127"/>
      <c r="AN17" s="124">
        <f>SUM(AN13*0.12)</f>
        <v>0</v>
      </c>
      <c r="AO17" s="125"/>
      <c r="AP17" s="126"/>
      <c r="AQ17" s="129">
        <f t="shared" si="0"/>
        <v>25956</v>
      </c>
      <c r="AR17" s="141">
        <v>5180</v>
      </c>
    </row>
    <row r="18" spans="1:44" ht="15.75" thickBot="1" x14ac:dyDescent="0.3">
      <c r="A18" s="12"/>
      <c r="B18" s="14">
        <v>5182</v>
      </c>
      <c r="C18" s="17" t="s">
        <v>14</v>
      </c>
      <c r="D18" s="124">
        <f>Lønnsmatrise!D59</f>
        <v>3659.7959999999998</v>
      </c>
      <c r="E18" s="132"/>
      <c r="F18" s="126"/>
      <c r="G18" s="13"/>
      <c r="H18" s="124">
        <f>SUM(H17*0.141)</f>
        <v>0</v>
      </c>
      <c r="I18" s="196"/>
      <c r="J18" s="126"/>
      <c r="K18" s="127"/>
      <c r="L18" s="124">
        <f>SUM(L17*0.141)</f>
        <v>0</v>
      </c>
      <c r="M18" s="125"/>
      <c r="N18" s="126"/>
      <c r="O18" s="127"/>
      <c r="P18" s="124">
        <f>SUM(P17*0.141)</f>
        <v>0</v>
      </c>
      <c r="Q18" s="125"/>
      <c r="R18" s="126"/>
      <c r="S18" s="127"/>
      <c r="T18" s="124">
        <f>SUM(T17*0.141)</f>
        <v>0</v>
      </c>
      <c r="U18" s="125"/>
      <c r="V18" s="126"/>
      <c r="W18" s="130"/>
      <c r="X18" s="124">
        <f>SUM(X17*0.141)</f>
        <v>0</v>
      </c>
      <c r="Y18" s="125"/>
      <c r="Z18" s="126"/>
      <c r="AA18" s="130"/>
      <c r="AB18" s="124">
        <f>SUM(AB17*0.141)</f>
        <v>0</v>
      </c>
      <c r="AC18" s="125"/>
      <c r="AD18" s="126"/>
      <c r="AE18" s="127"/>
      <c r="AF18" s="124">
        <f>SUM(AF17*0.141)</f>
        <v>0</v>
      </c>
      <c r="AG18" s="125"/>
      <c r="AH18" s="126"/>
      <c r="AI18" s="13"/>
      <c r="AJ18" s="124">
        <f>SUM(AJ17*0.141)</f>
        <v>0</v>
      </c>
      <c r="AK18" s="125"/>
      <c r="AL18" s="126"/>
      <c r="AM18" s="127"/>
      <c r="AN18" s="124">
        <f>SUM(AN17*0.141)</f>
        <v>0</v>
      </c>
      <c r="AO18" s="125"/>
      <c r="AP18" s="126"/>
      <c r="AQ18" s="129">
        <f t="shared" si="0"/>
        <v>3659.7959999999998</v>
      </c>
      <c r="AR18" s="141">
        <v>5182</v>
      </c>
    </row>
    <row r="19" spans="1:44" ht="15.75" thickBot="1" x14ac:dyDescent="0.3">
      <c r="A19" s="12"/>
      <c r="B19" s="14">
        <v>5211</v>
      </c>
      <c r="C19" s="17" t="s">
        <v>15</v>
      </c>
      <c r="D19" s="124">
        <f>Lønnsmatrise!D60</f>
        <v>9000</v>
      </c>
      <c r="E19" s="132"/>
      <c r="F19" s="126"/>
      <c r="G19" s="13"/>
      <c r="H19" s="124"/>
      <c r="I19" s="196"/>
      <c r="J19" s="126"/>
      <c r="K19" s="127"/>
      <c r="L19" s="128"/>
      <c r="M19" s="125"/>
      <c r="N19" s="126"/>
      <c r="O19" s="127"/>
      <c r="P19" s="128"/>
      <c r="Q19" s="125"/>
      <c r="R19" s="126"/>
      <c r="S19" s="127"/>
      <c r="T19" s="128"/>
      <c r="U19" s="125"/>
      <c r="V19" s="126"/>
      <c r="W19" s="130"/>
      <c r="X19" s="128"/>
      <c r="Y19" s="125"/>
      <c r="Z19" s="126"/>
      <c r="AA19" s="130"/>
      <c r="AB19" s="128"/>
      <c r="AC19" s="125"/>
      <c r="AD19" s="126"/>
      <c r="AE19" s="127"/>
      <c r="AF19" s="128"/>
      <c r="AG19" s="125"/>
      <c r="AH19" s="126"/>
      <c r="AI19" s="13"/>
      <c r="AJ19" s="128"/>
      <c r="AK19" s="125"/>
      <c r="AL19" s="126"/>
      <c r="AM19" s="127"/>
      <c r="AN19" s="128"/>
      <c r="AO19" s="125"/>
      <c r="AP19" s="126"/>
      <c r="AQ19" s="129">
        <f t="shared" si="0"/>
        <v>9000</v>
      </c>
      <c r="AR19" s="141">
        <v>5211</v>
      </c>
    </row>
    <row r="20" spans="1:44" hidden="1" thickBot="1" x14ac:dyDescent="0.35">
      <c r="A20" s="12"/>
      <c r="B20" s="14">
        <v>5230</v>
      </c>
      <c r="C20" s="17" t="s">
        <v>16</v>
      </c>
      <c r="D20" s="128"/>
      <c r="E20" s="132"/>
      <c r="F20" s="126"/>
      <c r="G20" s="13"/>
      <c r="H20" s="128"/>
      <c r="I20" s="196"/>
      <c r="J20" s="126"/>
      <c r="K20" s="127"/>
      <c r="L20" s="128"/>
      <c r="M20" s="125"/>
      <c r="N20" s="126"/>
      <c r="O20" s="127"/>
      <c r="P20" s="128"/>
      <c r="Q20" s="125"/>
      <c r="R20" s="126"/>
      <c r="S20" s="127"/>
      <c r="T20" s="128"/>
      <c r="U20" s="125"/>
      <c r="V20" s="126"/>
      <c r="W20" s="130"/>
      <c r="X20" s="128"/>
      <c r="Y20" s="125"/>
      <c r="Z20" s="126"/>
      <c r="AA20" s="130"/>
      <c r="AB20" s="128"/>
      <c r="AC20" s="125"/>
      <c r="AD20" s="126"/>
      <c r="AE20" s="127"/>
      <c r="AF20" s="128"/>
      <c r="AG20" s="125"/>
      <c r="AH20" s="126"/>
      <c r="AI20" s="13"/>
      <c r="AJ20" s="128"/>
      <c r="AK20" s="125"/>
      <c r="AL20" s="126"/>
      <c r="AM20" s="127"/>
      <c r="AN20" s="128"/>
      <c r="AO20" s="125"/>
      <c r="AP20" s="126"/>
      <c r="AQ20" s="129">
        <f t="shared" si="0"/>
        <v>0</v>
      </c>
      <c r="AR20" s="141">
        <v>5230</v>
      </c>
    </row>
    <row r="21" spans="1:44" ht="15.75" thickBot="1" x14ac:dyDescent="0.3">
      <c r="A21" s="12"/>
      <c r="B21" s="7">
        <v>5400</v>
      </c>
      <c r="C21" s="15" t="s">
        <v>48</v>
      </c>
      <c r="D21" s="124">
        <f>Lønnsmatrise!D61</f>
        <v>33292.214999999997</v>
      </c>
      <c r="E21" s="132"/>
      <c r="F21" s="126"/>
      <c r="G21" s="13"/>
      <c r="H21" s="124">
        <f>SUM((H13+H14+H15+H19+H20)*0.141)</f>
        <v>0</v>
      </c>
      <c r="I21" s="196"/>
      <c r="J21" s="126"/>
      <c r="K21" s="127"/>
      <c r="L21" s="124">
        <f>SUM((L13+L14+L15+L19+L20)*0.141)</f>
        <v>0</v>
      </c>
      <c r="M21" s="125"/>
      <c r="N21" s="126"/>
      <c r="O21" s="127"/>
      <c r="P21" s="124">
        <f>SUM((P13+P14+P15+P19+P20)*0.141)</f>
        <v>0</v>
      </c>
      <c r="Q21" s="125"/>
      <c r="R21" s="126"/>
      <c r="S21" s="127"/>
      <c r="T21" s="124">
        <f>SUM((T13+T14+T15+T19+T20)*0.141)</f>
        <v>0</v>
      </c>
      <c r="U21" s="125"/>
      <c r="V21" s="126"/>
      <c r="W21" s="130"/>
      <c r="X21" s="124">
        <f>SUM((X13+X14+X15+X19+X20)*0.141)</f>
        <v>0</v>
      </c>
      <c r="Y21" s="125"/>
      <c r="Z21" s="126"/>
      <c r="AA21" s="130"/>
      <c r="AB21" s="124">
        <f>SUM((AB13+AB14+AB15+AB19+AB20)*0.141)</f>
        <v>0</v>
      </c>
      <c r="AC21" s="125"/>
      <c r="AD21" s="126"/>
      <c r="AE21" s="127"/>
      <c r="AF21" s="124">
        <f>SUM((AF13+AF14+AF15+AF19+AF20)*0.141)</f>
        <v>0</v>
      </c>
      <c r="AG21" s="125"/>
      <c r="AH21" s="126"/>
      <c r="AI21" s="13"/>
      <c r="AJ21" s="124">
        <f>SUM((AJ13+AJ14+AJ15+AJ19+AJ20)*0.141)</f>
        <v>0</v>
      </c>
      <c r="AK21" s="125"/>
      <c r="AL21" s="126"/>
      <c r="AM21" s="127"/>
      <c r="AN21" s="124">
        <f>SUM((AN13+AN14+AN15+AN19+AN20)*0.141)</f>
        <v>0</v>
      </c>
      <c r="AO21" s="125"/>
      <c r="AP21" s="126"/>
      <c r="AQ21" s="129">
        <f t="shared" si="0"/>
        <v>33292.214999999997</v>
      </c>
      <c r="AR21" s="138">
        <v>5400</v>
      </c>
    </row>
    <row r="22" spans="1:44" ht="15.75" thickBot="1" x14ac:dyDescent="0.3">
      <c r="B22" s="7">
        <v>5990</v>
      </c>
      <c r="C22" s="15" t="s">
        <v>17</v>
      </c>
      <c r="D22" s="124">
        <f>Lønnsmatrise!D62</f>
        <v>10815</v>
      </c>
      <c r="E22" s="132"/>
      <c r="F22" s="115"/>
      <c r="H22" s="124"/>
      <c r="I22" s="132"/>
      <c r="J22" s="115"/>
      <c r="K22" s="116"/>
      <c r="L22" s="113"/>
      <c r="M22" s="114"/>
      <c r="N22" s="115"/>
      <c r="O22" s="116"/>
      <c r="P22" s="113"/>
      <c r="Q22" s="114"/>
      <c r="R22" s="115"/>
      <c r="S22" s="116"/>
      <c r="T22" s="113"/>
      <c r="U22" s="114"/>
      <c r="V22" s="115"/>
      <c r="W22" s="130"/>
      <c r="X22" s="113"/>
      <c r="Y22" s="114"/>
      <c r="Z22" s="115"/>
      <c r="AA22" s="130"/>
      <c r="AB22" s="113"/>
      <c r="AC22" s="114"/>
      <c r="AD22" s="115"/>
      <c r="AE22" s="116"/>
      <c r="AF22" s="113">
        <v>3000</v>
      </c>
      <c r="AG22" s="114"/>
      <c r="AH22" s="115"/>
      <c r="AJ22" s="113"/>
      <c r="AK22" s="114"/>
      <c r="AL22" s="115"/>
      <c r="AM22" s="116"/>
      <c r="AN22" s="113"/>
      <c r="AO22" s="114"/>
      <c r="AP22" s="115"/>
      <c r="AQ22" s="129">
        <f t="shared" si="0"/>
        <v>13815</v>
      </c>
      <c r="AR22" s="138">
        <v>5990</v>
      </c>
    </row>
    <row r="23" spans="1:44" hidden="1" thickBot="1" x14ac:dyDescent="0.35">
      <c r="B23" s="7">
        <v>6110</v>
      </c>
      <c r="C23" s="15" t="s">
        <v>50</v>
      </c>
      <c r="D23" s="113">
        <v>0</v>
      </c>
      <c r="E23" s="132"/>
      <c r="F23" s="115"/>
      <c r="H23" s="113"/>
      <c r="I23" s="132"/>
      <c r="J23" s="115"/>
      <c r="K23" s="116"/>
      <c r="L23" s="113"/>
      <c r="M23" s="114"/>
      <c r="N23" s="115"/>
      <c r="O23" s="116"/>
      <c r="P23" s="113"/>
      <c r="Q23" s="114"/>
      <c r="R23" s="115"/>
      <c r="S23" s="116"/>
      <c r="T23" s="113"/>
      <c r="U23" s="114"/>
      <c r="V23" s="115"/>
      <c r="W23" s="130"/>
      <c r="X23" s="113"/>
      <c r="Y23" s="114"/>
      <c r="Z23" s="115"/>
      <c r="AA23" s="130"/>
      <c r="AB23" s="113"/>
      <c r="AC23" s="114"/>
      <c r="AD23" s="115"/>
      <c r="AE23" s="116"/>
      <c r="AF23" s="113"/>
      <c r="AG23" s="114"/>
      <c r="AH23" s="115"/>
      <c r="AJ23" s="113"/>
      <c r="AK23" s="114"/>
      <c r="AL23" s="115"/>
      <c r="AM23" s="116"/>
      <c r="AN23" s="113"/>
      <c r="AO23" s="114"/>
      <c r="AP23" s="115"/>
      <c r="AQ23" s="129">
        <f t="shared" si="0"/>
        <v>0</v>
      </c>
      <c r="AR23" s="138">
        <v>6110</v>
      </c>
    </row>
    <row r="24" spans="1:44" ht="30.75" thickBot="1" x14ac:dyDescent="0.3">
      <c r="B24" s="7">
        <v>6300</v>
      </c>
      <c r="C24" s="15" t="s">
        <v>18</v>
      </c>
      <c r="D24" s="113">
        <f>SUM(4278*2)</f>
        <v>8556</v>
      </c>
      <c r="E24" s="132" t="s">
        <v>312</v>
      </c>
      <c r="F24" s="115"/>
      <c r="H24" s="113"/>
      <c r="I24" s="132"/>
      <c r="J24" s="115"/>
      <c r="K24" s="116"/>
      <c r="L24" s="113"/>
      <c r="M24" s="114"/>
      <c r="N24" s="115"/>
      <c r="O24" s="116"/>
      <c r="P24" s="113"/>
      <c r="Q24" s="114"/>
      <c r="R24" s="115"/>
      <c r="S24" s="116"/>
      <c r="T24" s="113"/>
      <c r="U24" s="114"/>
      <c r="V24" s="115"/>
      <c r="W24" s="130"/>
      <c r="X24" s="113"/>
      <c r="Y24" s="114"/>
      <c r="Z24" s="115"/>
      <c r="AA24" s="130"/>
      <c r="AB24" s="113"/>
      <c r="AC24" s="114"/>
      <c r="AD24" s="115"/>
      <c r="AE24" s="116"/>
      <c r="AF24" s="113"/>
      <c r="AG24" s="114"/>
      <c r="AH24" s="115"/>
      <c r="AJ24" s="113"/>
      <c r="AK24" s="114"/>
      <c r="AL24" s="115"/>
      <c r="AM24" s="116"/>
      <c r="AN24" s="113"/>
      <c r="AO24" s="114"/>
      <c r="AP24" s="115"/>
      <c r="AQ24" s="129">
        <f t="shared" si="0"/>
        <v>8556</v>
      </c>
      <c r="AR24" s="138">
        <v>6300</v>
      </c>
    </row>
    <row r="25" spans="1:44" ht="30.75" thickBot="1" x14ac:dyDescent="0.3">
      <c r="B25" s="7">
        <v>6310</v>
      </c>
      <c r="C25" s="15" t="s">
        <v>139</v>
      </c>
      <c r="D25" s="113">
        <f>SUM(7328*2)</f>
        <v>14656</v>
      </c>
      <c r="E25" s="132" t="s">
        <v>313</v>
      </c>
      <c r="F25" s="115"/>
      <c r="H25" s="113"/>
      <c r="I25" s="132"/>
      <c r="J25" s="115"/>
      <c r="K25" s="116"/>
      <c r="L25" s="113"/>
      <c r="M25" s="114"/>
      <c r="N25" s="115"/>
      <c r="O25" s="116"/>
      <c r="P25" s="113"/>
      <c r="Q25" s="114"/>
      <c r="R25" s="115"/>
      <c r="S25" s="116"/>
      <c r="T25" s="113"/>
      <c r="U25" s="114"/>
      <c r="V25" s="115"/>
      <c r="W25" s="130"/>
      <c r="X25" s="113"/>
      <c r="Y25" s="114"/>
      <c r="Z25" s="115"/>
      <c r="AA25" s="130"/>
      <c r="AB25" s="113"/>
      <c r="AC25" s="114"/>
      <c r="AD25" s="115"/>
      <c r="AE25" s="116"/>
      <c r="AF25" s="113"/>
      <c r="AG25" s="114"/>
      <c r="AH25" s="115"/>
      <c r="AJ25" s="113"/>
      <c r="AK25" s="114"/>
      <c r="AL25" s="115"/>
      <c r="AM25" s="116"/>
      <c r="AN25" s="113"/>
      <c r="AO25" s="114"/>
      <c r="AP25" s="115"/>
      <c r="AQ25" s="129">
        <f t="shared" si="0"/>
        <v>14656</v>
      </c>
      <c r="AR25" s="138">
        <v>6310</v>
      </c>
    </row>
    <row r="26" spans="1:44" hidden="1" thickBot="1" x14ac:dyDescent="0.35">
      <c r="B26" s="7">
        <v>6440</v>
      </c>
      <c r="C26" s="15" t="s">
        <v>19</v>
      </c>
      <c r="D26" s="113"/>
      <c r="E26" s="132"/>
      <c r="F26" s="115"/>
      <c r="H26" s="113"/>
      <c r="I26" s="132"/>
      <c r="J26" s="115"/>
      <c r="K26" s="116"/>
      <c r="L26" s="113"/>
      <c r="M26" s="114"/>
      <c r="N26" s="115"/>
      <c r="O26" s="116"/>
      <c r="P26" s="113"/>
      <c r="Q26" s="114"/>
      <c r="R26" s="115"/>
      <c r="S26" s="116"/>
      <c r="T26" s="113"/>
      <c r="U26" s="114"/>
      <c r="V26" s="115"/>
      <c r="W26" s="130"/>
      <c r="X26" s="113"/>
      <c r="Y26" s="114"/>
      <c r="Z26" s="115"/>
      <c r="AA26" s="130"/>
      <c r="AB26" s="113"/>
      <c r="AC26" s="114"/>
      <c r="AD26" s="115"/>
      <c r="AE26" s="116"/>
      <c r="AF26" s="113"/>
      <c r="AG26" s="114"/>
      <c r="AH26" s="115"/>
      <c r="AJ26" s="113"/>
      <c r="AK26" s="114"/>
      <c r="AL26" s="115"/>
      <c r="AM26" s="116"/>
      <c r="AN26" s="113"/>
      <c r="AO26" s="114"/>
      <c r="AP26" s="115"/>
      <c r="AQ26" s="129">
        <f t="shared" si="0"/>
        <v>0</v>
      </c>
      <c r="AR26" s="138">
        <v>6440</v>
      </c>
    </row>
    <row r="27" spans="1:44" ht="15.75" thickBot="1" x14ac:dyDescent="0.3">
      <c r="B27" s="7">
        <v>6550</v>
      </c>
      <c r="C27" s="15" t="s">
        <v>20</v>
      </c>
      <c r="D27" s="113">
        <v>5000</v>
      </c>
      <c r="E27" s="132"/>
      <c r="F27" s="115"/>
      <c r="H27" s="113"/>
      <c r="I27" s="132"/>
      <c r="J27" s="115"/>
      <c r="K27" s="116"/>
      <c r="L27" s="113"/>
      <c r="M27" s="114"/>
      <c r="N27" s="115"/>
      <c r="O27" s="116"/>
      <c r="P27" s="113"/>
      <c r="Q27" s="114"/>
      <c r="R27" s="115"/>
      <c r="S27" s="116"/>
      <c r="T27" s="113"/>
      <c r="U27" s="114"/>
      <c r="V27" s="115"/>
      <c r="W27" s="130"/>
      <c r="X27" s="113"/>
      <c r="Y27" s="114"/>
      <c r="Z27" s="115"/>
      <c r="AA27" s="130"/>
      <c r="AB27" s="113"/>
      <c r="AC27" s="114"/>
      <c r="AD27" s="115"/>
      <c r="AE27" s="116"/>
      <c r="AF27" s="113"/>
      <c r="AG27" s="114"/>
      <c r="AH27" s="115"/>
      <c r="AJ27" s="113"/>
      <c r="AK27" s="114"/>
      <c r="AL27" s="115"/>
      <c r="AM27" s="116"/>
      <c r="AN27" s="113"/>
      <c r="AO27" s="114"/>
      <c r="AP27" s="115"/>
      <c r="AQ27" s="129">
        <f t="shared" si="0"/>
        <v>5000</v>
      </c>
      <c r="AR27" s="138">
        <v>6550</v>
      </c>
    </row>
    <row r="28" spans="1:44" ht="15.75" thickBot="1" x14ac:dyDescent="0.3">
      <c r="B28" s="7">
        <v>6560</v>
      </c>
      <c r="C28" s="15" t="s">
        <v>21</v>
      </c>
      <c r="D28" s="113">
        <v>4000</v>
      </c>
      <c r="E28" s="132"/>
      <c r="F28" s="115"/>
      <c r="H28" s="113"/>
      <c r="I28" s="132"/>
      <c r="J28" s="115"/>
      <c r="K28" s="116"/>
      <c r="L28" s="113"/>
      <c r="M28" s="114"/>
      <c r="N28" s="115"/>
      <c r="O28" s="116"/>
      <c r="P28" s="113"/>
      <c r="Q28" s="114"/>
      <c r="R28" s="115"/>
      <c r="S28" s="116"/>
      <c r="T28" s="113"/>
      <c r="U28" s="114"/>
      <c r="V28" s="115"/>
      <c r="W28" s="130"/>
      <c r="X28" s="113"/>
      <c r="Y28" s="114"/>
      <c r="Z28" s="115"/>
      <c r="AA28" s="130"/>
      <c r="AB28" s="113"/>
      <c r="AC28" s="114"/>
      <c r="AD28" s="115"/>
      <c r="AE28" s="116"/>
      <c r="AF28" s="113"/>
      <c r="AG28" s="114"/>
      <c r="AH28" s="115"/>
      <c r="AJ28" s="113"/>
      <c r="AK28" s="114"/>
      <c r="AL28" s="115"/>
      <c r="AM28" s="116"/>
      <c r="AN28" s="113"/>
      <c r="AO28" s="114"/>
      <c r="AP28" s="115"/>
      <c r="AQ28" s="129">
        <f t="shared" si="0"/>
        <v>4000</v>
      </c>
      <c r="AR28" s="138">
        <v>6560</v>
      </c>
    </row>
    <row r="29" spans="1:44" hidden="1" thickBot="1" x14ac:dyDescent="0.35">
      <c r="B29" s="7">
        <v>6580</v>
      </c>
      <c r="C29" s="15" t="s">
        <v>2</v>
      </c>
      <c r="D29" s="113"/>
      <c r="E29" s="132"/>
      <c r="F29" s="115"/>
      <c r="H29" s="113"/>
      <c r="I29" s="132"/>
      <c r="J29" s="115"/>
      <c r="K29" s="116"/>
      <c r="L29" s="113"/>
      <c r="M29" s="114"/>
      <c r="N29" s="115"/>
      <c r="O29" s="116"/>
      <c r="P29" s="113"/>
      <c r="Q29" s="114"/>
      <c r="R29" s="115"/>
      <c r="S29" s="116"/>
      <c r="T29" s="113"/>
      <c r="U29" s="114"/>
      <c r="V29" s="115"/>
      <c r="W29" s="130"/>
      <c r="X29" s="113"/>
      <c r="Y29" s="114"/>
      <c r="Z29" s="115"/>
      <c r="AA29" s="130"/>
      <c r="AB29" s="113"/>
      <c r="AC29" s="114"/>
      <c r="AD29" s="115"/>
      <c r="AE29" s="116"/>
      <c r="AF29" s="113"/>
      <c r="AG29" s="114"/>
      <c r="AH29" s="115"/>
      <c r="AJ29" s="113"/>
      <c r="AK29" s="114"/>
      <c r="AL29" s="115"/>
      <c r="AM29" s="116"/>
      <c r="AN29" s="113"/>
      <c r="AO29" s="114"/>
      <c r="AP29" s="115"/>
      <c r="AQ29" s="129">
        <f t="shared" si="0"/>
        <v>0</v>
      </c>
      <c r="AR29" s="138">
        <v>6580</v>
      </c>
    </row>
    <row r="30" spans="1:44" ht="15.75" thickBot="1" x14ac:dyDescent="0.3">
      <c r="B30" s="7">
        <v>6700</v>
      </c>
      <c r="C30" s="15" t="s">
        <v>140</v>
      </c>
      <c r="D30" s="113">
        <v>20000</v>
      </c>
      <c r="E30" s="132"/>
      <c r="F30" s="115"/>
      <c r="H30" s="113"/>
      <c r="I30" s="132"/>
      <c r="J30" s="115"/>
      <c r="K30" s="116"/>
      <c r="L30" s="113"/>
      <c r="M30" s="114"/>
      <c r="N30" s="115"/>
      <c r="O30" s="116"/>
      <c r="P30" s="113"/>
      <c r="Q30" s="114"/>
      <c r="R30" s="115"/>
      <c r="S30" s="116"/>
      <c r="T30" s="113"/>
      <c r="U30" s="114"/>
      <c r="V30" s="115"/>
      <c r="W30" s="130"/>
      <c r="X30" s="113"/>
      <c r="Y30" s="114"/>
      <c r="Z30" s="115"/>
      <c r="AA30" s="130"/>
      <c r="AB30" s="113"/>
      <c r="AC30" s="114"/>
      <c r="AD30" s="115"/>
      <c r="AE30" s="116"/>
      <c r="AF30" s="113"/>
      <c r="AG30" s="114"/>
      <c r="AH30" s="115"/>
      <c r="AJ30" s="113"/>
      <c r="AK30" s="114"/>
      <c r="AL30" s="115"/>
      <c r="AM30" s="116"/>
      <c r="AN30" s="113"/>
      <c r="AO30" s="114"/>
      <c r="AP30" s="115"/>
      <c r="AQ30" s="129">
        <f t="shared" si="0"/>
        <v>20000</v>
      </c>
      <c r="AR30" s="138">
        <v>6700</v>
      </c>
    </row>
    <row r="31" spans="1:44" ht="15.75" thickBot="1" x14ac:dyDescent="0.3">
      <c r="B31" s="7">
        <v>6720</v>
      </c>
      <c r="C31" s="15" t="s">
        <v>141</v>
      </c>
      <c r="D31" s="113">
        <v>25000</v>
      </c>
      <c r="E31" s="132"/>
      <c r="F31" s="115"/>
      <c r="H31" s="113"/>
      <c r="I31" s="132"/>
      <c r="J31" s="115"/>
      <c r="K31" s="116"/>
      <c r="L31" s="113"/>
      <c r="M31" s="114"/>
      <c r="N31" s="115"/>
      <c r="O31" s="116"/>
      <c r="P31" s="113"/>
      <c r="Q31" s="114"/>
      <c r="R31" s="115"/>
      <c r="S31" s="116"/>
      <c r="T31" s="113"/>
      <c r="U31" s="114"/>
      <c r="V31" s="115"/>
      <c r="W31" s="130"/>
      <c r="X31" s="113"/>
      <c r="Y31" s="114"/>
      <c r="Z31" s="115"/>
      <c r="AA31" s="130"/>
      <c r="AB31" s="113"/>
      <c r="AC31" s="114"/>
      <c r="AD31" s="115"/>
      <c r="AE31" s="116"/>
      <c r="AF31" s="113"/>
      <c r="AG31" s="114"/>
      <c r="AH31" s="115"/>
      <c r="AJ31" s="113"/>
      <c r="AK31" s="114"/>
      <c r="AL31" s="115"/>
      <c r="AM31" s="116"/>
      <c r="AN31" s="113"/>
      <c r="AO31" s="114"/>
      <c r="AP31" s="115"/>
      <c r="AQ31" s="129">
        <f t="shared" si="0"/>
        <v>25000</v>
      </c>
      <c r="AR31" s="138">
        <v>6720</v>
      </c>
    </row>
    <row r="32" spans="1:44" hidden="1" thickBot="1" x14ac:dyDescent="0.35">
      <c r="B32" s="7">
        <v>6725</v>
      </c>
      <c r="C32" s="15" t="s">
        <v>142</v>
      </c>
      <c r="D32" s="113"/>
      <c r="E32" s="132"/>
      <c r="F32" s="115"/>
      <c r="H32" s="113"/>
      <c r="I32" s="132"/>
      <c r="J32" s="115"/>
      <c r="K32" s="116"/>
      <c r="L32" s="113"/>
      <c r="M32" s="114"/>
      <c r="N32" s="115"/>
      <c r="O32" s="116"/>
      <c r="P32" s="113"/>
      <c r="Q32" s="114"/>
      <c r="R32" s="115"/>
      <c r="S32" s="116"/>
      <c r="T32" s="113"/>
      <c r="U32" s="114"/>
      <c r="V32" s="115"/>
      <c r="W32" s="130"/>
      <c r="X32" s="113"/>
      <c r="Y32" s="114"/>
      <c r="Z32" s="115"/>
      <c r="AA32" s="130"/>
      <c r="AB32" s="113"/>
      <c r="AC32" s="114"/>
      <c r="AD32" s="115"/>
      <c r="AE32" s="116"/>
      <c r="AF32" s="113"/>
      <c r="AG32" s="114"/>
      <c r="AH32" s="115"/>
      <c r="AJ32" s="113"/>
      <c r="AK32" s="114"/>
      <c r="AL32" s="115"/>
      <c r="AM32" s="116"/>
      <c r="AN32" s="113"/>
      <c r="AO32" s="114"/>
      <c r="AP32" s="115"/>
      <c r="AQ32" s="129">
        <f t="shared" si="0"/>
        <v>0</v>
      </c>
      <c r="AR32" s="138">
        <v>6725</v>
      </c>
    </row>
    <row r="33" spans="2:44" hidden="1" thickBot="1" x14ac:dyDescent="0.35">
      <c r="B33" s="7">
        <v>6800</v>
      </c>
      <c r="C33" s="15" t="s">
        <v>22</v>
      </c>
      <c r="D33" s="113">
        <v>0</v>
      </c>
      <c r="E33" s="132"/>
      <c r="F33" s="115"/>
      <c r="H33" s="113"/>
      <c r="I33" s="132"/>
      <c r="J33" s="115"/>
      <c r="K33" s="116"/>
      <c r="L33" s="113"/>
      <c r="M33" s="114"/>
      <c r="N33" s="115"/>
      <c r="O33" s="116"/>
      <c r="P33" s="113"/>
      <c r="Q33" s="114"/>
      <c r="R33" s="115"/>
      <c r="S33" s="116"/>
      <c r="T33" s="113"/>
      <c r="U33" s="114"/>
      <c r="V33" s="115"/>
      <c r="W33" s="130"/>
      <c r="X33" s="113"/>
      <c r="Y33" s="114"/>
      <c r="Z33" s="115"/>
      <c r="AA33" s="130"/>
      <c r="AB33" s="113"/>
      <c r="AC33" s="114"/>
      <c r="AD33" s="115"/>
      <c r="AE33" s="116"/>
      <c r="AF33" s="113"/>
      <c r="AG33" s="114"/>
      <c r="AH33" s="115"/>
      <c r="AJ33" s="113"/>
      <c r="AK33" s="114"/>
      <c r="AL33" s="115"/>
      <c r="AM33" s="116"/>
      <c r="AN33" s="113"/>
      <c r="AO33" s="114"/>
      <c r="AP33" s="115"/>
      <c r="AQ33" s="129">
        <f t="shared" si="0"/>
        <v>0</v>
      </c>
      <c r="AR33" s="138">
        <v>6800</v>
      </c>
    </row>
    <row r="34" spans="2:44" ht="15.75" thickBot="1" x14ac:dyDescent="0.3">
      <c r="B34" s="7">
        <v>6820</v>
      </c>
      <c r="C34" s="15" t="s">
        <v>23</v>
      </c>
      <c r="D34" s="113">
        <v>1000</v>
      </c>
      <c r="E34" s="132"/>
      <c r="F34" s="115"/>
      <c r="H34" s="113"/>
      <c r="I34" s="132"/>
      <c r="J34" s="115"/>
      <c r="K34" s="116"/>
      <c r="L34" s="113"/>
      <c r="M34" s="114"/>
      <c r="N34" s="115"/>
      <c r="O34" s="116"/>
      <c r="P34" s="113"/>
      <c r="Q34" s="114"/>
      <c r="R34" s="115"/>
      <c r="S34" s="116"/>
      <c r="T34" s="113"/>
      <c r="U34" s="114"/>
      <c r="V34" s="115"/>
      <c r="W34" s="130"/>
      <c r="X34" s="113"/>
      <c r="Y34" s="114"/>
      <c r="Z34" s="115"/>
      <c r="AA34" s="130"/>
      <c r="AB34" s="113"/>
      <c r="AC34" s="114"/>
      <c r="AD34" s="115"/>
      <c r="AE34" s="116"/>
      <c r="AF34" s="113"/>
      <c r="AG34" s="114"/>
      <c r="AH34" s="115"/>
      <c r="AJ34" s="113"/>
      <c r="AK34" s="114"/>
      <c r="AL34" s="115"/>
      <c r="AM34" s="116"/>
      <c r="AN34" s="113"/>
      <c r="AO34" s="114"/>
      <c r="AP34" s="115"/>
      <c r="AQ34" s="129">
        <f t="shared" si="0"/>
        <v>1000</v>
      </c>
      <c r="AR34" s="138">
        <v>6820</v>
      </c>
    </row>
    <row r="35" spans="2:44" hidden="1" thickBot="1" x14ac:dyDescent="0.35">
      <c r="B35" s="7">
        <v>6840</v>
      </c>
      <c r="C35" s="15" t="s">
        <v>24</v>
      </c>
      <c r="D35" s="113">
        <v>0</v>
      </c>
      <c r="E35" s="132"/>
      <c r="F35" s="115"/>
      <c r="H35" s="113"/>
      <c r="I35" s="132"/>
      <c r="J35" s="115"/>
      <c r="K35" s="116"/>
      <c r="L35" s="113"/>
      <c r="M35" s="114"/>
      <c r="N35" s="115"/>
      <c r="O35" s="116"/>
      <c r="P35" s="113"/>
      <c r="Q35" s="114"/>
      <c r="R35" s="115"/>
      <c r="S35" s="116"/>
      <c r="T35" s="113"/>
      <c r="U35" s="114"/>
      <c r="V35" s="115"/>
      <c r="W35" s="130"/>
      <c r="X35" s="113"/>
      <c r="Y35" s="114"/>
      <c r="Z35" s="115"/>
      <c r="AA35" s="130"/>
      <c r="AB35" s="113"/>
      <c r="AC35" s="114"/>
      <c r="AD35" s="115"/>
      <c r="AE35" s="116"/>
      <c r="AF35" s="113"/>
      <c r="AG35" s="114"/>
      <c r="AH35" s="115"/>
      <c r="AJ35" s="113"/>
      <c r="AK35" s="114"/>
      <c r="AL35" s="115"/>
      <c r="AM35" s="116"/>
      <c r="AN35" s="113"/>
      <c r="AO35" s="114"/>
      <c r="AP35" s="115"/>
      <c r="AQ35" s="129">
        <f t="shared" si="0"/>
        <v>0</v>
      </c>
      <c r="AR35" s="138">
        <v>6840</v>
      </c>
    </row>
    <row r="36" spans="2:44" ht="15.75" thickBot="1" x14ac:dyDescent="0.3">
      <c r="B36" s="7">
        <v>6860</v>
      </c>
      <c r="C36" s="15" t="s">
        <v>25</v>
      </c>
      <c r="D36" s="113">
        <v>2000</v>
      </c>
      <c r="E36" s="132"/>
      <c r="F36" s="115"/>
      <c r="H36" s="113"/>
      <c r="I36" s="132"/>
      <c r="J36" s="115"/>
      <c r="K36" s="116"/>
      <c r="L36" s="113"/>
      <c r="M36" s="114"/>
      <c r="N36" s="115"/>
      <c r="O36" s="116"/>
      <c r="P36" s="113"/>
      <c r="Q36" s="114"/>
      <c r="R36" s="115"/>
      <c r="S36" s="116"/>
      <c r="T36" s="113"/>
      <c r="U36" s="114"/>
      <c r="V36" s="115"/>
      <c r="W36" s="130"/>
      <c r="X36" s="113"/>
      <c r="Y36" s="114"/>
      <c r="Z36" s="115"/>
      <c r="AA36" s="130"/>
      <c r="AB36" s="113"/>
      <c r="AC36" s="114"/>
      <c r="AD36" s="115"/>
      <c r="AE36" s="116"/>
      <c r="AF36" s="113"/>
      <c r="AG36" s="114"/>
      <c r="AH36" s="115"/>
      <c r="AJ36" s="113"/>
      <c r="AK36" s="114"/>
      <c r="AL36" s="115"/>
      <c r="AM36" s="116"/>
      <c r="AN36" s="113"/>
      <c r="AO36" s="114"/>
      <c r="AP36" s="115"/>
      <c r="AQ36" s="129">
        <f t="shared" si="0"/>
        <v>2000</v>
      </c>
      <c r="AR36" s="138">
        <v>6860</v>
      </c>
    </row>
    <row r="37" spans="2:44" hidden="1" thickBot="1" x14ac:dyDescent="0.35">
      <c r="B37" s="7">
        <v>6900</v>
      </c>
      <c r="C37" s="15" t="s">
        <v>143</v>
      </c>
      <c r="D37" s="113">
        <v>0</v>
      </c>
      <c r="E37" s="132"/>
      <c r="F37" s="115"/>
      <c r="H37" s="113"/>
      <c r="I37" s="132"/>
      <c r="J37" s="115"/>
      <c r="K37" s="116"/>
      <c r="L37" s="113"/>
      <c r="M37" s="114"/>
      <c r="N37" s="115"/>
      <c r="O37" s="116"/>
      <c r="P37" s="113"/>
      <c r="Q37" s="114"/>
      <c r="R37" s="115"/>
      <c r="S37" s="116"/>
      <c r="T37" s="113"/>
      <c r="U37" s="114"/>
      <c r="V37" s="115"/>
      <c r="W37" s="130"/>
      <c r="X37" s="113"/>
      <c r="Y37" s="114"/>
      <c r="Z37" s="115"/>
      <c r="AA37" s="130"/>
      <c r="AB37" s="113"/>
      <c r="AC37" s="114"/>
      <c r="AD37" s="115"/>
      <c r="AE37" s="116"/>
      <c r="AF37" s="113"/>
      <c r="AG37" s="114"/>
      <c r="AH37" s="115"/>
      <c r="AJ37" s="113"/>
      <c r="AK37" s="114"/>
      <c r="AL37" s="115"/>
      <c r="AM37" s="116"/>
      <c r="AN37" s="113"/>
      <c r="AO37" s="114"/>
      <c r="AP37" s="115"/>
      <c r="AQ37" s="129">
        <f t="shared" si="0"/>
        <v>0</v>
      </c>
      <c r="AR37" s="138">
        <v>6900</v>
      </c>
    </row>
    <row r="38" spans="2:44" ht="15.75" thickBot="1" x14ac:dyDescent="0.3">
      <c r="B38" s="7">
        <v>6910</v>
      </c>
      <c r="C38" s="15" t="s">
        <v>26</v>
      </c>
      <c r="D38" s="113">
        <v>23500</v>
      </c>
      <c r="E38" s="132" t="s">
        <v>271</v>
      </c>
      <c r="F38" s="115"/>
      <c r="H38" s="113"/>
      <c r="I38" s="132"/>
      <c r="J38" s="115"/>
      <c r="K38" s="116"/>
      <c r="L38" s="113"/>
      <c r="M38" s="114"/>
      <c r="N38" s="115"/>
      <c r="O38" s="116"/>
      <c r="P38" s="113"/>
      <c r="Q38" s="114"/>
      <c r="R38" s="115"/>
      <c r="S38" s="116"/>
      <c r="T38" s="113"/>
      <c r="U38" s="114"/>
      <c r="V38" s="115"/>
      <c r="W38" s="130"/>
      <c r="X38" s="113"/>
      <c r="Y38" s="114"/>
      <c r="Z38" s="115"/>
      <c r="AA38" s="130"/>
      <c r="AB38" s="113"/>
      <c r="AC38" s="114"/>
      <c r="AD38" s="115"/>
      <c r="AE38" s="116"/>
      <c r="AF38" s="113"/>
      <c r="AG38" s="114"/>
      <c r="AH38" s="115"/>
      <c r="AJ38" s="113"/>
      <c r="AK38" s="114"/>
      <c r="AL38" s="115"/>
      <c r="AM38" s="116"/>
      <c r="AN38" s="113"/>
      <c r="AO38" s="114"/>
      <c r="AP38" s="115"/>
      <c r="AQ38" s="129">
        <f t="shared" si="0"/>
        <v>23500</v>
      </c>
      <c r="AR38" s="138">
        <v>6910</v>
      </c>
    </row>
    <row r="39" spans="2:44" ht="15.75" thickBot="1" x14ac:dyDescent="0.3">
      <c r="B39" s="7">
        <v>6940</v>
      </c>
      <c r="C39" s="15" t="s">
        <v>49</v>
      </c>
      <c r="D39" s="113">
        <v>500</v>
      </c>
      <c r="E39" s="132"/>
      <c r="F39" s="115"/>
      <c r="H39" s="113"/>
      <c r="I39" s="132"/>
      <c r="J39" s="115"/>
      <c r="K39" s="116"/>
      <c r="L39" s="113"/>
      <c r="M39" s="114"/>
      <c r="N39" s="115"/>
      <c r="O39" s="116"/>
      <c r="P39" s="113"/>
      <c r="Q39" s="114"/>
      <c r="R39" s="115"/>
      <c r="S39" s="116"/>
      <c r="T39" s="113"/>
      <c r="U39" s="114"/>
      <c r="V39" s="115"/>
      <c r="W39" s="130"/>
      <c r="X39" s="113"/>
      <c r="Y39" s="114"/>
      <c r="Z39" s="115"/>
      <c r="AA39" s="130"/>
      <c r="AB39" s="113"/>
      <c r="AC39" s="114"/>
      <c r="AD39" s="115"/>
      <c r="AE39" s="116"/>
      <c r="AF39" s="113"/>
      <c r="AG39" s="114"/>
      <c r="AH39" s="115"/>
      <c r="AJ39" s="113"/>
      <c r="AK39" s="114"/>
      <c r="AL39" s="115"/>
      <c r="AM39" s="116"/>
      <c r="AN39" s="113"/>
      <c r="AO39" s="114"/>
      <c r="AP39" s="115"/>
      <c r="AQ39" s="129">
        <f t="shared" si="0"/>
        <v>500</v>
      </c>
      <c r="AR39" s="138">
        <v>6940</v>
      </c>
    </row>
    <row r="40" spans="2:44" hidden="1" thickBot="1" x14ac:dyDescent="0.35">
      <c r="B40" s="7">
        <v>7000</v>
      </c>
      <c r="C40" s="15" t="s">
        <v>27</v>
      </c>
      <c r="D40" s="113"/>
      <c r="E40" s="132"/>
      <c r="F40" s="115"/>
      <c r="H40" s="113"/>
      <c r="I40" s="132"/>
      <c r="J40" s="115"/>
      <c r="K40" s="116"/>
      <c r="L40" s="113"/>
      <c r="M40" s="114"/>
      <c r="N40" s="115"/>
      <c r="O40" s="116"/>
      <c r="P40" s="113"/>
      <c r="Q40" s="114"/>
      <c r="R40" s="115"/>
      <c r="S40" s="116"/>
      <c r="T40" s="113"/>
      <c r="U40" s="114"/>
      <c r="V40" s="115"/>
      <c r="W40" s="130"/>
      <c r="X40" s="113"/>
      <c r="Y40" s="114"/>
      <c r="Z40" s="115"/>
      <c r="AA40" s="130"/>
      <c r="AB40" s="113"/>
      <c r="AC40" s="114"/>
      <c r="AD40" s="115"/>
      <c r="AE40" s="116"/>
      <c r="AF40" s="113"/>
      <c r="AG40" s="114"/>
      <c r="AH40" s="115"/>
      <c r="AJ40" s="113"/>
      <c r="AK40" s="114"/>
      <c r="AL40" s="115"/>
      <c r="AM40" s="116"/>
      <c r="AN40" s="113"/>
      <c r="AO40" s="114"/>
      <c r="AP40" s="115"/>
      <c r="AQ40" s="129">
        <f t="shared" si="0"/>
        <v>0</v>
      </c>
      <c r="AR40" s="138">
        <v>7000</v>
      </c>
    </row>
    <row r="41" spans="2:44" ht="15.75" thickBot="1" x14ac:dyDescent="0.3">
      <c r="B41" s="7">
        <v>7100</v>
      </c>
      <c r="C41" s="15" t="s">
        <v>28</v>
      </c>
      <c r="D41" s="113">
        <v>3000</v>
      </c>
      <c r="E41" s="132"/>
      <c r="F41" s="115"/>
      <c r="H41" s="113"/>
      <c r="I41" s="132"/>
      <c r="J41" s="115"/>
      <c r="K41" s="116"/>
      <c r="L41" s="113">
        <v>6000</v>
      </c>
      <c r="M41" s="114" t="s">
        <v>275</v>
      </c>
      <c r="N41" s="115"/>
      <c r="O41" s="116"/>
      <c r="P41" s="113"/>
      <c r="Q41" s="114"/>
      <c r="R41" s="115"/>
      <c r="S41" s="116"/>
      <c r="T41" s="113"/>
      <c r="U41" s="114"/>
      <c r="V41" s="115"/>
      <c r="W41" s="130"/>
      <c r="X41" s="113"/>
      <c r="Y41" s="114"/>
      <c r="Z41" s="115"/>
      <c r="AA41" s="130"/>
      <c r="AB41" s="113"/>
      <c r="AC41" s="114"/>
      <c r="AD41" s="115"/>
      <c r="AE41" s="116"/>
      <c r="AF41" s="113"/>
      <c r="AG41" s="114"/>
      <c r="AH41" s="115"/>
      <c r="AJ41" s="113"/>
      <c r="AK41" s="114"/>
      <c r="AL41" s="115"/>
      <c r="AM41" s="116"/>
      <c r="AN41" s="113"/>
      <c r="AO41" s="114"/>
      <c r="AP41" s="115"/>
      <c r="AQ41" s="129">
        <f t="shared" si="0"/>
        <v>9000</v>
      </c>
      <c r="AR41" s="138">
        <v>7100</v>
      </c>
    </row>
    <row r="42" spans="2:44" hidden="1" thickBot="1" x14ac:dyDescent="0.35">
      <c r="B42" s="7">
        <v>7101</v>
      </c>
      <c r="C42" s="15" t="s">
        <v>29</v>
      </c>
      <c r="D42" s="113"/>
      <c r="E42" s="132"/>
      <c r="F42" s="115"/>
      <c r="H42" s="113"/>
      <c r="I42" s="132"/>
      <c r="J42" s="115"/>
      <c r="K42" s="116"/>
      <c r="L42" s="113"/>
      <c r="M42" s="114"/>
      <c r="N42" s="115"/>
      <c r="O42" s="116"/>
      <c r="P42" s="113"/>
      <c r="Q42" s="114"/>
      <c r="R42" s="115"/>
      <c r="S42" s="116"/>
      <c r="T42" s="113"/>
      <c r="U42" s="114"/>
      <c r="V42" s="115"/>
      <c r="W42" s="130"/>
      <c r="X42" s="113"/>
      <c r="Y42" s="114"/>
      <c r="Z42" s="115"/>
      <c r="AA42" s="130"/>
      <c r="AB42" s="113"/>
      <c r="AC42" s="114"/>
      <c r="AD42" s="115"/>
      <c r="AE42" s="116"/>
      <c r="AF42" s="113"/>
      <c r="AG42" s="114"/>
      <c r="AH42" s="115"/>
      <c r="AJ42" s="113"/>
      <c r="AK42" s="114"/>
      <c r="AL42" s="115"/>
      <c r="AM42" s="116"/>
      <c r="AN42" s="113"/>
      <c r="AO42" s="114"/>
      <c r="AP42" s="115"/>
      <c r="AQ42" s="129">
        <f t="shared" si="0"/>
        <v>0</v>
      </c>
      <c r="AR42" s="138">
        <v>7101</v>
      </c>
    </row>
    <row r="43" spans="2:44" ht="15.75" thickBot="1" x14ac:dyDescent="0.3">
      <c r="B43" s="7">
        <v>7110</v>
      </c>
      <c r="C43" s="15" t="s">
        <v>30</v>
      </c>
      <c r="D43" s="113"/>
      <c r="E43" s="132"/>
      <c r="F43" s="115"/>
      <c r="H43" s="113">
        <v>6000</v>
      </c>
      <c r="I43" s="132" t="s">
        <v>315</v>
      </c>
      <c r="J43" s="115"/>
      <c r="K43" s="116"/>
      <c r="L43" s="113">
        <f>2000*7</f>
        <v>14000</v>
      </c>
      <c r="M43" s="114" t="s">
        <v>277</v>
      </c>
      <c r="N43" s="115"/>
      <c r="O43" s="116"/>
      <c r="P43" s="113"/>
      <c r="Q43" s="114"/>
      <c r="R43" s="115"/>
      <c r="S43" s="116"/>
      <c r="T43" s="113"/>
      <c r="U43" s="114"/>
      <c r="V43" s="115"/>
      <c r="W43" s="130"/>
      <c r="X43" s="113"/>
      <c r="Y43" s="114"/>
      <c r="Z43" s="115"/>
      <c r="AA43" s="130"/>
      <c r="AB43" s="113"/>
      <c r="AC43" s="114"/>
      <c r="AD43" s="115"/>
      <c r="AE43" s="116"/>
      <c r="AF43" s="113"/>
      <c r="AG43" s="114"/>
      <c r="AH43" s="115"/>
      <c r="AJ43" s="113"/>
      <c r="AK43" s="114"/>
      <c r="AL43" s="115"/>
      <c r="AM43" s="116"/>
      <c r="AN43" s="113"/>
      <c r="AO43" s="114"/>
      <c r="AP43" s="115"/>
      <c r="AQ43" s="129">
        <f t="shared" si="0"/>
        <v>20000</v>
      </c>
      <c r="AR43" s="138">
        <v>7110</v>
      </c>
    </row>
    <row r="44" spans="2:44" ht="15.75" thickBot="1" x14ac:dyDescent="0.3">
      <c r="B44" s="7">
        <v>7141</v>
      </c>
      <c r="C44" s="15" t="s">
        <v>31</v>
      </c>
      <c r="D44" s="113"/>
      <c r="E44" s="132"/>
      <c r="F44" s="115"/>
      <c r="H44" s="113"/>
      <c r="I44" s="132"/>
      <c r="J44" s="115"/>
      <c r="K44" s="116"/>
      <c r="L44" s="113">
        <f>750*10*2</f>
        <v>15000</v>
      </c>
      <c r="M44" s="114" t="s">
        <v>278</v>
      </c>
      <c r="N44" s="115"/>
      <c r="O44" s="116"/>
      <c r="P44" s="113"/>
      <c r="Q44" s="114"/>
      <c r="R44" s="115"/>
      <c r="S44" s="116"/>
      <c r="T44" s="113"/>
      <c r="U44" s="114"/>
      <c r="V44" s="115"/>
      <c r="W44" s="130"/>
      <c r="X44" s="113"/>
      <c r="Y44" s="114"/>
      <c r="Z44" s="115"/>
      <c r="AA44" s="130"/>
      <c r="AB44" s="113"/>
      <c r="AC44" s="114"/>
      <c r="AD44" s="115"/>
      <c r="AE44" s="116"/>
      <c r="AF44" s="113"/>
      <c r="AG44" s="114"/>
      <c r="AH44" s="115"/>
      <c r="AJ44" s="113"/>
      <c r="AK44" s="114"/>
      <c r="AL44" s="115"/>
      <c r="AM44" s="116"/>
      <c r="AN44" s="113"/>
      <c r="AO44" s="114"/>
      <c r="AP44" s="115"/>
      <c r="AQ44" s="129">
        <f t="shared" si="0"/>
        <v>15000</v>
      </c>
      <c r="AR44" s="138">
        <v>7141</v>
      </c>
    </row>
    <row r="45" spans="2:44" ht="15.75" thickBot="1" x14ac:dyDescent="0.3">
      <c r="B45" s="7">
        <v>7145</v>
      </c>
      <c r="C45" s="15" t="s">
        <v>32</v>
      </c>
      <c r="D45" s="113"/>
      <c r="E45" s="132"/>
      <c r="F45" s="115"/>
      <c r="H45" s="113"/>
      <c r="I45" s="132"/>
      <c r="J45" s="115"/>
      <c r="K45" s="116"/>
      <c r="L45" s="113">
        <f>300*5</f>
        <v>1500</v>
      </c>
      <c r="M45" s="114" t="s">
        <v>276</v>
      </c>
      <c r="N45" s="115"/>
      <c r="O45" s="116"/>
      <c r="P45" s="113"/>
      <c r="Q45" s="114"/>
      <c r="R45" s="115"/>
      <c r="S45" s="116"/>
      <c r="T45" s="113"/>
      <c r="U45" s="114"/>
      <c r="V45" s="115"/>
      <c r="W45" s="130"/>
      <c r="X45" s="113"/>
      <c r="Y45" s="114"/>
      <c r="Z45" s="115"/>
      <c r="AA45" s="130"/>
      <c r="AB45" s="113"/>
      <c r="AC45" s="114"/>
      <c r="AD45" s="115"/>
      <c r="AE45" s="116"/>
      <c r="AF45" s="113"/>
      <c r="AG45" s="114"/>
      <c r="AH45" s="115"/>
      <c r="AJ45" s="113"/>
      <c r="AK45" s="114"/>
      <c r="AL45" s="115"/>
      <c r="AM45" s="116"/>
      <c r="AN45" s="113"/>
      <c r="AO45" s="114"/>
      <c r="AP45" s="115"/>
      <c r="AQ45" s="129">
        <f t="shared" si="0"/>
        <v>1500</v>
      </c>
      <c r="AR45" s="138">
        <v>7145</v>
      </c>
    </row>
    <row r="46" spans="2:44" ht="15.75" thickBot="1" x14ac:dyDescent="0.3">
      <c r="B46" s="7">
        <v>7162</v>
      </c>
      <c r="C46" s="15" t="s">
        <v>33</v>
      </c>
      <c r="D46" s="113">
        <v>500</v>
      </c>
      <c r="E46" s="132"/>
      <c r="F46" s="115"/>
      <c r="H46" s="113">
        <v>3000</v>
      </c>
      <c r="I46" s="132" t="s">
        <v>316</v>
      </c>
      <c r="J46" s="115"/>
      <c r="K46" s="116"/>
      <c r="L46" s="113">
        <f>3000+(100*25)+800</f>
        <v>6300</v>
      </c>
      <c r="M46" s="132" t="s">
        <v>317</v>
      </c>
      <c r="N46" s="115"/>
      <c r="O46" s="116"/>
      <c r="P46" s="113"/>
      <c r="Q46" s="114"/>
      <c r="R46" s="115"/>
      <c r="S46" s="116"/>
      <c r="T46" s="113"/>
      <c r="U46" s="114"/>
      <c r="V46" s="115"/>
      <c r="W46" s="130"/>
      <c r="X46" s="113"/>
      <c r="Y46" s="114"/>
      <c r="Z46" s="115"/>
      <c r="AA46" s="130"/>
      <c r="AB46" s="113"/>
      <c r="AC46" s="114"/>
      <c r="AD46" s="115"/>
      <c r="AE46" s="116"/>
      <c r="AF46" s="113"/>
      <c r="AG46" s="114"/>
      <c r="AH46" s="115"/>
      <c r="AJ46" s="113"/>
      <c r="AK46" s="114"/>
      <c r="AL46" s="115"/>
      <c r="AM46" s="116"/>
      <c r="AN46" s="113"/>
      <c r="AO46" s="114"/>
      <c r="AP46" s="115"/>
      <c r="AQ46" s="129">
        <f t="shared" si="0"/>
        <v>9800</v>
      </c>
      <c r="AR46" s="138">
        <v>7162</v>
      </c>
    </row>
    <row r="47" spans="2:44" hidden="1" thickBot="1" x14ac:dyDescent="0.35">
      <c r="B47" s="7">
        <v>7320</v>
      </c>
      <c r="C47" s="15" t="s">
        <v>34</v>
      </c>
      <c r="D47" s="113"/>
      <c r="E47" s="132"/>
      <c r="F47" s="115"/>
      <c r="H47" s="113"/>
      <c r="I47" s="132"/>
      <c r="J47" s="115"/>
      <c r="K47" s="116"/>
      <c r="L47" s="113"/>
      <c r="M47" s="114"/>
      <c r="N47" s="115"/>
      <c r="O47" s="116"/>
      <c r="P47" s="113"/>
      <c r="Q47" s="114"/>
      <c r="R47" s="115"/>
      <c r="S47" s="116"/>
      <c r="T47" s="113"/>
      <c r="U47" s="114"/>
      <c r="V47" s="115"/>
      <c r="W47" s="130"/>
      <c r="X47" s="113"/>
      <c r="Y47" s="114"/>
      <c r="Z47" s="115"/>
      <c r="AA47" s="130"/>
      <c r="AB47" s="113"/>
      <c r="AC47" s="114"/>
      <c r="AD47" s="115"/>
      <c r="AE47" s="116"/>
      <c r="AF47" s="113"/>
      <c r="AG47" s="114"/>
      <c r="AH47" s="115"/>
      <c r="AJ47" s="113"/>
      <c r="AK47" s="114"/>
      <c r="AL47" s="115"/>
      <c r="AM47" s="116"/>
      <c r="AN47" s="113"/>
      <c r="AO47" s="114"/>
      <c r="AP47" s="115"/>
      <c r="AQ47" s="129">
        <f t="shared" si="0"/>
        <v>0</v>
      </c>
      <c r="AR47" s="138">
        <v>7320</v>
      </c>
    </row>
    <row r="48" spans="2:44" hidden="1" thickBot="1" x14ac:dyDescent="0.35">
      <c r="B48" s="7">
        <v>7350</v>
      </c>
      <c r="C48" s="15" t="s">
        <v>35</v>
      </c>
      <c r="D48" s="113"/>
      <c r="E48" s="132"/>
      <c r="F48" s="115"/>
      <c r="H48" s="113"/>
      <c r="I48" s="132"/>
      <c r="J48" s="115"/>
      <c r="K48" s="116"/>
      <c r="L48" s="113"/>
      <c r="M48" s="114"/>
      <c r="N48" s="115"/>
      <c r="O48" s="116"/>
      <c r="P48" s="113"/>
      <c r="Q48" s="114"/>
      <c r="R48" s="115"/>
      <c r="S48" s="116"/>
      <c r="T48" s="113"/>
      <c r="U48" s="114"/>
      <c r="V48" s="115"/>
      <c r="W48" s="130"/>
      <c r="X48" s="113"/>
      <c r="Y48" s="114"/>
      <c r="Z48" s="115"/>
      <c r="AA48" s="130"/>
      <c r="AB48" s="113"/>
      <c r="AC48" s="114"/>
      <c r="AD48" s="115"/>
      <c r="AE48" s="116"/>
      <c r="AF48" s="113"/>
      <c r="AG48" s="114"/>
      <c r="AH48" s="115"/>
      <c r="AJ48" s="113"/>
      <c r="AK48" s="114"/>
      <c r="AL48" s="115"/>
      <c r="AM48" s="116"/>
      <c r="AN48" s="113"/>
      <c r="AO48" s="114"/>
      <c r="AP48" s="115"/>
      <c r="AQ48" s="129">
        <f t="shared" si="0"/>
        <v>0</v>
      </c>
      <c r="AR48" s="138">
        <v>7350</v>
      </c>
    </row>
    <row r="49" spans="2:44" hidden="1" thickBot="1" x14ac:dyDescent="0.35">
      <c r="B49" s="7">
        <v>7400</v>
      </c>
      <c r="C49" s="15" t="s">
        <v>36</v>
      </c>
      <c r="D49" s="113"/>
      <c r="E49" s="132"/>
      <c r="F49" s="115"/>
      <c r="H49" s="113"/>
      <c r="I49" s="132"/>
      <c r="J49" s="115"/>
      <c r="K49" s="116"/>
      <c r="L49" s="113"/>
      <c r="M49" s="114"/>
      <c r="N49" s="115"/>
      <c r="O49" s="116"/>
      <c r="P49" s="113"/>
      <c r="Q49" s="114"/>
      <c r="R49" s="115"/>
      <c r="S49" s="116"/>
      <c r="T49" s="113"/>
      <c r="U49" s="114"/>
      <c r="V49" s="115"/>
      <c r="W49" s="130"/>
      <c r="X49" s="113"/>
      <c r="Y49" s="114"/>
      <c r="Z49" s="115"/>
      <c r="AA49" s="130"/>
      <c r="AB49" s="113"/>
      <c r="AC49" s="114"/>
      <c r="AD49" s="115"/>
      <c r="AE49" s="116"/>
      <c r="AF49" s="113"/>
      <c r="AG49" s="114"/>
      <c r="AH49" s="115"/>
      <c r="AJ49" s="113"/>
      <c r="AK49" s="114"/>
      <c r="AL49" s="115"/>
      <c r="AM49" s="116"/>
      <c r="AN49" s="113"/>
      <c r="AO49" s="114"/>
      <c r="AP49" s="115"/>
      <c r="AQ49" s="129">
        <f t="shared" si="0"/>
        <v>0</v>
      </c>
      <c r="AR49" s="138">
        <v>7400</v>
      </c>
    </row>
    <row r="50" spans="2:44" hidden="1" thickBot="1" x14ac:dyDescent="0.35">
      <c r="B50" s="7">
        <v>7411</v>
      </c>
      <c r="C50" s="15" t="s">
        <v>37</v>
      </c>
      <c r="D50" s="113"/>
      <c r="E50" s="132"/>
      <c r="F50" s="115"/>
      <c r="H50" s="113"/>
      <c r="I50" s="132"/>
      <c r="J50" s="115"/>
      <c r="K50" s="116"/>
      <c r="L50" s="113"/>
      <c r="M50" s="114"/>
      <c r="N50" s="115"/>
      <c r="O50" s="116"/>
      <c r="P50" s="113"/>
      <c r="Q50" s="114"/>
      <c r="R50" s="115"/>
      <c r="S50" s="116"/>
      <c r="T50" s="113"/>
      <c r="U50" s="114"/>
      <c r="V50" s="115"/>
      <c r="W50" s="130"/>
      <c r="X50" s="113"/>
      <c r="Y50" s="114"/>
      <c r="Z50" s="115"/>
      <c r="AA50" s="130"/>
      <c r="AB50" s="113"/>
      <c r="AC50" s="114"/>
      <c r="AD50" s="115"/>
      <c r="AE50" s="116"/>
      <c r="AF50" s="113"/>
      <c r="AG50" s="114"/>
      <c r="AH50" s="115"/>
      <c r="AJ50" s="113"/>
      <c r="AK50" s="114"/>
      <c r="AL50" s="115"/>
      <c r="AM50" s="116"/>
      <c r="AN50" s="113"/>
      <c r="AO50" s="114"/>
      <c r="AP50" s="115"/>
      <c r="AQ50" s="129">
        <f t="shared" si="0"/>
        <v>0</v>
      </c>
      <c r="AR50" s="138">
        <v>7411</v>
      </c>
    </row>
    <row r="51" spans="2:44" hidden="1" thickBot="1" x14ac:dyDescent="0.35">
      <c r="B51" s="7">
        <v>7420</v>
      </c>
      <c r="C51" s="15" t="s">
        <v>38</v>
      </c>
      <c r="D51" s="113"/>
      <c r="E51" s="132"/>
      <c r="F51" s="115"/>
      <c r="H51" s="113"/>
      <c r="I51" s="132"/>
      <c r="J51" s="115"/>
      <c r="K51" s="116"/>
      <c r="L51" s="113"/>
      <c r="M51" s="114"/>
      <c r="N51" s="115"/>
      <c r="O51" s="116"/>
      <c r="P51" s="113"/>
      <c r="Q51" s="114"/>
      <c r="R51" s="115"/>
      <c r="S51" s="116"/>
      <c r="T51" s="113"/>
      <c r="U51" s="114"/>
      <c r="V51" s="115"/>
      <c r="W51" s="130"/>
      <c r="X51" s="113"/>
      <c r="Y51" s="114"/>
      <c r="Z51" s="115"/>
      <c r="AA51" s="130"/>
      <c r="AB51" s="113"/>
      <c r="AC51" s="114"/>
      <c r="AD51" s="115"/>
      <c r="AE51" s="116"/>
      <c r="AF51" s="113"/>
      <c r="AG51" s="114"/>
      <c r="AH51" s="115"/>
      <c r="AJ51" s="113"/>
      <c r="AK51" s="114"/>
      <c r="AL51" s="115"/>
      <c r="AM51" s="116"/>
      <c r="AN51" s="113"/>
      <c r="AO51" s="114"/>
      <c r="AP51" s="115"/>
      <c r="AQ51" s="129">
        <f t="shared" si="0"/>
        <v>0</v>
      </c>
      <c r="AR51" s="138">
        <v>7420</v>
      </c>
    </row>
    <row r="52" spans="2:44" ht="15.75" thickBot="1" x14ac:dyDescent="0.3">
      <c r="B52" s="7">
        <v>7425</v>
      </c>
      <c r="C52" s="15" t="s">
        <v>39</v>
      </c>
      <c r="D52" s="113">
        <v>1000</v>
      </c>
      <c r="E52" s="132"/>
      <c r="F52" s="115"/>
      <c r="H52" s="113"/>
      <c r="I52" s="132"/>
      <c r="J52" s="115"/>
      <c r="K52" s="116"/>
      <c r="L52" s="113"/>
      <c r="M52" s="114"/>
      <c r="N52" s="115"/>
      <c r="O52" s="116"/>
      <c r="P52" s="113"/>
      <c r="Q52" s="114"/>
      <c r="R52" s="115"/>
      <c r="S52" s="116"/>
      <c r="T52" s="113"/>
      <c r="U52" s="114"/>
      <c r="V52" s="115"/>
      <c r="W52" s="130"/>
      <c r="X52" s="113"/>
      <c r="Y52" s="114"/>
      <c r="Z52" s="115"/>
      <c r="AA52" s="130"/>
      <c r="AB52" s="113"/>
      <c r="AC52" s="114"/>
      <c r="AD52" s="115"/>
      <c r="AE52" s="116"/>
      <c r="AF52" s="113"/>
      <c r="AG52" s="114"/>
      <c r="AH52" s="115"/>
      <c r="AJ52" s="113"/>
      <c r="AK52" s="114"/>
      <c r="AL52" s="115"/>
      <c r="AM52" s="116"/>
      <c r="AN52" s="113"/>
      <c r="AO52" s="114"/>
      <c r="AP52" s="115"/>
      <c r="AQ52" s="129">
        <f t="shared" si="0"/>
        <v>1000</v>
      </c>
      <c r="AR52" s="138">
        <v>7425</v>
      </c>
    </row>
    <row r="53" spans="2:44" hidden="1" thickBot="1" x14ac:dyDescent="0.35">
      <c r="B53" s="7">
        <v>7430</v>
      </c>
      <c r="C53" s="15" t="s">
        <v>40</v>
      </c>
      <c r="D53" s="113"/>
      <c r="E53" s="132"/>
      <c r="F53" s="115"/>
      <c r="H53" s="113"/>
      <c r="I53" s="132"/>
      <c r="J53" s="115"/>
      <c r="K53" s="116"/>
      <c r="L53" s="113"/>
      <c r="M53" s="114"/>
      <c r="N53" s="115"/>
      <c r="O53" s="116"/>
      <c r="P53" s="113"/>
      <c r="Q53" s="114"/>
      <c r="R53" s="115"/>
      <c r="S53" s="116"/>
      <c r="T53" s="113"/>
      <c r="U53" s="114"/>
      <c r="V53" s="115"/>
      <c r="W53" s="130"/>
      <c r="X53" s="113"/>
      <c r="Y53" s="114"/>
      <c r="Z53" s="115"/>
      <c r="AA53" s="130"/>
      <c r="AB53" s="113"/>
      <c r="AC53" s="114"/>
      <c r="AD53" s="115"/>
      <c r="AE53" s="116"/>
      <c r="AF53" s="113"/>
      <c r="AG53" s="114"/>
      <c r="AH53" s="115"/>
      <c r="AJ53" s="113"/>
      <c r="AK53" s="114"/>
      <c r="AL53" s="115"/>
      <c r="AM53" s="116"/>
      <c r="AN53" s="113"/>
      <c r="AO53" s="114"/>
      <c r="AP53" s="115"/>
      <c r="AQ53" s="129">
        <f t="shared" si="0"/>
        <v>0</v>
      </c>
      <c r="AR53" s="138">
        <v>7430</v>
      </c>
    </row>
    <row r="54" spans="2:44" hidden="1" thickBot="1" x14ac:dyDescent="0.35">
      <c r="B54" s="7">
        <v>7500</v>
      </c>
      <c r="C54" s="15" t="s">
        <v>41</v>
      </c>
      <c r="D54" s="113">
        <v>0</v>
      </c>
      <c r="E54" s="132"/>
      <c r="F54" s="115"/>
      <c r="H54" s="113"/>
      <c r="I54" s="132"/>
      <c r="J54" s="115"/>
      <c r="K54" s="116"/>
      <c r="L54" s="113"/>
      <c r="M54" s="114"/>
      <c r="N54" s="115"/>
      <c r="O54" s="116"/>
      <c r="P54" s="113"/>
      <c r="Q54" s="114"/>
      <c r="R54" s="115"/>
      <c r="S54" s="116"/>
      <c r="T54" s="113"/>
      <c r="U54" s="114"/>
      <c r="V54" s="115"/>
      <c r="W54" s="130"/>
      <c r="X54" s="113"/>
      <c r="Y54" s="114"/>
      <c r="Z54" s="115"/>
      <c r="AA54" s="130"/>
      <c r="AB54" s="113"/>
      <c r="AC54" s="114"/>
      <c r="AD54" s="115"/>
      <c r="AE54" s="116"/>
      <c r="AF54" s="113"/>
      <c r="AG54" s="114"/>
      <c r="AH54" s="115"/>
      <c r="AJ54" s="113"/>
      <c r="AK54" s="114"/>
      <c r="AL54" s="115"/>
      <c r="AM54" s="116"/>
      <c r="AN54" s="113"/>
      <c r="AO54" s="114"/>
      <c r="AP54" s="115"/>
      <c r="AQ54" s="129">
        <f t="shared" si="0"/>
        <v>0</v>
      </c>
      <c r="AR54" s="138">
        <v>7500</v>
      </c>
    </row>
    <row r="55" spans="2:44" hidden="1" thickBot="1" x14ac:dyDescent="0.35">
      <c r="B55" s="7">
        <v>7746</v>
      </c>
      <c r="C55" s="15" t="s">
        <v>42</v>
      </c>
      <c r="D55" s="113"/>
      <c r="E55" s="132"/>
      <c r="F55" s="115"/>
      <c r="H55" s="113"/>
      <c r="I55" s="132"/>
      <c r="J55" s="115"/>
      <c r="K55" s="116"/>
      <c r="L55" s="113"/>
      <c r="M55" s="114"/>
      <c r="N55" s="115"/>
      <c r="O55" s="116"/>
      <c r="P55" s="113"/>
      <c r="Q55" s="114"/>
      <c r="R55" s="115"/>
      <c r="S55" s="116"/>
      <c r="T55" s="113"/>
      <c r="U55" s="114"/>
      <c r="V55" s="115"/>
      <c r="W55" s="130"/>
      <c r="X55" s="113"/>
      <c r="Y55" s="114"/>
      <c r="Z55" s="115"/>
      <c r="AA55" s="130"/>
      <c r="AB55" s="113"/>
      <c r="AC55" s="114"/>
      <c r="AD55" s="115"/>
      <c r="AE55" s="116"/>
      <c r="AF55" s="113"/>
      <c r="AG55" s="114"/>
      <c r="AH55" s="115"/>
      <c r="AJ55" s="113"/>
      <c r="AK55" s="114"/>
      <c r="AL55" s="115"/>
      <c r="AM55" s="116"/>
      <c r="AN55" s="113"/>
      <c r="AO55" s="114"/>
      <c r="AP55" s="115"/>
      <c r="AQ55" s="129">
        <f t="shared" si="0"/>
        <v>0</v>
      </c>
      <c r="AR55" s="138">
        <v>7746</v>
      </c>
    </row>
    <row r="56" spans="2:44" ht="14.45" customHeight="1" thickBot="1" x14ac:dyDescent="0.3">
      <c r="B56" s="7">
        <v>7770</v>
      </c>
      <c r="C56" s="15" t="s">
        <v>43</v>
      </c>
      <c r="D56" s="113">
        <v>2500</v>
      </c>
      <c r="E56" s="132"/>
      <c r="F56" s="115"/>
      <c r="H56" s="113"/>
      <c r="I56" s="132"/>
      <c r="J56" s="115"/>
      <c r="K56" s="116"/>
      <c r="L56" s="113"/>
      <c r="M56" s="114"/>
      <c r="N56" s="115"/>
      <c r="O56" s="116"/>
      <c r="P56" s="113"/>
      <c r="Q56" s="114"/>
      <c r="R56" s="115"/>
      <c r="S56" s="116"/>
      <c r="T56" s="113"/>
      <c r="U56" s="114"/>
      <c r="V56" s="115"/>
      <c r="W56" s="130"/>
      <c r="X56" s="113"/>
      <c r="Y56" s="114"/>
      <c r="Z56" s="115"/>
      <c r="AA56" s="130"/>
      <c r="AB56" s="113"/>
      <c r="AC56" s="114"/>
      <c r="AD56" s="115"/>
      <c r="AE56" s="116"/>
      <c r="AF56" s="113"/>
      <c r="AG56" s="114"/>
      <c r="AH56" s="115"/>
      <c r="AJ56" s="113"/>
      <c r="AK56" s="114"/>
      <c r="AL56" s="115"/>
      <c r="AM56" s="116"/>
      <c r="AN56" s="113"/>
      <c r="AO56" s="114"/>
      <c r="AP56" s="115"/>
      <c r="AQ56" s="129">
        <f t="shared" si="0"/>
        <v>2500</v>
      </c>
      <c r="AR56" s="138">
        <v>7770</v>
      </c>
    </row>
    <row r="57" spans="2:44" hidden="1" thickBot="1" x14ac:dyDescent="0.35">
      <c r="B57" s="10">
        <v>7775</v>
      </c>
      <c r="C57" s="16" t="s">
        <v>44</v>
      </c>
      <c r="D57" s="117"/>
      <c r="E57" s="192"/>
      <c r="F57" s="119"/>
      <c r="H57" s="117"/>
      <c r="I57" s="192"/>
      <c r="J57" s="119"/>
      <c r="K57" s="116"/>
      <c r="L57" s="117"/>
      <c r="M57" s="118"/>
      <c r="N57" s="119"/>
      <c r="O57" s="116"/>
      <c r="P57" s="117"/>
      <c r="Q57" s="118"/>
      <c r="R57" s="119"/>
      <c r="S57" s="116"/>
      <c r="T57" s="117"/>
      <c r="U57" s="118"/>
      <c r="V57" s="119"/>
      <c r="W57" s="130"/>
      <c r="X57" s="117"/>
      <c r="Y57" s="118"/>
      <c r="Z57" s="119"/>
      <c r="AA57" s="130"/>
      <c r="AB57" s="117"/>
      <c r="AC57" s="118"/>
      <c r="AD57" s="119"/>
      <c r="AE57" s="116"/>
      <c r="AF57" s="117"/>
      <c r="AG57" s="118"/>
      <c r="AH57" s="119"/>
      <c r="AJ57" s="117"/>
      <c r="AK57" s="118"/>
      <c r="AL57" s="119"/>
      <c r="AM57" s="116"/>
      <c r="AN57" s="117"/>
      <c r="AO57" s="118"/>
      <c r="AP57" s="119"/>
      <c r="AQ57" s="129">
        <f t="shared" si="0"/>
        <v>0</v>
      </c>
      <c r="AR57" s="142">
        <v>7775</v>
      </c>
    </row>
    <row r="58" spans="2:44" ht="15.75" thickBot="1" x14ac:dyDescent="0.3">
      <c r="B58" s="32"/>
      <c r="C58" s="33" t="s">
        <v>74</v>
      </c>
      <c r="D58" s="129">
        <f>SUM(D13:D57)</f>
        <v>410235.011</v>
      </c>
      <c r="E58" s="193"/>
      <c r="F58" s="129">
        <v>437803.41</v>
      </c>
      <c r="H58" s="129">
        <f t="shared" ref="H58:AF58" si="4">SUM(H13:H57)</f>
        <v>25000</v>
      </c>
      <c r="I58" s="193"/>
      <c r="J58" s="129">
        <v>3076</v>
      </c>
      <c r="K58" s="116"/>
      <c r="L58" s="129">
        <f t="shared" si="4"/>
        <v>42800</v>
      </c>
      <c r="M58" s="129"/>
      <c r="N58" s="129">
        <v>10017.879999999999</v>
      </c>
      <c r="O58" s="116"/>
      <c r="P58" s="129">
        <f t="shared" si="4"/>
        <v>0</v>
      </c>
      <c r="Q58" s="129">
        <f t="shared" si="4"/>
        <v>0</v>
      </c>
      <c r="R58" s="129">
        <v>0</v>
      </c>
      <c r="S58" s="116"/>
      <c r="T58" s="129">
        <f t="shared" si="4"/>
        <v>0</v>
      </c>
      <c r="U58" s="129"/>
      <c r="V58" s="129">
        <f t="shared" si="4"/>
        <v>0</v>
      </c>
      <c r="W58" s="116">
        <f t="shared" si="4"/>
        <v>0</v>
      </c>
      <c r="X58" s="129">
        <f t="shared" si="4"/>
        <v>0</v>
      </c>
      <c r="Y58" s="129"/>
      <c r="Z58" s="129">
        <f t="shared" si="4"/>
        <v>0</v>
      </c>
      <c r="AA58" s="116"/>
      <c r="AB58" s="129">
        <f t="shared" si="4"/>
        <v>0</v>
      </c>
      <c r="AC58" s="129"/>
      <c r="AD58" s="129">
        <f t="shared" si="4"/>
        <v>0</v>
      </c>
      <c r="AE58" s="116"/>
      <c r="AF58" s="129">
        <f t="shared" si="4"/>
        <v>3000</v>
      </c>
      <c r="AG58" s="129"/>
      <c r="AH58" s="129">
        <v>129709</v>
      </c>
      <c r="AJ58" s="129">
        <f t="shared" ref="AJ58" si="5">SUM(AJ13:AJ57)</f>
        <v>0</v>
      </c>
      <c r="AK58" s="129"/>
      <c r="AL58" s="129">
        <f t="shared" ref="AL58" si="6">SUM(AL13:AL57)</f>
        <v>0</v>
      </c>
      <c r="AM58" s="116"/>
      <c r="AN58" s="129">
        <f t="shared" ref="AN58" si="7">SUM(AN13:AN57)</f>
        <v>0</v>
      </c>
      <c r="AO58" s="129"/>
      <c r="AP58" s="129">
        <f t="shared" ref="AP58" si="8">SUM(AP13:AP57)</f>
        <v>0</v>
      </c>
      <c r="AQ58" s="129">
        <f>AF58+AB58+X58+T58+P58+L58+H58+D58+AN58+AJ58</f>
        <v>481035.011</v>
      </c>
      <c r="AR58" s="139"/>
    </row>
    <row r="59" spans="2:44" ht="15.75" thickBot="1" x14ac:dyDescent="0.3">
      <c r="C59" s="18" t="s">
        <v>51</v>
      </c>
      <c r="D59" s="111">
        <f>D12-D58</f>
        <v>-410235.011</v>
      </c>
      <c r="E59" s="194"/>
      <c r="F59" s="111">
        <f t="shared" ref="F59" si="9">F12-F58</f>
        <v>-437803.41</v>
      </c>
      <c r="G59" s="112"/>
      <c r="H59" s="111">
        <f t="shared" ref="H59" si="10">H12-H58</f>
        <v>-25000</v>
      </c>
      <c r="I59" s="194"/>
      <c r="J59" s="111">
        <f t="shared" ref="J59:AH59" si="11">J12-J58</f>
        <v>-3076</v>
      </c>
      <c r="K59" s="112"/>
      <c r="L59" s="111">
        <f t="shared" ref="L59" si="12">L12-L58</f>
        <v>-42800</v>
      </c>
      <c r="M59" s="111"/>
      <c r="N59" s="111">
        <f t="shared" si="11"/>
        <v>-10017.879999999999</v>
      </c>
      <c r="O59" s="112"/>
      <c r="P59" s="111">
        <f t="shared" ref="P59" si="13">P12-P58</f>
        <v>730000</v>
      </c>
      <c r="Q59" s="111"/>
      <c r="R59" s="111">
        <f t="shared" si="11"/>
        <v>746024</v>
      </c>
      <c r="S59" s="112"/>
      <c r="T59" s="111">
        <f t="shared" ref="T59" si="14">T12-T58</f>
        <v>200000</v>
      </c>
      <c r="U59" s="111"/>
      <c r="V59" s="111">
        <f t="shared" si="11"/>
        <v>200400</v>
      </c>
      <c r="W59" s="112"/>
      <c r="X59" s="111">
        <f t="shared" ref="X59" si="15">X12-X58</f>
        <v>500000</v>
      </c>
      <c r="Y59" s="111"/>
      <c r="Z59" s="111">
        <f t="shared" si="11"/>
        <v>507641</v>
      </c>
      <c r="AA59" s="112"/>
      <c r="AB59" s="111">
        <f t="shared" ref="AB59" si="16">AB12-AB58</f>
        <v>0</v>
      </c>
      <c r="AC59" s="111"/>
      <c r="AD59" s="111">
        <f t="shared" si="11"/>
        <v>2112</v>
      </c>
      <c r="AE59" s="112"/>
      <c r="AF59" s="111">
        <f t="shared" ref="AF59" si="17">AF12-AF58</f>
        <v>197000</v>
      </c>
      <c r="AG59" s="111"/>
      <c r="AH59" s="111">
        <f t="shared" si="11"/>
        <v>293208.61</v>
      </c>
      <c r="AJ59" s="111">
        <f t="shared" ref="AJ59" si="18">AJ12-AJ58</f>
        <v>100000</v>
      </c>
      <c r="AK59" s="111"/>
      <c r="AL59" s="111">
        <f t="shared" ref="AL59" si="19">AL12-AL58</f>
        <v>102817</v>
      </c>
      <c r="AM59" s="112"/>
      <c r="AN59" s="111">
        <f t="shared" ref="AN59" si="20">AN12-AN58</f>
        <v>20000</v>
      </c>
      <c r="AO59" s="111"/>
      <c r="AP59" s="111">
        <f t="shared" ref="AP59" si="21">AP12-AP58</f>
        <v>18740</v>
      </c>
      <c r="AQ59" s="129">
        <f>AQ12-AQ58</f>
        <v>1268964.9890000001</v>
      </c>
      <c r="AR59" s="143"/>
    </row>
    <row r="60" spans="2:44" x14ac:dyDescent="0.25">
      <c r="U60" s="1"/>
      <c r="V60" s="9"/>
      <c r="Y60" s="1"/>
      <c r="Z60" s="9"/>
      <c r="AC60" s="1"/>
      <c r="AD60" s="9"/>
      <c r="AG60" s="1"/>
      <c r="AH60" s="9"/>
      <c r="AK60" s="1"/>
      <c r="AL60" s="9"/>
      <c r="AO60" s="1"/>
      <c r="AP60" s="9"/>
    </row>
    <row r="61" spans="2:44" x14ac:dyDescent="0.25">
      <c r="D61" s="268" t="s">
        <v>173</v>
      </c>
      <c r="E61" s="268"/>
      <c r="F61" s="268"/>
      <c r="H61" s="268" t="s">
        <v>314</v>
      </c>
      <c r="I61" s="268"/>
      <c r="J61" s="268"/>
      <c r="L61" s="268"/>
      <c r="M61" s="268"/>
      <c r="N61" s="268"/>
      <c r="U61" s="1"/>
      <c r="V61" s="9"/>
      <c r="Y61" s="1"/>
      <c r="Z61" s="9"/>
      <c r="AC61" s="1"/>
      <c r="AD61" s="9"/>
      <c r="AG61" s="1"/>
      <c r="AH61" s="9"/>
      <c r="AK61" s="1"/>
      <c r="AL61" s="9"/>
      <c r="AO61" s="1"/>
      <c r="AP61" s="9"/>
    </row>
    <row r="62" spans="2:44" x14ac:dyDescent="0.25">
      <c r="D62" s="268"/>
      <c r="E62" s="268"/>
      <c r="F62" s="268"/>
      <c r="H62" s="268"/>
      <c r="I62" s="268"/>
      <c r="J62" s="268"/>
      <c r="L62" s="268"/>
      <c r="M62" s="268"/>
      <c r="N62" s="268"/>
      <c r="U62" s="1"/>
      <c r="V62" s="9"/>
      <c r="Y62" s="1"/>
      <c r="Z62" s="9"/>
      <c r="AC62" s="1"/>
      <c r="AD62" s="9"/>
      <c r="AG62" s="1"/>
      <c r="AH62" s="9"/>
      <c r="AK62" s="1"/>
      <c r="AL62" s="9"/>
      <c r="AO62" s="1"/>
      <c r="AP62" s="9"/>
    </row>
    <row r="63" spans="2:44" x14ac:dyDescent="0.25">
      <c r="D63" s="268"/>
      <c r="E63" s="268"/>
      <c r="F63" s="268"/>
      <c r="H63" s="268"/>
      <c r="I63" s="268"/>
      <c r="J63" s="268"/>
      <c r="L63" s="268"/>
      <c r="M63" s="268"/>
      <c r="N63" s="268"/>
      <c r="U63" s="1"/>
      <c r="V63" s="9"/>
      <c r="Y63" s="1"/>
      <c r="Z63" s="9"/>
      <c r="AC63" s="1"/>
      <c r="AD63" s="9"/>
      <c r="AG63" s="1"/>
      <c r="AH63" s="9"/>
      <c r="AK63" s="1"/>
      <c r="AL63" s="9"/>
      <c r="AO63" s="1"/>
      <c r="AP63" s="9"/>
    </row>
    <row r="64" spans="2:44" x14ac:dyDescent="0.25">
      <c r="D64" s="268"/>
      <c r="E64" s="268"/>
      <c r="F64" s="268"/>
      <c r="H64" s="268"/>
      <c r="I64" s="268"/>
      <c r="J64" s="268"/>
      <c r="L64" s="268"/>
      <c r="M64" s="268"/>
      <c r="N64" s="268"/>
      <c r="U64" s="1"/>
      <c r="V64" s="9"/>
      <c r="Y64" s="1"/>
      <c r="Z64" s="9"/>
      <c r="AC64" s="1"/>
      <c r="AD64" s="9"/>
      <c r="AG64" s="1"/>
      <c r="AH64" s="9"/>
      <c r="AK64" s="1"/>
      <c r="AL64" s="9"/>
      <c r="AO64" s="1"/>
      <c r="AP64" s="9"/>
    </row>
    <row r="65" spans="4:42" x14ac:dyDescent="0.25">
      <c r="D65" s="268"/>
      <c r="E65" s="268"/>
      <c r="F65" s="268"/>
      <c r="H65" s="268"/>
      <c r="I65" s="268"/>
      <c r="J65" s="268"/>
      <c r="L65" s="268"/>
      <c r="M65" s="268"/>
      <c r="N65" s="268"/>
      <c r="U65" s="1"/>
      <c r="V65" s="9"/>
      <c r="Y65" s="1"/>
      <c r="Z65" s="9"/>
      <c r="AC65" s="1"/>
      <c r="AD65" s="9"/>
      <c r="AG65" s="1"/>
      <c r="AH65" s="9"/>
      <c r="AK65" s="1"/>
      <c r="AL65" s="9"/>
      <c r="AO65" s="1"/>
      <c r="AP65" s="9"/>
    </row>
    <row r="66" spans="4:42" x14ac:dyDescent="0.25">
      <c r="D66" s="268"/>
      <c r="E66" s="268"/>
      <c r="F66" s="268"/>
      <c r="H66" s="268"/>
      <c r="I66" s="268"/>
      <c r="J66" s="268"/>
      <c r="L66" s="268"/>
      <c r="M66" s="268"/>
      <c r="N66" s="268"/>
      <c r="U66" s="1"/>
      <c r="V66" s="9"/>
      <c r="Y66" s="1"/>
      <c r="Z66" s="9"/>
      <c r="AC66" s="1"/>
      <c r="AD66" s="9"/>
      <c r="AG66" s="1"/>
      <c r="AH66" s="9"/>
      <c r="AK66" s="1"/>
      <c r="AL66" s="9"/>
      <c r="AO66" s="1"/>
      <c r="AP66" s="9"/>
    </row>
    <row r="67" spans="4:42" x14ac:dyDescent="0.25">
      <c r="D67" s="268"/>
      <c r="E67" s="268"/>
      <c r="F67" s="268"/>
      <c r="H67" s="268"/>
      <c r="I67" s="268"/>
      <c r="J67" s="268"/>
      <c r="L67" s="268"/>
      <c r="M67" s="268"/>
      <c r="N67" s="268"/>
      <c r="U67" s="1"/>
      <c r="V67" s="9"/>
      <c r="Y67" s="1"/>
      <c r="Z67" s="9"/>
      <c r="AC67" s="1"/>
      <c r="AD67" s="9"/>
      <c r="AG67" s="1"/>
      <c r="AH67" s="9"/>
      <c r="AK67" s="1"/>
      <c r="AL67" s="9"/>
      <c r="AO67" s="1"/>
      <c r="AP67" s="9"/>
    </row>
    <row r="68" spans="4:42" x14ac:dyDescent="0.25">
      <c r="D68" s="268"/>
      <c r="E68" s="268"/>
      <c r="F68" s="268"/>
      <c r="H68" s="268"/>
      <c r="I68" s="268"/>
      <c r="J68" s="268"/>
      <c r="L68" s="268"/>
      <c r="M68" s="268"/>
      <c r="N68" s="268"/>
      <c r="U68" s="1"/>
      <c r="V68" s="9"/>
      <c r="Y68" s="1"/>
      <c r="Z68" s="9"/>
      <c r="AC68" s="1"/>
      <c r="AD68" s="9"/>
      <c r="AG68" s="1"/>
      <c r="AH68" s="9"/>
      <c r="AK68" s="1"/>
      <c r="AL68" s="9"/>
      <c r="AO68" s="1"/>
      <c r="AP68" s="9"/>
    </row>
    <row r="69" spans="4:42" x14ac:dyDescent="0.25">
      <c r="D69" s="268"/>
      <c r="E69" s="268"/>
      <c r="F69" s="268"/>
      <c r="H69" s="268"/>
      <c r="I69" s="268"/>
      <c r="J69" s="268"/>
      <c r="L69" s="268"/>
      <c r="M69" s="268"/>
      <c r="N69" s="268"/>
      <c r="U69" s="1"/>
      <c r="V69" s="9"/>
      <c r="Y69" s="1"/>
      <c r="Z69" s="9"/>
      <c r="AC69" s="1"/>
      <c r="AD69" s="9"/>
      <c r="AG69" s="1"/>
      <c r="AH69" s="9"/>
      <c r="AK69" s="1"/>
      <c r="AL69" s="9"/>
      <c r="AO69" s="1"/>
      <c r="AP69" s="9"/>
    </row>
    <row r="70" spans="4:42" x14ac:dyDescent="0.25">
      <c r="D70" s="268"/>
      <c r="E70" s="268"/>
      <c r="F70" s="268"/>
      <c r="H70" s="268"/>
      <c r="I70" s="268"/>
      <c r="J70" s="268"/>
      <c r="L70" s="268"/>
      <c r="M70" s="268"/>
      <c r="N70" s="268"/>
    </row>
    <row r="71" spans="4:42" x14ac:dyDescent="0.25">
      <c r="D71" s="268"/>
      <c r="E71" s="268"/>
      <c r="F71" s="268"/>
      <c r="H71" s="268"/>
      <c r="I71" s="268"/>
      <c r="J71" s="268"/>
      <c r="L71" s="268"/>
      <c r="M71" s="268"/>
      <c r="N71" s="268"/>
    </row>
    <row r="72" spans="4:42" x14ac:dyDescent="0.25">
      <c r="D72" s="268"/>
      <c r="E72" s="268"/>
      <c r="F72" s="268"/>
      <c r="H72" s="268"/>
      <c r="I72" s="268"/>
      <c r="J72" s="268"/>
      <c r="L72" s="268"/>
      <c r="M72" s="268"/>
      <c r="N72" s="268"/>
    </row>
    <row r="73" spans="4:42" x14ac:dyDescent="0.25">
      <c r="D73" s="268"/>
      <c r="E73" s="268"/>
      <c r="F73" s="268"/>
      <c r="H73" s="268"/>
      <c r="I73" s="268"/>
      <c r="J73" s="268"/>
      <c r="L73" s="268"/>
      <c r="M73" s="268"/>
      <c r="N73" s="268"/>
    </row>
  </sheetData>
  <sheetProtection algorithmName="SHA-512" hashValue="k0FLwsRrSHmQWSBW7cgsP6X40jhtjJUDlvqnxeGrrRAg2nu+9Ae5d99G4kIKYlzDhYWb+E2VsGMRDvjVLSAd+Q==" saltValue="p73gPDB43WWMbmARM4eYLg==" spinCount="100000" sheet="1" objects="1" scenarios="1" selectLockedCells="1"/>
  <protectedRanges>
    <protectedRange sqref="D19 H19:I19 L19:M19 P19:Q19 T19:U19 X19:Y19 AB19:AC19 AF19:AG19 AJ19:AK19 AN19:AO19" name="Område2_2"/>
    <protectedRange password="8B3B" sqref="D21 H21:I21 L21:M21 P21:Q21 T21:U21 X21:Y21 AB21:AC21 AF21:AG21 AJ21:AK21 AN21:AO21" name="Område1_2"/>
  </protectedRanges>
  <mergeCells count="15">
    <mergeCell ref="AK1:AL1"/>
    <mergeCell ref="AO1:AP1"/>
    <mergeCell ref="AG1:AH1"/>
    <mergeCell ref="L61:N73"/>
    <mergeCell ref="U1:V1"/>
    <mergeCell ref="Q1:R1"/>
    <mergeCell ref="B1:C1"/>
    <mergeCell ref="E1:F1"/>
    <mergeCell ref="Y1:Z1"/>
    <mergeCell ref="AC1:AD1"/>
    <mergeCell ref="H61:J73"/>
    <mergeCell ref="D61:F73"/>
    <mergeCell ref="B2:C2"/>
    <mergeCell ref="I1:J1"/>
    <mergeCell ref="M1:N1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4"/>
  <sheetViews>
    <sheetView zoomScale="85" zoomScaleNormal="85" zoomScalePageLayoutView="90" workbookViewId="0">
      <pane xSplit="3" topLeftCell="D1" activePane="topRight" state="frozen"/>
      <selection pane="topRight" activeCell="H31" sqref="H31"/>
    </sheetView>
  </sheetViews>
  <sheetFormatPr baseColWidth="10" defaultColWidth="11.42578125" defaultRowHeight="15" x14ac:dyDescent="0.25"/>
  <cols>
    <col min="1" max="1" width="9.42578125" style="1" bestFit="1" customWidth="1"/>
    <col min="2" max="2" width="6.42578125" style="1" bestFit="1" customWidth="1"/>
    <col min="3" max="3" width="37.5703125" style="1" bestFit="1" customWidth="1"/>
    <col min="4" max="4" width="12.140625" style="1" bestFit="1" customWidth="1"/>
    <col min="5" max="5" width="12.85546875" style="1" bestFit="1" customWidth="1"/>
    <col min="6" max="6" width="13.28515625" style="9" bestFit="1" customWidth="1"/>
    <col min="7" max="7" width="4.42578125" style="1" customWidth="1"/>
    <col min="8" max="8" width="13.140625" style="1" bestFit="1" customWidth="1"/>
    <col min="9" max="9" width="14.5703125" style="199" bestFit="1" customWidth="1"/>
    <col min="10" max="10" width="13.28515625" style="1" bestFit="1" customWidth="1"/>
    <col min="11" max="11" width="4.5703125" style="1" customWidth="1"/>
    <col min="12" max="12" width="11.7109375" style="9" bestFit="1" customWidth="1"/>
    <col min="13" max="13" width="12" style="1" bestFit="1" customWidth="1"/>
    <col min="14" max="14" width="13.28515625" style="1" bestFit="1" customWidth="1"/>
    <col min="15" max="15" width="4.5703125" style="9" customWidth="1"/>
    <col min="16" max="16" width="11.7109375" style="1" bestFit="1" customWidth="1"/>
    <col min="17" max="17" width="12" style="1" bestFit="1" customWidth="1"/>
    <col min="18" max="18" width="13.28515625" style="9" bestFit="1" customWidth="1"/>
    <col min="19" max="19" width="4.42578125" style="1" customWidth="1"/>
    <col min="20" max="20" width="11.7109375" style="1" bestFit="1" customWidth="1"/>
    <col min="21" max="21" width="12" style="1" bestFit="1" customWidth="1"/>
    <col min="22" max="22" width="13.28515625" style="1" bestFit="1" customWidth="1"/>
    <col min="23" max="23" width="2.5703125" style="1" customWidth="1"/>
    <col min="24" max="24" width="13.140625" style="1" bestFit="1" customWidth="1"/>
    <col min="25" max="25" width="6.42578125" style="1" bestFit="1" customWidth="1"/>
    <col min="26" max="16384" width="11.42578125" style="1"/>
  </cols>
  <sheetData>
    <row r="1" spans="1:25" ht="15.75" thickBot="1" x14ac:dyDescent="0.3">
      <c r="A1" s="39"/>
      <c r="B1" s="260" t="s">
        <v>76</v>
      </c>
      <c r="C1" s="261"/>
      <c r="D1" s="25">
        <v>20000</v>
      </c>
      <c r="E1" s="264" t="s">
        <v>53</v>
      </c>
      <c r="F1" s="265"/>
      <c r="G1" s="2"/>
      <c r="H1" s="25">
        <v>21000</v>
      </c>
      <c r="I1" s="264" t="s">
        <v>56</v>
      </c>
      <c r="J1" s="265" t="s">
        <v>54</v>
      </c>
      <c r="K1" s="2"/>
      <c r="L1" s="25">
        <v>22000</v>
      </c>
      <c r="M1" s="264" t="s">
        <v>266</v>
      </c>
      <c r="N1" s="265"/>
      <c r="O1" s="2"/>
      <c r="P1" s="25"/>
      <c r="Q1" s="264"/>
      <c r="R1" s="265"/>
      <c r="S1" s="2"/>
      <c r="T1" s="25"/>
      <c r="U1" s="264"/>
      <c r="V1" s="265"/>
    </row>
    <row r="2" spans="1:25" thickBot="1" x14ac:dyDescent="0.35">
      <c r="A2" s="38"/>
      <c r="B2" s="260" t="s">
        <v>75</v>
      </c>
      <c r="C2" s="261"/>
      <c r="D2" s="20"/>
      <c r="E2" s="21"/>
      <c r="F2" s="22"/>
      <c r="G2" s="3"/>
      <c r="H2" s="20"/>
      <c r="I2" s="189"/>
      <c r="J2" s="22"/>
      <c r="K2" s="3"/>
      <c r="L2" s="20"/>
      <c r="M2" s="21"/>
      <c r="N2" s="22"/>
      <c r="O2" s="3"/>
      <c r="P2" s="20"/>
      <c r="Q2" s="21"/>
      <c r="R2" s="22"/>
      <c r="S2" s="3"/>
      <c r="T2" s="20"/>
      <c r="U2" s="21"/>
      <c r="V2" s="22"/>
    </row>
    <row r="3" spans="1:25" thickBot="1" x14ac:dyDescent="0.35">
      <c r="B3" s="4" t="s">
        <v>0</v>
      </c>
      <c r="C3" s="24" t="s">
        <v>47</v>
      </c>
      <c r="D3" s="35" t="s">
        <v>217</v>
      </c>
      <c r="E3" s="36" t="s">
        <v>70</v>
      </c>
      <c r="F3" s="37" t="s">
        <v>218</v>
      </c>
      <c r="G3" s="5"/>
      <c r="H3" s="35" t="s">
        <v>217</v>
      </c>
      <c r="I3" s="190" t="s">
        <v>70</v>
      </c>
      <c r="J3" s="37" t="s">
        <v>218</v>
      </c>
      <c r="K3" s="5"/>
      <c r="L3" s="35" t="s">
        <v>217</v>
      </c>
      <c r="M3" s="36" t="s">
        <v>70</v>
      </c>
      <c r="N3" s="37" t="s">
        <v>218</v>
      </c>
      <c r="O3" s="5"/>
      <c r="P3" s="35" t="s">
        <v>217</v>
      </c>
      <c r="Q3" s="36" t="s">
        <v>70</v>
      </c>
      <c r="R3" s="37" t="s">
        <v>218</v>
      </c>
      <c r="S3" s="5"/>
      <c r="T3" s="35" t="s">
        <v>217</v>
      </c>
      <c r="U3" s="36" t="s">
        <v>70</v>
      </c>
      <c r="V3" s="37" t="s">
        <v>218</v>
      </c>
      <c r="W3" s="5"/>
      <c r="X3" s="133" t="s">
        <v>52</v>
      </c>
      <c r="Y3" s="137" t="s">
        <v>0</v>
      </c>
    </row>
    <row r="4" spans="1:25" thickBot="1" x14ac:dyDescent="0.35">
      <c r="A4" s="6" t="s">
        <v>45</v>
      </c>
      <c r="B4" s="7">
        <v>3100</v>
      </c>
      <c r="C4" s="23" t="s">
        <v>3</v>
      </c>
      <c r="D4" s="113"/>
      <c r="E4" s="114"/>
      <c r="F4" s="115"/>
      <c r="G4" s="116"/>
      <c r="H4" s="113"/>
      <c r="I4" s="132"/>
      <c r="J4" s="115"/>
      <c r="K4" s="116"/>
      <c r="L4" s="113"/>
      <c r="M4" s="114"/>
      <c r="N4" s="115"/>
      <c r="O4" s="116"/>
      <c r="P4" s="113"/>
      <c r="Q4" s="114"/>
      <c r="R4" s="115"/>
      <c r="S4" s="116"/>
      <c r="T4" s="113"/>
      <c r="U4" s="114"/>
      <c r="V4" s="115"/>
      <c r="W4" s="130"/>
      <c r="X4" s="134">
        <f>T4+P4+L4+H4+D4</f>
        <v>0</v>
      </c>
      <c r="Y4" s="138">
        <v>3100</v>
      </c>
    </row>
    <row r="5" spans="1:25" hidden="1" thickBot="1" x14ac:dyDescent="0.35">
      <c r="B5" s="7">
        <v>3120</v>
      </c>
      <c r="C5" s="8" t="s">
        <v>4</v>
      </c>
      <c r="D5" s="113"/>
      <c r="E5" s="114"/>
      <c r="F5" s="115"/>
      <c r="G5" s="116"/>
      <c r="H5" s="113"/>
      <c r="I5" s="132"/>
      <c r="J5" s="115"/>
      <c r="K5" s="116"/>
      <c r="L5" s="113"/>
      <c r="M5" s="114"/>
      <c r="N5" s="115"/>
      <c r="O5" s="116"/>
      <c r="P5" s="113"/>
      <c r="Q5" s="114"/>
      <c r="R5" s="115"/>
      <c r="S5" s="116"/>
      <c r="T5" s="113"/>
      <c r="U5" s="114"/>
      <c r="V5" s="115"/>
      <c r="W5" s="130"/>
      <c r="X5" s="134">
        <f t="shared" ref="X5:X50" si="0">T5+P5+L5+H5+D5</f>
        <v>0</v>
      </c>
      <c r="Y5" s="138">
        <v>3120</v>
      </c>
    </row>
    <row r="6" spans="1:25" hidden="1" thickBot="1" x14ac:dyDescent="0.35">
      <c r="B6" s="7">
        <v>3400</v>
      </c>
      <c r="C6" s="8" t="s">
        <v>5</v>
      </c>
      <c r="D6" s="113"/>
      <c r="E6" s="114"/>
      <c r="F6" s="115"/>
      <c r="G6" s="116"/>
      <c r="H6" s="113"/>
      <c r="I6" s="132"/>
      <c r="J6" s="115"/>
      <c r="K6" s="116"/>
      <c r="L6" s="113"/>
      <c r="M6" s="114"/>
      <c r="N6" s="115"/>
      <c r="O6" s="116"/>
      <c r="P6" s="113"/>
      <c r="Q6" s="114"/>
      <c r="R6" s="115"/>
      <c r="S6" s="116"/>
      <c r="T6" s="113"/>
      <c r="U6" s="114"/>
      <c r="V6" s="115"/>
      <c r="W6" s="130"/>
      <c r="X6" s="134">
        <f t="shared" si="0"/>
        <v>0</v>
      </c>
      <c r="Y6" s="138">
        <v>3400</v>
      </c>
    </row>
    <row r="7" spans="1:25" hidden="1" thickBot="1" x14ac:dyDescent="0.35">
      <c r="B7" s="7">
        <v>3410</v>
      </c>
      <c r="C7" s="8" t="s">
        <v>6</v>
      </c>
      <c r="D7" s="113"/>
      <c r="E7" s="114"/>
      <c r="F7" s="115"/>
      <c r="G7" s="116"/>
      <c r="H7" s="113"/>
      <c r="I7" s="132"/>
      <c r="J7" s="115"/>
      <c r="K7" s="116"/>
      <c r="L7" s="113"/>
      <c r="M7" s="114"/>
      <c r="N7" s="115"/>
      <c r="O7" s="116"/>
      <c r="P7" s="113"/>
      <c r="Q7" s="114"/>
      <c r="R7" s="115"/>
      <c r="S7" s="116"/>
      <c r="T7" s="113"/>
      <c r="U7" s="114"/>
      <c r="V7" s="115"/>
      <c r="W7" s="130"/>
      <c r="X7" s="134">
        <f t="shared" si="0"/>
        <v>0</v>
      </c>
      <c r="Y7" s="138">
        <v>3410</v>
      </c>
    </row>
    <row r="8" spans="1:25" hidden="1" thickBot="1" x14ac:dyDescent="0.35">
      <c r="B8" s="7">
        <v>3900</v>
      </c>
      <c r="C8" s="8" t="s">
        <v>7</v>
      </c>
      <c r="D8" s="113"/>
      <c r="E8" s="114"/>
      <c r="F8" s="115"/>
      <c r="G8" s="116"/>
      <c r="H8" s="113"/>
      <c r="I8" s="132"/>
      <c r="J8" s="115"/>
      <c r="K8" s="116"/>
      <c r="L8" s="113"/>
      <c r="M8" s="114"/>
      <c r="N8" s="115"/>
      <c r="O8" s="116"/>
      <c r="P8" s="113"/>
      <c r="Q8" s="114"/>
      <c r="R8" s="115"/>
      <c r="S8" s="116"/>
      <c r="T8" s="113"/>
      <c r="U8" s="114"/>
      <c r="V8" s="115"/>
      <c r="W8" s="130"/>
      <c r="X8" s="134">
        <f t="shared" si="0"/>
        <v>0</v>
      </c>
      <c r="Y8" s="138">
        <v>3900</v>
      </c>
    </row>
    <row r="9" spans="1:25" hidden="1" thickBot="1" x14ac:dyDescent="0.35">
      <c r="B9" s="7">
        <v>3910</v>
      </c>
      <c r="C9" s="8" t="s">
        <v>8</v>
      </c>
      <c r="D9" s="113"/>
      <c r="E9" s="114"/>
      <c r="F9" s="115"/>
      <c r="G9" s="116"/>
      <c r="H9" s="113"/>
      <c r="I9" s="132"/>
      <c r="J9" s="115"/>
      <c r="K9" s="116"/>
      <c r="L9" s="113"/>
      <c r="M9" s="114"/>
      <c r="N9" s="115"/>
      <c r="O9" s="116"/>
      <c r="P9" s="113"/>
      <c r="Q9" s="114"/>
      <c r="R9" s="115"/>
      <c r="S9" s="116"/>
      <c r="T9" s="113"/>
      <c r="U9" s="114"/>
      <c r="V9" s="115"/>
      <c r="W9" s="130"/>
      <c r="X9" s="134">
        <f t="shared" si="0"/>
        <v>0</v>
      </c>
      <c r="Y9" s="138">
        <v>3910</v>
      </c>
    </row>
    <row r="10" spans="1:25" hidden="1" thickBot="1" x14ac:dyDescent="0.35">
      <c r="B10" s="10">
        <v>3950</v>
      </c>
      <c r="C10" s="11" t="s">
        <v>9</v>
      </c>
      <c r="D10" s="117"/>
      <c r="E10" s="118"/>
      <c r="F10" s="119"/>
      <c r="G10" s="116"/>
      <c r="H10" s="117"/>
      <c r="I10" s="192"/>
      <c r="J10" s="119"/>
      <c r="K10" s="116"/>
      <c r="L10" s="117"/>
      <c r="M10" s="118"/>
      <c r="N10" s="119"/>
      <c r="O10" s="116"/>
      <c r="P10" s="117"/>
      <c r="Q10" s="118"/>
      <c r="R10" s="119"/>
      <c r="S10" s="116"/>
      <c r="T10" s="117"/>
      <c r="U10" s="118"/>
      <c r="V10" s="119"/>
      <c r="W10" s="130"/>
      <c r="X10" s="134">
        <f t="shared" si="0"/>
        <v>0</v>
      </c>
      <c r="Y10" s="142">
        <v>3950</v>
      </c>
    </row>
    <row r="11" spans="1:25" thickBot="1" x14ac:dyDescent="0.35">
      <c r="B11" s="30"/>
      <c r="C11" s="31" t="s">
        <v>73</v>
      </c>
      <c r="D11" s="120">
        <f>SUM(D4:D10)</f>
        <v>0</v>
      </c>
      <c r="E11" s="120"/>
      <c r="F11" s="120">
        <f t="shared" ref="F11" si="1">SUM(F4:F10)</f>
        <v>0</v>
      </c>
      <c r="G11" s="116"/>
      <c r="H11" s="120">
        <f>SUM(H4:H10)</f>
        <v>0</v>
      </c>
      <c r="I11" s="191"/>
      <c r="J11" s="120">
        <v>331.49</v>
      </c>
      <c r="K11" s="116"/>
      <c r="L11" s="120">
        <f>SUM(L4:L10)</f>
        <v>0</v>
      </c>
      <c r="M11" s="120"/>
      <c r="N11" s="120">
        <f t="shared" ref="N11" si="2">SUM(N4:N10)</f>
        <v>0</v>
      </c>
      <c r="O11" s="116"/>
      <c r="P11" s="120">
        <f>SUM(P4:P10)</f>
        <v>0</v>
      </c>
      <c r="Q11" s="121"/>
      <c r="R11" s="122"/>
      <c r="S11" s="116"/>
      <c r="T11" s="120">
        <f>SUM(T4:T10)</f>
        <v>0</v>
      </c>
      <c r="U11" s="121"/>
      <c r="V11" s="122"/>
      <c r="W11" s="130"/>
      <c r="X11" s="134">
        <f>T11+P11+L11+H11+D11</f>
        <v>0</v>
      </c>
      <c r="Y11" s="139"/>
    </row>
    <row r="12" spans="1:25" ht="15.75" thickBot="1" x14ac:dyDescent="0.3">
      <c r="A12" s="27" t="s">
        <v>46</v>
      </c>
      <c r="B12" s="26">
        <v>5000</v>
      </c>
      <c r="C12" s="29" t="s">
        <v>10</v>
      </c>
      <c r="D12" s="123"/>
      <c r="E12" s="114"/>
      <c r="F12" s="115"/>
      <c r="G12" s="116"/>
      <c r="H12" s="123"/>
      <c r="I12" s="132"/>
      <c r="J12" s="115"/>
      <c r="K12" s="116"/>
      <c r="L12" s="123"/>
      <c r="M12" s="114"/>
      <c r="N12" s="115"/>
      <c r="O12" s="116"/>
      <c r="P12" s="123"/>
      <c r="Q12" s="114"/>
      <c r="R12" s="115"/>
      <c r="S12" s="116"/>
      <c r="T12" s="123"/>
      <c r="U12" s="114"/>
      <c r="V12" s="115"/>
      <c r="W12" s="130"/>
      <c r="X12" s="134">
        <f t="shared" si="0"/>
        <v>0</v>
      </c>
      <c r="Y12" s="140">
        <v>5000</v>
      </c>
    </row>
    <row r="13" spans="1:25" hidden="1" thickBot="1" x14ac:dyDescent="0.35">
      <c r="B13" s="7">
        <v>5001</v>
      </c>
      <c r="C13" s="15" t="s">
        <v>11</v>
      </c>
      <c r="D13" s="123"/>
      <c r="E13" s="114"/>
      <c r="F13" s="115"/>
      <c r="G13" s="116"/>
      <c r="H13" s="123"/>
      <c r="I13" s="132"/>
      <c r="J13" s="115"/>
      <c r="K13" s="116"/>
      <c r="L13" s="123"/>
      <c r="M13" s="114"/>
      <c r="N13" s="115"/>
      <c r="O13" s="116"/>
      <c r="P13" s="123"/>
      <c r="Q13" s="114"/>
      <c r="R13" s="115"/>
      <c r="S13" s="116"/>
      <c r="T13" s="123"/>
      <c r="U13" s="114"/>
      <c r="V13" s="115"/>
      <c r="W13" s="130"/>
      <c r="X13" s="134">
        <f t="shared" si="0"/>
        <v>0</v>
      </c>
      <c r="Y13" s="138">
        <v>5001</v>
      </c>
    </row>
    <row r="14" spans="1:25" hidden="1" thickBot="1" x14ac:dyDescent="0.35">
      <c r="B14" s="7">
        <v>5004</v>
      </c>
      <c r="C14" s="15" t="s">
        <v>12</v>
      </c>
      <c r="D14" s="123"/>
      <c r="E14" s="114"/>
      <c r="F14" s="115"/>
      <c r="G14" s="116"/>
      <c r="H14" s="123"/>
      <c r="I14" s="132"/>
      <c r="J14" s="115"/>
      <c r="K14" s="116"/>
      <c r="L14" s="123"/>
      <c r="M14" s="114"/>
      <c r="N14" s="115"/>
      <c r="O14" s="116"/>
      <c r="P14" s="123"/>
      <c r="Q14" s="114"/>
      <c r="R14" s="115"/>
      <c r="S14" s="116"/>
      <c r="T14" s="123"/>
      <c r="U14" s="114"/>
      <c r="V14" s="115"/>
      <c r="W14" s="130"/>
      <c r="X14" s="134">
        <f t="shared" si="0"/>
        <v>0</v>
      </c>
      <c r="Y14" s="138">
        <v>5004</v>
      </c>
    </row>
    <row r="15" spans="1:25" hidden="1" thickBot="1" x14ac:dyDescent="0.35">
      <c r="A15" s="12"/>
      <c r="B15" s="14">
        <v>5180</v>
      </c>
      <c r="C15" s="17" t="s">
        <v>13</v>
      </c>
      <c r="D15" s="124">
        <f>SUM(D12*0.12)</f>
        <v>0</v>
      </c>
      <c r="E15" s="125"/>
      <c r="F15" s="126"/>
      <c r="G15" s="127"/>
      <c r="H15" s="124">
        <f>SUM(H12*0.12)</f>
        <v>0</v>
      </c>
      <c r="I15" s="196"/>
      <c r="J15" s="126"/>
      <c r="K15" s="127"/>
      <c r="L15" s="124">
        <f>SUM(L12*0.12)</f>
        <v>0</v>
      </c>
      <c r="M15" s="125"/>
      <c r="N15" s="126"/>
      <c r="O15" s="127"/>
      <c r="P15" s="124">
        <f>SUM(P12*0.12)</f>
        <v>0</v>
      </c>
      <c r="Q15" s="125"/>
      <c r="R15" s="126"/>
      <c r="S15" s="127"/>
      <c r="T15" s="124">
        <f>SUM(T12*0.12)</f>
        <v>0</v>
      </c>
      <c r="U15" s="125"/>
      <c r="V15" s="126"/>
      <c r="W15" s="130"/>
      <c r="X15" s="134">
        <f t="shared" si="0"/>
        <v>0</v>
      </c>
      <c r="Y15" s="141">
        <v>5180</v>
      </c>
    </row>
    <row r="16" spans="1:25" hidden="1" thickBot="1" x14ac:dyDescent="0.35">
      <c r="A16" s="12"/>
      <c r="B16" s="14">
        <v>5182</v>
      </c>
      <c r="C16" s="17" t="s">
        <v>14</v>
      </c>
      <c r="D16" s="124">
        <f>SUM(D15*0.141)</f>
        <v>0</v>
      </c>
      <c r="E16" s="125"/>
      <c r="F16" s="126"/>
      <c r="G16" s="127"/>
      <c r="H16" s="124">
        <f>SUM(H15*0.141)</f>
        <v>0</v>
      </c>
      <c r="I16" s="196"/>
      <c r="J16" s="126"/>
      <c r="K16" s="127"/>
      <c r="L16" s="124">
        <f>SUM(L15*0.141)</f>
        <v>0</v>
      </c>
      <c r="M16" s="125"/>
      <c r="N16" s="126"/>
      <c r="O16" s="127"/>
      <c r="P16" s="124">
        <f>SUM(P15*0.141)</f>
        <v>0</v>
      </c>
      <c r="Q16" s="125"/>
      <c r="R16" s="126"/>
      <c r="S16" s="127"/>
      <c r="T16" s="124">
        <f>SUM(T15*0.141)</f>
        <v>0</v>
      </c>
      <c r="U16" s="125"/>
      <c r="V16" s="126"/>
      <c r="W16" s="130"/>
      <c r="X16" s="134">
        <f t="shared" si="0"/>
        <v>0</v>
      </c>
      <c r="Y16" s="141">
        <v>5182</v>
      </c>
    </row>
    <row r="17" spans="1:25" hidden="1" thickBot="1" x14ac:dyDescent="0.35">
      <c r="A17" s="12"/>
      <c r="B17" s="14">
        <v>5211</v>
      </c>
      <c r="C17" s="17" t="s">
        <v>15</v>
      </c>
      <c r="D17" s="128"/>
      <c r="E17" s="125"/>
      <c r="F17" s="126"/>
      <c r="G17" s="127"/>
      <c r="H17" s="128"/>
      <c r="I17" s="196"/>
      <c r="J17" s="126"/>
      <c r="K17" s="127"/>
      <c r="L17" s="128"/>
      <c r="M17" s="125"/>
      <c r="N17" s="126"/>
      <c r="O17" s="127"/>
      <c r="P17" s="128"/>
      <c r="Q17" s="125"/>
      <c r="R17" s="126"/>
      <c r="S17" s="127"/>
      <c r="T17" s="128"/>
      <c r="U17" s="125"/>
      <c r="V17" s="126"/>
      <c r="W17" s="130"/>
      <c r="X17" s="134">
        <f t="shared" si="0"/>
        <v>0</v>
      </c>
      <c r="Y17" s="141">
        <v>5211</v>
      </c>
    </row>
    <row r="18" spans="1:25" hidden="1" thickBot="1" x14ac:dyDescent="0.35">
      <c r="A18" s="12"/>
      <c r="B18" s="7">
        <v>5230</v>
      </c>
      <c r="C18" s="15" t="s">
        <v>16</v>
      </c>
      <c r="D18" s="128"/>
      <c r="E18" s="125"/>
      <c r="F18" s="126"/>
      <c r="G18" s="127"/>
      <c r="H18" s="128"/>
      <c r="I18" s="196"/>
      <c r="J18" s="126"/>
      <c r="K18" s="127"/>
      <c r="L18" s="128"/>
      <c r="M18" s="125"/>
      <c r="N18" s="126"/>
      <c r="O18" s="127"/>
      <c r="P18" s="128"/>
      <c r="Q18" s="125"/>
      <c r="R18" s="126"/>
      <c r="S18" s="127"/>
      <c r="T18" s="128"/>
      <c r="U18" s="125"/>
      <c r="V18" s="126"/>
      <c r="W18" s="130"/>
      <c r="X18" s="134">
        <f t="shared" si="0"/>
        <v>0</v>
      </c>
      <c r="Y18" s="138">
        <v>5230</v>
      </c>
    </row>
    <row r="19" spans="1:25" hidden="1" thickBot="1" x14ac:dyDescent="0.35">
      <c r="A19" s="12"/>
      <c r="B19" s="7">
        <v>5400</v>
      </c>
      <c r="C19" s="15" t="s">
        <v>48</v>
      </c>
      <c r="D19" s="124">
        <f>SUM((D12+D13+D14+D17+D18)*0.141)</f>
        <v>0</v>
      </c>
      <c r="E19" s="125"/>
      <c r="F19" s="126"/>
      <c r="G19" s="127"/>
      <c r="H19" s="124">
        <f>SUM((H12+H13+H14+H17+H18)*0.141)</f>
        <v>0</v>
      </c>
      <c r="I19" s="196"/>
      <c r="J19" s="126"/>
      <c r="K19" s="127"/>
      <c r="L19" s="124">
        <f>SUM((L12+L13+L14+L17+L18)*0.141)</f>
        <v>0</v>
      </c>
      <c r="M19" s="125"/>
      <c r="N19" s="126"/>
      <c r="O19" s="127"/>
      <c r="P19" s="124">
        <f>SUM((P12+P13+P14+P17+P18)*0.141)</f>
        <v>0</v>
      </c>
      <c r="Q19" s="125"/>
      <c r="R19" s="126"/>
      <c r="S19" s="127"/>
      <c r="T19" s="124">
        <f>SUM((T12+T13+T14+T17+T18)*0.141)</f>
        <v>0</v>
      </c>
      <c r="U19" s="125"/>
      <c r="V19" s="126"/>
      <c r="W19" s="130"/>
      <c r="X19" s="134">
        <f t="shared" si="0"/>
        <v>0</v>
      </c>
      <c r="Y19" s="138">
        <v>5400</v>
      </c>
    </row>
    <row r="20" spans="1:25" hidden="1" thickBot="1" x14ac:dyDescent="0.35">
      <c r="B20" s="7">
        <v>5990</v>
      </c>
      <c r="C20" s="15" t="s">
        <v>17</v>
      </c>
      <c r="D20" s="113"/>
      <c r="E20" s="114"/>
      <c r="F20" s="115"/>
      <c r="G20" s="116"/>
      <c r="H20" s="113"/>
      <c r="I20" s="132"/>
      <c r="J20" s="115"/>
      <c r="K20" s="116"/>
      <c r="L20" s="113"/>
      <c r="M20" s="114"/>
      <c r="N20" s="115"/>
      <c r="O20" s="116"/>
      <c r="P20" s="113"/>
      <c r="Q20" s="114"/>
      <c r="R20" s="115"/>
      <c r="S20" s="116"/>
      <c r="T20" s="113"/>
      <c r="U20" s="114"/>
      <c r="V20" s="115"/>
      <c r="W20" s="130"/>
      <c r="X20" s="134">
        <f t="shared" si="0"/>
        <v>0</v>
      </c>
      <c r="Y20" s="138">
        <v>5990</v>
      </c>
    </row>
    <row r="21" spans="1:25" hidden="1" thickBot="1" x14ac:dyDescent="0.35">
      <c r="B21" s="7">
        <v>6110</v>
      </c>
      <c r="C21" s="15" t="s">
        <v>50</v>
      </c>
      <c r="D21" s="113"/>
      <c r="E21" s="114"/>
      <c r="F21" s="115"/>
      <c r="G21" s="116"/>
      <c r="H21" s="113"/>
      <c r="I21" s="132"/>
      <c r="J21" s="115"/>
      <c r="K21" s="116"/>
      <c r="L21" s="113"/>
      <c r="M21" s="114"/>
      <c r="N21" s="115"/>
      <c r="O21" s="116"/>
      <c r="P21" s="113"/>
      <c r="Q21" s="114"/>
      <c r="R21" s="115"/>
      <c r="S21" s="116"/>
      <c r="T21" s="113"/>
      <c r="U21" s="114"/>
      <c r="V21" s="115"/>
      <c r="W21" s="130"/>
      <c r="X21" s="134">
        <f t="shared" si="0"/>
        <v>0</v>
      </c>
      <c r="Y21" s="138">
        <v>6110</v>
      </c>
    </row>
    <row r="22" spans="1:25" hidden="1" thickBot="1" x14ac:dyDescent="0.35">
      <c r="B22" s="7">
        <v>6300</v>
      </c>
      <c r="C22" s="15" t="s">
        <v>18</v>
      </c>
      <c r="D22" s="113"/>
      <c r="E22" s="114"/>
      <c r="F22" s="115"/>
      <c r="G22" s="116"/>
      <c r="H22" s="113"/>
      <c r="I22" s="132"/>
      <c r="J22" s="115"/>
      <c r="K22" s="116"/>
      <c r="L22" s="113"/>
      <c r="M22" s="114"/>
      <c r="N22" s="115"/>
      <c r="O22" s="116"/>
      <c r="P22" s="113"/>
      <c r="Q22" s="114"/>
      <c r="R22" s="115"/>
      <c r="S22" s="116"/>
      <c r="T22" s="113"/>
      <c r="U22" s="114"/>
      <c r="V22" s="115"/>
      <c r="W22" s="130"/>
      <c r="X22" s="134">
        <f t="shared" si="0"/>
        <v>0</v>
      </c>
      <c r="Y22" s="138">
        <v>6300</v>
      </c>
    </row>
    <row r="23" spans="1:25" thickBot="1" x14ac:dyDescent="0.35">
      <c r="B23" s="7">
        <v>6440</v>
      </c>
      <c r="C23" s="15" t="s">
        <v>19</v>
      </c>
      <c r="D23" s="113"/>
      <c r="E23" s="114"/>
      <c r="F23" s="115"/>
      <c r="G23" s="116"/>
      <c r="H23" s="113">
        <v>3000</v>
      </c>
      <c r="I23" s="132" t="s">
        <v>145</v>
      </c>
      <c r="J23" s="115"/>
      <c r="K23" s="116"/>
      <c r="L23" s="113"/>
      <c r="M23" s="114"/>
      <c r="N23" s="115"/>
      <c r="O23" s="116"/>
      <c r="P23" s="113"/>
      <c r="Q23" s="114"/>
      <c r="R23" s="115"/>
      <c r="S23" s="116"/>
      <c r="T23" s="113"/>
      <c r="U23" s="114"/>
      <c r="V23" s="115"/>
      <c r="W23" s="130"/>
      <c r="X23" s="134">
        <f t="shared" si="0"/>
        <v>3000</v>
      </c>
      <c r="Y23" s="138">
        <v>6440</v>
      </c>
    </row>
    <row r="24" spans="1:25" hidden="1" thickBot="1" x14ac:dyDescent="0.35">
      <c r="B24" s="7">
        <v>6550</v>
      </c>
      <c r="C24" s="15" t="s">
        <v>20</v>
      </c>
      <c r="D24" s="113"/>
      <c r="E24" s="114"/>
      <c r="F24" s="115"/>
      <c r="G24" s="116"/>
      <c r="H24" s="113"/>
      <c r="I24" s="132"/>
      <c r="J24" s="115"/>
      <c r="K24" s="116"/>
      <c r="L24" s="113"/>
      <c r="M24" s="114"/>
      <c r="N24" s="115"/>
      <c r="O24" s="116"/>
      <c r="P24" s="113"/>
      <c r="Q24" s="114"/>
      <c r="R24" s="115"/>
      <c r="S24" s="116"/>
      <c r="T24" s="113"/>
      <c r="U24" s="114"/>
      <c r="V24" s="115"/>
      <c r="W24" s="130"/>
      <c r="X24" s="134">
        <f t="shared" si="0"/>
        <v>0</v>
      </c>
      <c r="Y24" s="138">
        <v>6550</v>
      </c>
    </row>
    <row r="25" spans="1:25" hidden="1" thickBot="1" x14ac:dyDescent="0.35">
      <c r="B25" s="7">
        <v>6560</v>
      </c>
      <c r="C25" s="15" t="s">
        <v>21</v>
      </c>
      <c r="D25" s="113"/>
      <c r="E25" s="114"/>
      <c r="F25" s="115"/>
      <c r="G25" s="116"/>
      <c r="H25" s="113"/>
      <c r="I25" s="132"/>
      <c r="J25" s="115"/>
      <c r="K25" s="116"/>
      <c r="L25" s="113"/>
      <c r="M25" s="114"/>
      <c r="N25" s="115"/>
      <c r="O25" s="116"/>
      <c r="P25" s="113"/>
      <c r="Q25" s="114"/>
      <c r="R25" s="115"/>
      <c r="S25" s="116"/>
      <c r="T25" s="113"/>
      <c r="U25" s="114"/>
      <c r="V25" s="115"/>
      <c r="W25" s="130"/>
      <c r="X25" s="134">
        <f t="shared" si="0"/>
        <v>0</v>
      </c>
      <c r="Y25" s="138">
        <v>6560</v>
      </c>
    </row>
    <row r="26" spans="1:25" hidden="1" thickBot="1" x14ac:dyDescent="0.35">
      <c r="B26" s="7">
        <v>6580</v>
      </c>
      <c r="C26" s="15" t="s">
        <v>2</v>
      </c>
      <c r="D26" s="113"/>
      <c r="E26" s="114"/>
      <c r="F26" s="115"/>
      <c r="G26" s="116"/>
      <c r="H26" s="113"/>
      <c r="I26" s="132"/>
      <c r="J26" s="115"/>
      <c r="K26" s="116"/>
      <c r="L26" s="113"/>
      <c r="M26" s="114"/>
      <c r="N26" s="115"/>
      <c r="O26" s="116"/>
      <c r="P26" s="113"/>
      <c r="Q26" s="114"/>
      <c r="R26" s="115"/>
      <c r="S26" s="116"/>
      <c r="T26" s="113"/>
      <c r="U26" s="114"/>
      <c r="V26" s="115"/>
      <c r="W26" s="130"/>
      <c r="X26" s="134">
        <f t="shared" si="0"/>
        <v>0</v>
      </c>
      <c r="Y26" s="138">
        <v>6580</v>
      </c>
    </row>
    <row r="27" spans="1:25" hidden="1" thickBot="1" x14ac:dyDescent="0.35">
      <c r="B27" s="7">
        <v>6800</v>
      </c>
      <c r="C27" s="15" t="s">
        <v>22</v>
      </c>
      <c r="D27" s="113"/>
      <c r="E27" s="114"/>
      <c r="F27" s="115"/>
      <c r="G27" s="116"/>
      <c r="H27" s="113"/>
      <c r="I27" s="132"/>
      <c r="J27" s="115"/>
      <c r="K27" s="116"/>
      <c r="L27" s="113"/>
      <c r="M27" s="114"/>
      <c r="N27" s="115"/>
      <c r="O27" s="116"/>
      <c r="P27" s="113"/>
      <c r="Q27" s="114"/>
      <c r="R27" s="115"/>
      <c r="S27" s="116"/>
      <c r="T27" s="113"/>
      <c r="U27" s="114"/>
      <c r="V27" s="115"/>
      <c r="W27" s="130"/>
      <c r="X27" s="134">
        <f t="shared" si="0"/>
        <v>0</v>
      </c>
      <c r="Y27" s="138">
        <v>6800</v>
      </c>
    </row>
    <row r="28" spans="1:25" hidden="1" thickBot="1" x14ac:dyDescent="0.35">
      <c r="B28" s="7">
        <v>6820</v>
      </c>
      <c r="C28" s="15" t="s">
        <v>23</v>
      </c>
      <c r="D28" s="113"/>
      <c r="E28" s="114"/>
      <c r="F28" s="115"/>
      <c r="G28" s="116"/>
      <c r="H28" s="113">
        <v>0</v>
      </c>
      <c r="I28" s="132"/>
      <c r="J28" s="115"/>
      <c r="K28" s="116"/>
      <c r="L28" s="113"/>
      <c r="M28" s="114"/>
      <c r="N28" s="115"/>
      <c r="O28" s="116"/>
      <c r="P28" s="113"/>
      <c r="Q28" s="114"/>
      <c r="R28" s="115"/>
      <c r="S28" s="116"/>
      <c r="T28" s="113"/>
      <c r="U28" s="114"/>
      <c r="V28" s="115"/>
      <c r="W28" s="130"/>
      <c r="X28" s="134">
        <f t="shared" si="0"/>
        <v>0</v>
      </c>
      <c r="Y28" s="138">
        <v>6820</v>
      </c>
    </row>
    <row r="29" spans="1:25" hidden="1" thickBot="1" x14ac:dyDescent="0.35">
      <c r="B29" s="7">
        <v>6840</v>
      </c>
      <c r="C29" s="15" t="s">
        <v>24</v>
      </c>
      <c r="D29" s="113"/>
      <c r="E29" s="114"/>
      <c r="F29" s="115"/>
      <c r="G29" s="116"/>
      <c r="H29" s="113"/>
      <c r="I29" s="132"/>
      <c r="J29" s="115"/>
      <c r="K29" s="116"/>
      <c r="L29" s="113"/>
      <c r="M29" s="114"/>
      <c r="N29" s="115"/>
      <c r="O29" s="116"/>
      <c r="P29" s="113"/>
      <c r="Q29" s="114"/>
      <c r="R29" s="115"/>
      <c r="S29" s="116"/>
      <c r="T29" s="113"/>
      <c r="U29" s="114"/>
      <c r="V29" s="115"/>
      <c r="W29" s="130"/>
      <c r="X29" s="134">
        <f t="shared" si="0"/>
        <v>0</v>
      </c>
      <c r="Y29" s="138">
        <v>6840</v>
      </c>
    </row>
    <row r="30" spans="1:25" hidden="1" thickBot="1" x14ac:dyDescent="0.35">
      <c r="B30" s="7">
        <v>6860</v>
      </c>
      <c r="C30" s="15" t="s">
        <v>25</v>
      </c>
      <c r="D30" s="113"/>
      <c r="E30" s="114"/>
      <c r="F30" s="115"/>
      <c r="G30" s="116"/>
      <c r="H30" s="113"/>
      <c r="I30" s="132"/>
      <c r="J30" s="115"/>
      <c r="K30" s="116"/>
      <c r="L30" s="113"/>
      <c r="M30" s="114"/>
      <c r="N30" s="115"/>
      <c r="O30" s="116"/>
      <c r="P30" s="113"/>
      <c r="Q30" s="114"/>
      <c r="R30" s="115"/>
      <c r="S30" s="116"/>
      <c r="T30" s="113"/>
      <c r="U30" s="114"/>
      <c r="V30" s="115"/>
      <c r="W30" s="130"/>
      <c r="X30" s="134">
        <f t="shared" si="0"/>
        <v>0</v>
      </c>
      <c r="Y30" s="138">
        <v>6860</v>
      </c>
    </row>
    <row r="31" spans="1:25" ht="43.9" thickBot="1" x14ac:dyDescent="0.35">
      <c r="B31" s="7">
        <v>6910</v>
      </c>
      <c r="C31" s="15" t="s">
        <v>26</v>
      </c>
      <c r="D31" s="113">
        <v>2000</v>
      </c>
      <c r="E31" s="114" t="s">
        <v>175</v>
      </c>
      <c r="F31" s="115"/>
      <c r="G31" s="116"/>
      <c r="H31" s="113">
        <v>5000</v>
      </c>
      <c r="I31" s="132" t="s">
        <v>171</v>
      </c>
      <c r="J31" s="115"/>
      <c r="K31" s="116"/>
      <c r="L31" s="113"/>
      <c r="M31" s="114"/>
      <c r="N31" s="115"/>
      <c r="O31" s="116"/>
      <c r="P31" s="113"/>
      <c r="Q31" s="114"/>
      <c r="R31" s="115"/>
      <c r="S31" s="116"/>
      <c r="T31" s="113"/>
      <c r="U31" s="114"/>
      <c r="V31" s="115"/>
      <c r="W31" s="130"/>
      <c r="X31" s="134">
        <f t="shared" si="0"/>
        <v>7000</v>
      </c>
      <c r="Y31" s="138">
        <v>6910</v>
      </c>
    </row>
    <row r="32" spans="1:25" hidden="1" thickBot="1" x14ac:dyDescent="0.35">
      <c r="B32" s="7">
        <v>6940</v>
      </c>
      <c r="C32" s="15" t="s">
        <v>49</v>
      </c>
      <c r="D32" s="113"/>
      <c r="E32" s="114"/>
      <c r="F32" s="115"/>
      <c r="G32" s="116"/>
      <c r="H32" s="113"/>
      <c r="I32" s="132"/>
      <c r="J32" s="115"/>
      <c r="K32" s="116"/>
      <c r="L32" s="113"/>
      <c r="M32" s="114"/>
      <c r="N32" s="115"/>
      <c r="O32" s="116"/>
      <c r="P32" s="113"/>
      <c r="Q32" s="114"/>
      <c r="R32" s="115"/>
      <c r="S32" s="116"/>
      <c r="T32" s="113"/>
      <c r="U32" s="114"/>
      <c r="V32" s="115"/>
      <c r="W32" s="130"/>
      <c r="X32" s="134">
        <f t="shared" si="0"/>
        <v>0</v>
      </c>
      <c r="Y32" s="138">
        <v>6940</v>
      </c>
    </row>
    <row r="33" spans="2:25" ht="15.75" thickBot="1" x14ac:dyDescent="0.3">
      <c r="B33" s="7">
        <v>7000</v>
      </c>
      <c r="C33" s="15" t="s">
        <v>27</v>
      </c>
      <c r="D33" s="113"/>
      <c r="E33" s="114"/>
      <c r="F33" s="115"/>
      <c r="G33" s="116"/>
      <c r="H33" s="113">
        <v>3000</v>
      </c>
      <c r="I33" s="132" t="s">
        <v>145</v>
      </c>
      <c r="J33" s="115"/>
      <c r="K33" s="116"/>
      <c r="L33" s="113"/>
      <c r="M33" s="114"/>
      <c r="N33" s="115"/>
      <c r="O33" s="116"/>
      <c r="P33" s="113"/>
      <c r="Q33" s="114"/>
      <c r="R33" s="115"/>
      <c r="S33" s="116"/>
      <c r="T33" s="113"/>
      <c r="U33" s="114"/>
      <c r="V33" s="115"/>
      <c r="W33" s="130"/>
      <c r="X33" s="134">
        <f t="shared" si="0"/>
        <v>3000</v>
      </c>
      <c r="Y33" s="138">
        <v>7000</v>
      </c>
    </row>
    <row r="34" spans="2:25" hidden="1" thickBot="1" x14ac:dyDescent="0.35">
      <c r="B34" s="7">
        <v>7100</v>
      </c>
      <c r="C34" s="15" t="s">
        <v>28</v>
      </c>
      <c r="D34" s="113"/>
      <c r="E34" s="114"/>
      <c r="F34" s="115"/>
      <c r="G34" s="116"/>
      <c r="H34" s="113"/>
      <c r="I34" s="132"/>
      <c r="J34" s="115"/>
      <c r="K34" s="116"/>
      <c r="L34" s="113"/>
      <c r="M34" s="114"/>
      <c r="N34" s="115"/>
      <c r="O34" s="116"/>
      <c r="P34" s="113"/>
      <c r="Q34" s="114"/>
      <c r="R34" s="115"/>
      <c r="S34" s="116"/>
      <c r="T34" s="113"/>
      <c r="U34" s="114"/>
      <c r="V34" s="115"/>
      <c r="W34" s="130"/>
      <c r="X34" s="134">
        <f t="shared" si="0"/>
        <v>0</v>
      </c>
      <c r="Y34" s="138">
        <v>7100</v>
      </c>
    </row>
    <row r="35" spans="2:25" hidden="1" thickBot="1" x14ac:dyDescent="0.35">
      <c r="B35" s="7">
        <v>7101</v>
      </c>
      <c r="C35" s="15" t="s">
        <v>29</v>
      </c>
      <c r="D35" s="113"/>
      <c r="E35" s="114"/>
      <c r="F35" s="115"/>
      <c r="G35" s="116"/>
      <c r="H35" s="113"/>
      <c r="I35" s="132"/>
      <c r="J35" s="115"/>
      <c r="K35" s="116"/>
      <c r="L35" s="113"/>
      <c r="M35" s="114"/>
      <c r="N35" s="115"/>
      <c r="O35" s="116"/>
      <c r="P35" s="113"/>
      <c r="Q35" s="114"/>
      <c r="R35" s="115"/>
      <c r="S35" s="116"/>
      <c r="T35" s="113"/>
      <c r="U35" s="114"/>
      <c r="V35" s="115"/>
      <c r="W35" s="130"/>
      <c r="X35" s="134">
        <f t="shared" si="0"/>
        <v>0</v>
      </c>
      <c r="Y35" s="138">
        <v>7101</v>
      </c>
    </row>
    <row r="36" spans="2:25" hidden="1" thickBot="1" x14ac:dyDescent="0.35">
      <c r="B36" s="7">
        <v>7110</v>
      </c>
      <c r="C36" s="15" t="s">
        <v>30</v>
      </c>
      <c r="D36" s="113"/>
      <c r="E36" s="114"/>
      <c r="F36" s="115"/>
      <c r="G36" s="116"/>
      <c r="H36" s="113"/>
      <c r="I36" s="132"/>
      <c r="J36" s="115"/>
      <c r="K36" s="116"/>
      <c r="L36" s="113"/>
      <c r="M36" s="114"/>
      <c r="N36" s="115"/>
      <c r="O36" s="116"/>
      <c r="P36" s="113"/>
      <c r="Q36" s="114"/>
      <c r="R36" s="115"/>
      <c r="S36" s="116"/>
      <c r="T36" s="113"/>
      <c r="U36" s="114"/>
      <c r="V36" s="115"/>
      <c r="W36" s="130"/>
      <c r="X36" s="134">
        <f t="shared" si="0"/>
        <v>0</v>
      </c>
      <c r="Y36" s="138">
        <v>7110</v>
      </c>
    </row>
    <row r="37" spans="2:25" hidden="1" thickBot="1" x14ac:dyDescent="0.35">
      <c r="B37" s="7">
        <v>7141</v>
      </c>
      <c r="C37" s="15" t="s">
        <v>31</v>
      </c>
      <c r="D37" s="113"/>
      <c r="E37" s="114"/>
      <c r="F37" s="115"/>
      <c r="G37" s="116"/>
      <c r="H37" s="113"/>
      <c r="I37" s="132"/>
      <c r="J37" s="115"/>
      <c r="K37" s="116"/>
      <c r="L37" s="113"/>
      <c r="M37" s="114"/>
      <c r="N37" s="115"/>
      <c r="O37" s="116"/>
      <c r="P37" s="113"/>
      <c r="Q37" s="114"/>
      <c r="R37" s="115"/>
      <c r="S37" s="116"/>
      <c r="T37" s="113"/>
      <c r="U37" s="114"/>
      <c r="V37" s="115"/>
      <c r="W37" s="130"/>
      <c r="X37" s="134">
        <f t="shared" si="0"/>
        <v>0</v>
      </c>
      <c r="Y37" s="138">
        <v>7141</v>
      </c>
    </row>
    <row r="38" spans="2:25" hidden="1" thickBot="1" x14ac:dyDescent="0.35">
      <c r="B38" s="7">
        <v>7145</v>
      </c>
      <c r="C38" s="15" t="s">
        <v>32</v>
      </c>
      <c r="D38" s="113"/>
      <c r="E38" s="114"/>
      <c r="F38" s="115"/>
      <c r="G38" s="116"/>
      <c r="H38" s="113"/>
      <c r="I38" s="132"/>
      <c r="J38" s="115"/>
      <c r="K38" s="116"/>
      <c r="L38" s="113"/>
      <c r="M38" s="114"/>
      <c r="N38" s="115"/>
      <c r="O38" s="116"/>
      <c r="P38" s="113"/>
      <c r="Q38" s="114"/>
      <c r="R38" s="115"/>
      <c r="S38" s="116"/>
      <c r="T38" s="113"/>
      <c r="U38" s="114"/>
      <c r="V38" s="115"/>
      <c r="W38" s="130"/>
      <c r="X38" s="134">
        <f t="shared" si="0"/>
        <v>0</v>
      </c>
      <c r="Y38" s="138">
        <v>7145</v>
      </c>
    </row>
    <row r="39" spans="2:25" hidden="1" thickBot="1" x14ac:dyDescent="0.35">
      <c r="B39" s="7">
        <v>7162</v>
      </c>
      <c r="C39" s="15" t="s">
        <v>33</v>
      </c>
      <c r="D39" s="113"/>
      <c r="E39" s="114"/>
      <c r="F39" s="115"/>
      <c r="G39" s="116"/>
      <c r="H39" s="113"/>
      <c r="I39" s="132"/>
      <c r="J39" s="115"/>
      <c r="K39" s="116"/>
      <c r="L39" s="113"/>
      <c r="M39" s="114"/>
      <c r="N39" s="115"/>
      <c r="O39" s="116"/>
      <c r="P39" s="113"/>
      <c r="Q39" s="114"/>
      <c r="R39" s="115"/>
      <c r="S39" s="116"/>
      <c r="T39" s="113"/>
      <c r="U39" s="114"/>
      <c r="V39" s="115"/>
      <c r="W39" s="130"/>
      <c r="X39" s="134">
        <f t="shared" si="0"/>
        <v>0</v>
      </c>
      <c r="Y39" s="138">
        <v>7162</v>
      </c>
    </row>
    <row r="40" spans="2:25" hidden="1" thickBot="1" x14ac:dyDescent="0.35">
      <c r="B40" s="7">
        <v>7320</v>
      </c>
      <c r="C40" s="15" t="s">
        <v>34</v>
      </c>
      <c r="D40" s="113">
        <v>0</v>
      </c>
      <c r="E40" s="114" t="s">
        <v>144</v>
      </c>
      <c r="F40" s="115"/>
      <c r="G40" s="116"/>
      <c r="H40" s="113"/>
      <c r="I40" s="132"/>
      <c r="J40" s="115"/>
      <c r="K40" s="116"/>
      <c r="L40" s="113"/>
      <c r="M40" s="114"/>
      <c r="N40" s="115"/>
      <c r="O40" s="116"/>
      <c r="P40" s="113"/>
      <c r="Q40" s="114"/>
      <c r="R40" s="115"/>
      <c r="S40" s="116"/>
      <c r="T40" s="113"/>
      <c r="U40" s="114"/>
      <c r="V40" s="115"/>
      <c r="W40" s="130"/>
      <c r="X40" s="134">
        <f t="shared" si="0"/>
        <v>0</v>
      </c>
      <c r="Y40" s="138">
        <v>7320</v>
      </c>
    </row>
    <row r="41" spans="2:25" hidden="1" thickBot="1" x14ac:dyDescent="0.35">
      <c r="B41" s="7">
        <v>7350</v>
      </c>
      <c r="C41" s="15" t="s">
        <v>35</v>
      </c>
      <c r="D41" s="113"/>
      <c r="E41" s="114"/>
      <c r="F41" s="115"/>
      <c r="G41" s="116"/>
      <c r="H41" s="113"/>
      <c r="I41" s="132"/>
      <c r="J41" s="115"/>
      <c r="K41" s="116"/>
      <c r="L41" s="113"/>
      <c r="M41" s="114"/>
      <c r="N41" s="115"/>
      <c r="O41" s="116"/>
      <c r="P41" s="113"/>
      <c r="Q41" s="114"/>
      <c r="R41" s="115"/>
      <c r="S41" s="116"/>
      <c r="T41" s="113"/>
      <c r="U41" s="114"/>
      <c r="V41" s="115"/>
      <c r="W41" s="130"/>
      <c r="X41" s="134">
        <f t="shared" si="0"/>
        <v>0</v>
      </c>
      <c r="Y41" s="138">
        <v>7350</v>
      </c>
    </row>
    <row r="42" spans="2:25" hidden="1" thickBot="1" x14ac:dyDescent="0.35">
      <c r="B42" s="7">
        <v>7400</v>
      </c>
      <c r="C42" s="15" t="s">
        <v>36</v>
      </c>
      <c r="D42" s="113"/>
      <c r="E42" s="114"/>
      <c r="F42" s="115"/>
      <c r="G42" s="116"/>
      <c r="H42" s="113"/>
      <c r="I42" s="132"/>
      <c r="J42" s="115"/>
      <c r="K42" s="116"/>
      <c r="L42" s="113"/>
      <c r="M42" s="114"/>
      <c r="N42" s="115"/>
      <c r="O42" s="116"/>
      <c r="P42" s="113"/>
      <c r="Q42" s="114"/>
      <c r="R42" s="115"/>
      <c r="S42" s="116"/>
      <c r="T42" s="113"/>
      <c r="U42" s="114"/>
      <c r="V42" s="115"/>
      <c r="W42" s="130"/>
      <c r="X42" s="134">
        <f t="shared" si="0"/>
        <v>0</v>
      </c>
      <c r="Y42" s="138">
        <v>7400</v>
      </c>
    </row>
    <row r="43" spans="2:25" hidden="1" thickBot="1" x14ac:dyDescent="0.35">
      <c r="B43" s="7">
        <v>7411</v>
      </c>
      <c r="C43" s="15" t="s">
        <v>37</v>
      </c>
      <c r="D43" s="113"/>
      <c r="E43" s="114"/>
      <c r="F43" s="115"/>
      <c r="G43" s="116"/>
      <c r="H43" s="113"/>
      <c r="I43" s="132"/>
      <c r="J43" s="115"/>
      <c r="K43" s="116"/>
      <c r="L43" s="113"/>
      <c r="M43" s="114"/>
      <c r="N43" s="115"/>
      <c r="O43" s="116"/>
      <c r="P43" s="113"/>
      <c r="Q43" s="114"/>
      <c r="R43" s="115"/>
      <c r="S43" s="116"/>
      <c r="T43" s="113"/>
      <c r="U43" s="114"/>
      <c r="V43" s="115"/>
      <c r="W43" s="130"/>
      <c r="X43" s="134">
        <f t="shared" si="0"/>
        <v>0</v>
      </c>
      <c r="Y43" s="138">
        <v>7411</v>
      </c>
    </row>
    <row r="44" spans="2:25" hidden="1" thickBot="1" x14ac:dyDescent="0.35">
      <c r="B44" s="7">
        <v>7420</v>
      </c>
      <c r="C44" s="15" t="s">
        <v>38</v>
      </c>
      <c r="D44" s="113"/>
      <c r="E44" s="114"/>
      <c r="F44" s="115"/>
      <c r="G44" s="116"/>
      <c r="H44" s="113"/>
      <c r="I44" s="132"/>
      <c r="J44" s="115"/>
      <c r="K44" s="116"/>
      <c r="L44" s="113"/>
      <c r="M44" s="114"/>
      <c r="N44" s="115"/>
      <c r="O44" s="116"/>
      <c r="P44" s="113"/>
      <c r="Q44" s="114"/>
      <c r="R44" s="115"/>
      <c r="S44" s="116"/>
      <c r="T44" s="113"/>
      <c r="U44" s="114"/>
      <c r="V44" s="115"/>
      <c r="W44" s="130"/>
      <c r="X44" s="134">
        <f t="shared" si="0"/>
        <v>0</v>
      </c>
      <c r="Y44" s="138">
        <v>7420</v>
      </c>
    </row>
    <row r="45" spans="2:25" hidden="1" thickBot="1" x14ac:dyDescent="0.35">
      <c r="B45" s="7">
        <v>7425</v>
      </c>
      <c r="C45" s="15" t="s">
        <v>39</v>
      </c>
      <c r="D45" s="113"/>
      <c r="E45" s="114"/>
      <c r="F45" s="115"/>
      <c r="G45" s="116"/>
      <c r="H45" s="113"/>
      <c r="I45" s="132"/>
      <c r="J45" s="115"/>
      <c r="K45" s="116"/>
      <c r="L45" s="113"/>
      <c r="M45" s="114"/>
      <c r="N45" s="115"/>
      <c r="O45" s="116"/>
      <c r="P45" s="113"/>
      <c r="Q45" s="114"/>
      <c r="R45" s="115"/>
      <c r="S45" s="116"/>
      <c r="T45" s="113"/>
      <c r="U45" s="114"/>
      <c r="V45" s="115"/>
      <c r="W45" s="130"/>
      <c r="X45" s="134">
        <f t="shared" si="0"/>
        <v>0</v>
      </c>
      <c r="Y45" s="138">
        <v>7425</v>
      </c>
    </row>
    <row r="46" spans="2:25" hidden="1" thickBot="1" x14ac:dyDescent="0.35">
      <c r="B46" s="7">
        <v>7430</v>
      </c>
      <c r="C46" s="15" t="s">
        <v>40</v>
      </c>
      <c r="D46" s="113"/>
      <c r="E46" s="114"/>
      <c r="F46" s="115"/>
      <c r="G46" s="116"/>
      <c r="H46" s="113"/>
      <c r="I46" s="132"/>
      <c r="J46" s="115"/>
      <c r="K46" s="116"/>
      <c r="L46" s="113"/>
      <c r="M46" s="114"/>
      <c r="N46" s="115"/>
      <c r="O46" s="116"/>
      <c r="P46" s="113"/>
      <c r="Q46" s="114"/>
      <c r="R46" s="115"/>
      <c r="S46" s="116"/>
      <c r="T46" s="113"/>
      <c r="U46" s="114"/>
      <c r="V46" s="115"/>
      <c r="W46" s="130"/>
      <c r="X46" s="134">
        <f t="shared" si="0"/>
        <v>0</v>
      </c>
      <c r="Y46" s="138">
        <v>7430</v>
      </c>
    </row>
    <row r="47" spans="2:25" hidden="1" thickBot="1" x14ac:dyDescent="0.35">
      <c r="B47" s="7">
        <v>7500</v>
      </c>
      <c r="C47" s="15" t="s">
        <v>41</v>
      </c>
      <c r="D47" s="113"/>
      <c r="E47" s="114"/>
      <c r="F47" s="115"/>
      <c r="G47" s="116"/>
      <c r="H47" s="113"/>
      <c r="I47" s="132"/>
      <c r="J47" s="115"/>
      <c r="K47" s="116"/>
      <c r="L47" s="113"/>
      <c r="M47" s="114"/>
      <c r="N47" s="115"/>
      <c r="O47" s="116"/>
      <c r="P47" s="113"/>
      <c r="Q47" s="114"/>
      <c r="R47" s="115"/>
      <c r="S47" s="116"/>
      <c r="T47" s="113"/>
      <c r="U47" s="114"/>
      <c r="V47" s="115"/>
      <c r="W47" s="130"/>
      <c r="X47" s="134">
        <f t="shared" si="0"/>
        <v>0</v>
      </c>
      <c r="Y47" s="138">
        <v>7500</v>
      </c>
    </row>
    <row r="48" spans="2:25" hidden="1" thickBot="1" x14ac:dyDescent="0.35">
      <c r="B48" s="7">
        <v>7746</v>
      </c>
      <c r="C48" s="15" t="s">
        <v>42</v>
      </c>
      <c r="D48" s="113"/>
      <c r="E48" s="114"/>
      <c r="F48" s="115"/>
      <c r="G48" s="116"/>
      <c r="H48" s="113"/>
      <c r="I48" s="132"/>
      <c r="J48" s="115"/>
      <c r="K48" s="116"/>
      <c r="L48" s="113"/>
      <c r="M48" s="114"/>
      <c r="N48" s="115"/>
      <c r="O48" s="116"/>
      <c r="P48" s="113"/>
      <c r="Q48" s="114"/>
      <c r="R48" s="115"/>
      <c r="S48" s="116"/>
      <c r="T48" s="113"/>
      <c r="U48" s="114"/>
      <c r="V48" s="115"/>
      <c r="W48" s="130"/>
      <c r="X48" s="134">
        <f t="shared" si="0"/>
        <v>0</v>
      </c>
      <c r="Y48" s="138">
        <v>7746</v>
      </c>
    </row>
    <row r="49" spans="2:25" hidden="1" thickBot="1" x14ac:dyDescent="0.35">
      <c r="B49" s="7">
        <v>7770</v>
      </c>
      <c r="C49" s="15" t="s">
        <v>43</v>
      </c>
      <c r="D49" s="113"/>
      <c r="E49" s="114"/>
      <c r="F49" s="115"/>
      <c r="G49" s="116"/>
      <c r="H49" s="113"/>
      <c r="I49" s="132"/>
      <c r="J49" s="115"/>
      <c r="K49" s="116"/>
      <c r="L49" s="113"/>
      <c r="M49" s="114"/>
      <c r="N49" s="115"/>
      <c r="O49" s="116"/>
      <c r="P49" s="113"/>
      <c r="Q49" s="114"/>
      <c r="R49" s="115"/>
      <c r="S49" s="116"/>
      <c r="T49" s="113"/>
      <c r="U49" s="114"/>
      <c r="V49" s="115"/>
      <c r="W49" s="130"/>
      <c r="X49" s="134">
        <f t="shared" si="0"/>
        <v>0</v>
      </c>
      <c r="Y49" s="138">
        <v>7770</v>
      </c>
    </row>
    <row r="50" spans="2:25" hidden="1" thickBot="1" x14ac:dyDescent="0.35">
      <c r="B50" s="10">
        <v>7775</v>
      </c>
      <c r="C50" s="16" t="s">
        <v>44</v>
      </c>
      <c r="D50" s="117"/>
      <c r="E50" s="114"/>
      <c r="F50" s="119"/>
      <c r="G50" s="116"/>
      <c r="H50" s="117"/>
      <c r="I50" s="192"/>
      <c r="J50" s="119"/>
      <c r="K50" s="116"/>
      <c r="L50" s="117"/>
      <c r="M50" s="118"/>
      <c r="N50" s="119"/>
      <c r="O50" s="116"/>
      <c r="P50" s="117"/>
      <c r="Q50" s="118"/>
      <c r="R50" s="119"/>
      <c r="S50" s="116"/>
      <c r="T50" s="117"/>
      <c r="U50" s="118"/>
      <c r="V50" s="119"/>
      <c r="W50" s="130"/>
      <c r="X50" s="134">
        <f t="shared" si="0"/>
        <v>0</v>
      </c>
      <c r="Y50" s="142">
        <v>7775</v>
      </c>
    </row>
    <row r="51" spans="2:25" ht="15.75" thickBot="1" x14ac:dyDescent="0.3">
      <c r="B51" s="32"/>
      <c r="C51" s="33" t="s">
        <v>74</v>
      </c>
      <c r="D51" s="129">
        <f>SUM(D12:D50)</f>
        <v>2000</v>
      </c>
      <c r="E51" s="129"/>
      <c r="F51" s="129">
        <v>1097</v>
      </c>
      <c r="G51" s="116"/>
      <c r="H51" s="129">
        <f t="shared" ref="H51" si="3">SUM(H12:H50)</f>
        <v>11000</v>
      </c>
      <c r="I51" s="193"/>
      <c r="J51" s="129">
        <v>18276.86</v>
      </c>
      <c r="K51" s="116"/>
      <c r="L51" s="129">
        <f t="shared" ref="L51" si="4">SUM(L12:L50)</f>
        <v>0</v>
      </c>
      <c r="M51" s="129"/>
      <c r="N51" s="129">
        <v>851</v>
      </c>
      <c r="O51" s="116"/>
      <c r="P51" s="129">
        <f t="shared" ref="P51" si="5">SUM(P12:P50)</f>
        <v>0</v>
      </c>
      <c r="Q51" s="129"/>
      <c r="R51" s="129"/>
      <c r="S51" s="116"/>
      <c r="T51" s="129">
        <f t="shared" ref="T51" si="6">SUM(T12:T50)</f>
        <v>0</v>
      </c>
      <c r="U51" s="129"/>
      <c r="V51" s="129"/>
      <c r="W51" s="116"/>
      <c r="X51" s="134">
        <f>T51+P51+L51+H51+D51</f>
        <v>13000</v>
      </c>
      <c r="Y51" s="139"/>
    </row>
    <row r="52" spans="2:25" ht="15.75" thickBot="1" x14ac:dyDescent="0.3">
      <c r="C52" s="18" t="s">
        <v>51</v>
      </c>
      <c r="D52" s="129">
        <f>D11-D51</f>
        <v>-2000</v>
      </c>
      <c r="E52" s="129"/>
      <c r="F52" s="129">
        <f t="shared" ref="F52" si="7">F11-F51</f>
        <v>-1097</v>
      </c>
      <c r="G52" s="116"/>
      <c r="H52" s="129">
        <f>H11-H51</f>
        <v>-11000</v>
      </c>
      <c r="I52" s="193">
        <f t="shared" ref="I52:J52" si="8">I11-I51</f>
        <v>0</v>
      </c>
      <c r="J52" s="129">
        <f t="shared" si="8"/>
        <v>-17945.37</v>
      </c>
      <c r="K52" s="116"/>
      <c r="L52" s="129">
        <f t="shared" ref="L52:V52" si="9">L11-L51</f>
        <v>0</v>
      </c>
      <c r="M52" s="129">
        <f t="shared" si="9"/>
        <v>0</v>
      </c>
      <c r="N52" s="129">
        <f t="shared" si="9"/>
        <v>-851</v>
      </c>
      <c r="O52" s="116"/>
      <c r="P52" s="129">
        <f t="shared" ref="P52" si="10">P11-P51</f>
        <v>0</v>
      </c>
      <c r="Q52" s="129">
        <f t="shared" si="9"/>
        <v>0</v>
      </c>
      <c r="R52" s="129">
        <f t="shared" si="9"/>
        <v>0</v>
      </c>
      <c r="S52" s="116"/>
      <c r="T52" s="129">
        <f t="shared" ref="T52" si="11">T11-T51</f>
        <v>0</v>
      </c>
      <c r="U52" s="129">
        <f t="shared" si="9"/>
        <v>0</v>
      </c>
      <c r="V52" s="129">
        <f t="shared" si="9"/>
        <v>0</v>
      </c>
      <c r="W52" s="116"/>
      <c r="X52" s="129">
        <f>X11-X51</f>
        <v>-13000</v>
      </c>
      <c r="Y52" s="143"/>
    </row>
    <row r="53" spans="2:25" x14ac:dyDescent="0.25">
      <c r="D53" s="19"/>
      <c r="G53" s="9"/>
      <c r="I53" s="197"/>
      <c r="K53" s="9"/>
      <c r="L53" s="1"/>
      <c r="S53" s="9"/>
      <c r="U53" s="9"/>
    </row>
    <row r="54" spans="2:25" x14ac:dyDescent="0.25">
      <c r="D54" s="268" t="s">
        <v>174</v>
      </c>
      <c r="E54" s="268"/>
      <c r="F54" s="268"/>
      <c r="H54" s="268" t="s">
        <v>176</v>
      </c>
      <c r="I54" s="268"/>
      <c r="J54" s="268"/>
      <c r="L54" s="268"/>
      <c r="M54" s="268"/>
      <c r="N54" s="268"/>
    </row>
    <row r="55" spans="2:25" x14ac:dyDescent="0.25">
      <c r="D55" s="268"/>
      <c r="E55" s="268"/>
      <c r="F55" s="268"/>
      <c r="H55" s="268"/>
      <c r="I55" s="268"/>
      <c r="J55" s="268"/>
      <c r="L55" s="268"/>
      <c r="M55" s="268"/>
      <c r="N55" s="268"/>
    </row>
    <row r="56" spans="2:25" x14ac:dyDescent="0.25">
      <c r="D56" s="268"/>
      <c r="E56" s="268"/>
      <c r="F56" s="268"/>
      <c r="H56" s="268"/>
      <c r="I56" s="268"/>
      <c r="J56" s="268"/>
      <c r="L56" s="268"/>
      <c r="M56" s="268"/>
      <c r="N56" s="268"/>
    </row>
    <row r="57" spans="2:25" x14ac:dyDescent="0.25">
      <c r="D57" s="268"/>
      <c r="E57" s="268"/>
      <c r="F57" s="268"/>
      <c r="H57" s="268"/>
      <c r="I57" s="268"/>
      <c r="J57" s="268"/>
      <c r="L57" s="268"/>
      <c r="M57" s="268"/>
      <c r="N57" s="268"/>
    </row>
    <row r="58" spans="2:25" x14ac:dyDescent="0.25">
      <c r="D58" s="268"/>
      <c r="E58" s="268"/>
      <c r="F58" s="268"/>
      <c r="H58" s="268"/>
      <c r="I58" s="268"/>
      <c r="J58" s="268"/>
      <c r="L58" s="268"/>
      <c r="M58" s="268"/>
      <c r="N58" s="268"/>
    </row>
    <row r="59" spans="2:25" x14ac:dyDescent="0.25">
      <c r="D59" s="268"/>
      <c r="E59" s="268"/>
      <c r="F59" s="268"/>
      <c r="H59" s="268"/>
      <c r="I59" s="268"/>
      <c r="J59" s="268"/>
      <c r="L59" s="268"/>
      <c r="M59" s="268"/>
      <c r="N59" s="268"/>
    </row>
    <row r="60" spans="2:25" x14ac:dyDescent="0.25">
      <c r="D60" s="268"/>
      <c r="E60" s="268"/>
      <c r="F60" s="268"/>
      <c r="H60" s="268"/>
      <c r="I60" s="268"/>
      <c r="J60" s="268"/>
      <c r="L60" s="268"/>
      <c r="M60" s="268"/>
      <c r="N60" s="268"/>
    </row>
    <row r="61" spans="2:25" x14ac:dyDescent="0.25">
      <c r="D61" s="268"/>
      <c r="E61" s="268"/>
      <c r="F61" s="268"/>
      <c r="H61" s="268"/>
      <c r="I61" s="268"/>
      <c r="J61" s="268"/>
      <c r="L61" s="268"/>
      <c r="M61" s="268"/>
      <c r="N61" s="268"/>
    </row>
    <row r="62" spans="2:25" x14ac:dyDescent="0.25">
      <c r="D62" s="268"/>
      <c r="E62" s="268"/>
      <c r="F62" s="268"/>
      <c r="H62" s="268"/>
      <c r="I62" s="268"/>
      <c r="J62" s="268"/>
      <c r="L62" s="268"/>
      <c r="M62" s="268"/>
      <c r="N62" s="268"/>
    </row>
    <row r="63" spans="2:25" x14ac:dyDescent="0.25">
      <c r="D63" s="268"/>
      <c r="E63" s="268"/>
      <c r="F63" s="268"/>
      <c r="H63" s="268"/>
      <c r="I63" s="268"/>
      <c r="J63" s="268"/>
      <c r="L63" s="268"/>
      <c r="M63" s="268"/>
      <c r="N63" s="268"/>
    </row>
    <row r="64" spans="2:25" x14ac:dyDescent="0.25">
      <c r="D64" s="268"/>
      <c r="E64" s="268"/>
      <c r="F64" s="268"/>
      <c r="H64" s="268"/>
      <c r="I64" s="268"/>
      <c r="J64" s="268"/>
      <c r="L64" s="268"/>
      <c r="M64" s="268"/>
      <c r="N64" s="268"/>
    </row>
  </sheetData>
  <sheetProtection algorithmName="SHA-512" hashValue="gkYwaS8Zxyf5vb7/WjKS2tG1Z1DUXdOlXlTFZDpI+yco3XiXazwcl0Yn2vOzh6VVkMv29zfooGhO8zelS+fAbw==" saltValue="sCdGnDgS4B7YKTCxzV0x5w==" spinCount="100000" sheet="1" objects="1" scenarios="1" selectLockedCells="1"/>
  <protectedRanges>
    <protectedRange sqref="D17 H17:I17 L17:M17 P17:Q17 T17:U17" name="Område2_2_1"/>
    <protectedRange password="8B3B" sqref="D19 H19:I19 L19:M19 P19:Q19 T19:U19" name="Område1_2_1"/>
  </protectedRanges>
  <mergeCells count="10">
    <mergeCell ref="U1:V1"/>
    <mergeCell ref="B1:C1"/>
    <mergeCell ref="M1:N1"/>
    <mergeCell ref="H54:J64"/>
    <mergeCell ref="B2:C2"/>
    <mergeCell ref="E1:F1"/>
    <mergeCell ref="I1:J1"/>
    <mergeCell ref="Q1:R1"/>
    <mergeCell ref="D54:F64"/>
    <mergeCell ref="L54:N64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6"/>
  <sheetViews>
    <sheetView zoomScale="70" zoomScaleNormal="70" zoomScalePageLayoutView="90" workbookViewId="0">
      <pane xSplit="3" topLeftCell="D1" activePane="topRight" state="frozen"/>
      <selection pane="topRight" activeCell="L4" sqref="L4"/>
    </sheetView>
  </sheetViews>
  <sheetFormatPr baseColWidth="10" defaultColWidth="11.42578125" defaultRowHeight="15" x14ac:dyDescent="0.25"/>
  <cols>
    <col min="1" max="1" width="9.42578125" style="1" bestFit="1" customWidth="1"/>
    <col min="2" max="2" width="6.42578125" style="1" bestFit="1" customWidth="1"/>
    <col min="3" max="3" width="37.5703125" style="1" bestFit="1" customWidth="1"/>
    <col min="4" max="4" width="17.140625" style="9" bestFit="1" customWidth="1"/>
    <col min="5" max="5" width="26.7109375" style="197" bestFit="1" customWidth="1"/>
    <col min="6" max="6" width="19.140625" style="9" bestFit="1" customWidth="1"/>
    <col min="7" max="7" width="3.5703125" style="1" customWidth="1"/>
    <col min="8" max="8" width="17.140625" style="1" bestFit="1" customWidth="1"/>
    <col min="9" max="9" width="16.42578125" style="9" bestFit="1" customWidth="1"/>
    <col min="10" max="10" width="19.140625" style="1" bestFit="1" customWidth="1"/>
    <col min="11" max="11" width="3.5703125" style="1" customWidth="1"/>
    <col min="12" max="12" width="17.140625" style="1" customWidth="1"/>
    <col min="13" max="13" width="30.140625" style="199" bestFit="1" customWidth="1"/>
    <col min="14" max="14" width="19.140625" style="1" bestFit="1" customWidth="1"/>
    <col min="15" max="15" width="4.5703125" style="1" customWidth="1"/>
    <col min="16" max="16" width="17.140625" style="9" bestFit="1" customWidth="1"/>
    <col min="17" max="17" width="44" style="197" bestFit="1" customWidth="1"/>
    <col min="18" max="18" width="19.140625" style="1" bestFit="1" customWidth="1"/>
    <col min="19" max="19" width="4.5703125" style="9" customWidth="1"/>
    <col min="20" max="20" width="17.140625" style="1" bestFit="1" customWidth="1"/>
    <col min="21" max="21" width="16.42578125" style="1" bestFit="1" customWidth="1"/>
    <col min="22" max="22" width="19.140625" style="9" bestFit="1" customWidth="1"/>
    <col min="23" max="23" width="4.5703125" style="1" customWidth="1"/>
    <col min="24" max="24" width="17.140625" style="1" bestFit="1" customWidth="1"/>
    <col min="25" max="25" width="16.42578125" style="9" bestFit="1" customWidth="1"/>
    <col min="26" max="26" width="19.140625" style="1" bestFit="1" customWidth="1"/>
    <col min="27" max="27" width="5.42578125" style="1" customWidth="1"/>
    <col min="28" max="28" width="16.5703125" style="9" bestFit="1" customWidth="1"/>
    <col min="29" max="29" width="8.5703125" style="1" bestFit="1" customWidth="1"/>
    <col min="30" max="30" width="6.42578125" style="1" bestFit="1" customWidth="1"/>
    <col min="31" max="31" width="4.5703125" style="9" customWidth="1"/>
    <col min="32" max="32" width="13.42578125" style="1" bestFit="1" customWidth="1"/>
    <col min="33" max="33" width="25.5703125" style="1" customWidth="1"/>
    <col min="34" max="34" width="4.5703125" style="9" customWidth="1"/>
    <col min="35" max="35" width="13.42578125" style="1" bestFit="1" customWidth="1"/>
    <col min="36" max="36" width="25.5703125" style="1" customWidth="1"/>
    <col min="37" max="37" width="4.5703125" style="9" customWidth="1"/>
    <col min="38" max="38" width="13.42578125" style="1" bestFit="1" customWidth="1"/>
    <col min="39" max="39" width="25.5703125" style="1" customWidth="1"/>
    <col min="40" max="57" width="4.5703125" style="9" customWidth="1"/>
    <col min="58" max="16384" width="11.42578125" style="1"/>
  </cols>
  <sheetData>
    <row r="1" spans="1:57" ht="15.75" thickBot="1" x14ac:dyDescent="0.3">
      <c r="A1" s="39"/>
      <c r="B1" s="260" t="s">
        <v>76</v>
      </c>
      <c r="C1" s="261"/>
      <c r="D1" s="25">
        <v>30000</v>
      </c>
      <c r="E1" s="264" t="s">
        <v>53</v>
      </c>
      <c r="F1" s="265"/>
      <c r="G1" s="2"/>
      <c r="H1" s="25">
        <v>31000</v>
      </c>
      <c r="I1" s="264" t="s">
        <v>323</v>
      </c>
      <c r="J1" s="265" t="s">
        <v>54</v>
      </c>
      <c r="K1" s="2"/>
      <c r="L1" s="25">
        <v>31001</v>
      </c>
      <c r="M1" s="264" t="s">
        <v>321</v>
      </c>
      <c r="N1" s="265" t="s">
        <v>54</v>
      </c>
      <c r="O1" s="2"/>
      <c r="P1" s="25">
        <v>32000</v>
      </c>
      <c r="Q1" s="264" t="s">
        <v>57</v>
      </c>
      <c r="R1" s="265"/>
      <c r="S1" s="2"/>
      <c r="T1" s="25"/>
      <c r="U1" s="264"/>
      <c r="V1" s="265"/>
      <c r="W1" s="2"/>
      <c r="X1" s="25"/>
      <c r="Y1" s="264"/>
      <c r="Z1" s="265"/>
      <c r="AB1" s="1"/>
      <c r="AC1" s="43"/>
      <c r="AD1" s="42"/>
      <c r="AE1" s="40"/>
      <c r="AF1" s="42"/>
      <c r="AG1" s="42"/>
      <c r="AH1" s="40"/>
      <c r="AI1" s="42"/>
      <c r="AJ1" s="42"/>
      <c r="AK1" s="40"/>
      <c r="AL1" s="42"/>
      <c r="AM1" s="42"/>
      <c r="AN1" s="40"/>
      <c r="AO1" s="40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thickBot="1" x14ac:dyDescent="0.35">
      <c r="A2" s="38"/>
      <c r="B2" s="260" t="s">
        <v>75</v>
      </c>
      <c r="C2" s="261"/>
      <c r="D2" s="20"/>
      <c r="E2" s="189"/>
      <c r="F2" s="22"/>
      <c r="G2" s="3"/>
      <c r="H2" s="20"/>
      <c r="I2" s="21"/>
      <c r="J2" s="22"/>
      <c r="K2" s="3"/>
      <c r="L2" s="20"/>
      <c r="M2" s="189"/>
      <c r="N2" s="22"/>
      <c r="O2" s="3"/>
      <c r="P2" s="20"/>
      <c r="Q2" s="189"/>
      <c r="R2" s="22"/>
      <c r="S2" s="3"/>
      <c r="T2" s="20"/>
      <c r="U2" s="21"/>
      <c r="V2" s="22"/>
      <c r="W2" s="3"/>
      <c r="X2" s="20"/>
      <c r="Y2" s="21"/>
      <c r="Z2" s="22"/>
      <c r="AB2" s="1"/>
      <c r="AC2" s="43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thickBot="1" x14ac:dyDescent="0.35">
      <c r="B3" s="4" t="s">
        <v>0</v>
      </c>
      <c r="C3" s="24" t="s">
        <v>47</v>
      </c>
      <c r="D3" s="35" t="s">
        <v>217</v>
      </c>
      <c r="E3" s="190" t="s">
        <v>70</v>
      </c>
      <c r="F3" s="37" t="s">
        <v>218</v>
      </c>
      <c r="G3" s="5"/>
      <c r="H3" s="35" t="s">
        <v>217</v>
      </c>
      <c r="I3" s="36" t="s">
        <v>70</v>
      </c>
      <c r="J3" s="37" t="s">
        <v>218</v>
      </c>
      <c r="K3" s="5"/>
      <c r="L3" s="35" t="s">
        <v>217</v>
      </c>
      <c r="M3" s="190" t="s">
        <v>70</v>
      </c>
      <c r="N3" s="37" t="s">
        <v>218</v>
      </c>
      <c r="O3" s="5"/>
      <c r="P3" s="35" t="s">
        <v>217</v>
      </c>
      <c r="Q3" s="190" t="s">
        <v>70</v>
      </c>
      <c r="R3" s="37" t="s">
        <v>218</v>
      </c>
      <c r="S3" s="5"/>
      <c r="T3" s="35" t="s">
        <v>217</v>
      </c>
      <c r="U3" s="36" t="s">
        <v>70</v>
      </c>
      <c r="V3" s="37" t="s">
        <v>218</v>
      </c>
      <c r="W3" s="5"/>
      <c r="X3" s="35" t="s">
        <v>217</v>
      </c>
      <c r="Y3" s="36" t="s">
        <v>70</v>
      </c>
      <c r="Z3" s="37" t="s">
        <v>218</v>
      </c>
      <c r="AB3" s="133" t="s">
        <v>52</v>
      </c>
      <c r="AC3" s="137" t="s">
        <v>0</v>
      </c>
      <c r="AD3" s="44"/>
      <c r="AE3" s="42"/>
      <c r="AF3" s="42"/>
      <c r="AG3" s="44"/>
      <c r="AH3" s="42"/>
      <c r="AI3" s="42"/>
      <c r="AJ3" s="44"/>
      <c r="AK3" s="42"/>
      <c r="AL3" s="42"/>
      <c r="AM3" s="44"/>
      <c r="AN3" s="42"/>
      <c r="AO3" s="42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thickBot="1" x14ac:dyDescent="0.35">
      <c r="A4" s="6" t="s">
        <v>45</v>
      </c>
      <c r="B4" s="7">
        <v>3100</v>
      </c>
      <c r="C4" s="23" t="s">
        <v>3</v>
      </c>
      <c r="D4" s="113"/>
      <c r="E4" s="132"/>
      <c r="F4" s="115"/>
      <c r="G4" s="116"/>
      <c r="H4" s="113"/>
      <c r="I4" s="114"/>
      <c r="J4" s="115"/>
      <c r="K4" s="116"/>
      <c r="L4" s="113"/>
      <c r="M4" s="132"/>
      <c r="N4" s="115"/>
      <c r="O4" s="116"/>
      <c r="P4" s="113"/>
      <c r="Q4" s="132"/>
      <c r="R4" s="115"/>
      <c r="S4" s="116"/>
      <c r="T4" s="113"/>
      <c r="U4" s="114"/>
      <c r="V4" s="115"/>
      <c r="W4" s="116"/>
      <c r="X4" s="113"/>
      <c r="Y4" s="114"/>
      <c r="Z4" s="115"/>
      <c r="AB4" s="134">
        <f t="shared" ref="AB4:AB50" si="0">X4+T4+P4+H4+D4+L4</f>
        <v>0</v>
      </c>
      <c r="AC4" s="138">
        <v>3100</v>
      </c>
      <c r="AD4" s="43"/>
      <c r="AE4" s="43"/>
      <c r="AF4" s="45"/>
      <c r="AG4" s="43"/>
      <c r="AH4" s="43"/>
      <c r="AI4" s="45"/>
      <c r="AJ4" s="43"/>
      <c r="AK4" s="43"/>
      <c r="AL4" s="45"/>
      <c r="AM4" s="43"/>
      <c r="AN4" s="43"/>
      <c r="AO4" s="43"/>
    </row>
    <row r="5" spans="1:57" hidden="1" thickBot="1" x14ac:dyDescent="0.35">
      <c r="B5" s="7">
        <v>3120</v>
      </c>
      <c r="C5" s="8" t="s">
        <v>4</v>
      </c>
      <c r="D5" s="113"/>
      <c r="E5" s="132"/>
      <c r="F5" s="115"/>
      <c r="G5" s="116"/>
      <c r="H5" s="113"/>
      <c r="I5" s="114"/>
      <c r="J5" s="115"/>
      <c r="K5" s="116"/>
      <c r="L5" s="113"/>
      <c r="M5" s="132"/>
      <c r="N5" s="115"/>
      <c r="O5" s="116"/>
      <c r="P5" s="113"/>
      <c r="Q5" s="132"/>
      <c r="R5" s="115"/>
      <c r="S5" s="116"/>
      <c r="T5" s="113"/>
      <c r="U5" s="114"/>
      <c r="V5" s="115"/>
      <c r="W5" s="116"/>
      <c r="X5" s="113"/>
      <c r="Y5" s="114"/>
      <c r="Z5" s="115"/>
      <c r="AB5" s="134">
        <f t="shared" si="0"/>
        <v>0</v>
      </c>
      <c r="AC5" s="138">
        <v>3120</v>
      </c>
      <c r="AD5" s="43"/>
      <c r="AE5" s="43"/>
      <c r="AF5" s="45"/>
      <c r="AG5" s="43"/>
      <c r="AH5" s="43"/>
      <c r="AI5" s="45"/>
      <c r="AJ5" s="43"/>
      <c r="AK5" s="43"/>
      <c r="AL5" s="45"/>
      <c r="AM5" s="43"/>
      <c r="AN5" s="43"/>
      <c r="AO5" s="43"/>
    </row>
    <row r="6" spans="1:57" hidden="1" thickBot="1" x14ac:dyDescent="0.35">
      <c r="B6" s="7">
        <v>3400</v>
      </c>
      <c r="C6" s="8" t="s">
        <v>5</v>
      </c>
      <c r="D6" s="113"/>
      <c r="E6" s="132"/>
      <c r="F6" s="115"/>
      <c r="G6" s="116"/>
      <c r="H6" s="113"/>
      <c r="I6" s="114"/>
      <c r="J6" s="115"/>
      <c r="K6" s="116"/>
      <c r="L6" s="113"/>
      <c r="M6" s="132"/>
      <c r="N6" s="115"/>
      <c r="O6" s="116"/>
      <c r="P6" s="113"/>
      <c r="Q6" s="132"/>
      <c r="R6" s="115"/>
      <c r="S6" s="116"/>
      <c r="T6" s="113"/>
      <c r="U6" s="114"/>
      <c r="V6" s="115"/>
      <c r="W6" s="116"/>
      <c r="X6" s="113"/>
      <c r="Y6" s="114"/>
      <c r="Z6" s="115"/>
      <c r="AB6" s="134">
        <f t="shared" si="0"/>
        <v>0</v>
      </c>
      <c r="AC6" s="138">
        <v>3400</v>
      </c>
      <c r="AD6" s="43"/>
      <c r="AE6" s="43"/>
      <c r="AF6" s="45"/>
      <c r="AG6" s="43"/>
      <c r="AH6" s="43"/>
      <c r="AI6" s="45"/>
      <c r="AJ6" s="43"/>
      <c r="AK6" s="43"/>
      <c r="AL6" s="45"/>
      <c r="AM6" s="43"/>
      <c r="AN6" s="43"/>
      <c r="AO6" s="43"/>
    </row>
    <row r="7" spans="1:57" hidden="1" thickBot="1" x14ac:dyDescent="0.35">
      <c r="B7" s="7">
        <v>3410</v>
      </c>
      <c r="C7" s="8" t="s">
        <v>6</v>
      </c>
      <c r="D7" s="113"/>
      <c r="E7" s="132"/>
      <c r="F7" s="115"/>
      <c r="G7" s="116"/>
      <c r="H7" s="113"/>
      <c r="I7" s="114"/>
      <c r="J7" s="115"/>
      <c r="K7" s="116"/>
      <c r="L7" s="113"/>
      <c r="M7" s="132"/>
      <c r="N7" s="115"/>
      <c r="O7" s="116"/>
      <c r="P7" s="113"/>
      <c r="Q7" s="132"/>
      <c r="R7" s="115"/>
      <c r="S7" s="116"/>
      <c r="T7" s="113"/>
      <c r="U7" s="114"/>
      <c r="V7" s="115"/>
      <c r="W7" s="116"/>
      <c r="X7" s="113"/>
      <c r="Y7" s="114"/>
      <c r="Z7" s="115"/>
      <c r="AB7" s="134">
        <f t="shared" si="0"/>
        <v>0</v>
      </c>
      <c r="AC7" s="138">
        <v>3410</v>
      </c>
      <c r="AD7" s="43"/>
      <c r="AE7" s="43"/>
      <c r="AF7" s="45"/>
      <c r="AG7" s="43"/>
      <c r="AH7" s="43"/>
      <c r="AI7" s="45"/>
      <c r="AJ7" s="43"/>
      <c r="AK7" s="43"/>
      <c r="AL7" s="45"/>
      <c r="AM7" s="43"/>
      <c r="AN7" s="43"/>
      <c r="AO7" s="43"/>
    </row>
    <row r="8" spans="1:57" hidden="1" thickBot="1" x14ac:dyDescent="0.35">
      <c r="B8" s="7">
        <v>3900</v>
      </c>
      <c r="C8" s="8" t="s">
        <v>7</v>
      </c>
      <c r="D8" s="113"/>
      <c r="E8" s="132"/>
      <c r="F8" s="115"/>
      <c r="G8" s="116"/>
      <c r="H8" s="113"/>
      <c r="I8" s="114"/>
      <c r="J8" s="115"/>
      <c r="K8" s="116"/>
      <c r="L8" s="113"/>
      <c r="M8" s="132"/>
      <c r="N8" s="115"/>
      <c r="O8" s="116"/>
      <c r="P8" s="113"/>
      <c r="Q8" s="132"/>
      <c r="R8" s="115"/>
      <c r="S8" s="116"/>
      <c r="T8" s="113"/>
      <c r="U8" s="114"/>
      <c r="V8" s="115"/>
      <c r="W8" s="116"/>
      <c r="X8" s="113"/>
      <c r="Y8" s="114"/>
      <c r="Z8" s="115"/>
      <c r="AB8" s="134">
        <f t="shared" si="0"/>
        <v>0</v>
      </c>
      <c r="AC8" s="138">
        <v>3900</v>
      </c>
      <c r="AD8" s="43"/>
      <c r="AE8" s="43"/>
      <c r="AF8" s="45"/>
      <c r="AG8" s="43"/>
      <c r="AH8" s="43"/>
      <c r="AI8" s="45"/>
      <c r="AJ8" s="43"/>
      <c r="AK8" s="43"/>
      <c r="AL8" s="45"/>
      <c r="AM8" s="43"/>
      <c r="AN8" s="43"/>
      <c r="AO8" s="43"/>
    </row>
    <row r="9" spans="1:57" thickBot="1" x14ac:dyDescent="0.35">
      <c r="B9" s="7">
        <v>3910</v>
      </c>
      <c r="C9" s="8" t="s">
        <v>8</v>
      </c>
      <c r="D9" s="113"/>
      <c r="E9" s="132"/>
      <c r="F9" s="115"/>
      <c r="G9" s="116"/>
      <c r="H9" s="113"/>
      <c r="I9" s="114"/>
      <c r="J9" s="115"/>
      <c r="K9" s="116"/>
      <c r="L9" s="113">
        <f>30*100</f>
        <v>3000</v>
      </c>
      <c r="M9" s="132" t="s">
        <v>279</v>
      </c>
      <c r="N9" s="115"/>
      <c r="O9" s="116"/>
      <c r="P9" s="113"/>
      <c r="Q9" s="132"/>
      <c r="R9" s="115"/>
      <c r="S9" s="116"/>
      <c r="T9" s="113"/>
      <c r="U9" s="114"/>
      <c r="V9" s="115"/>
      <c r="W9" s="116"/>
      <c r="X9" s="113"/>
      <c r="Y9" s="114"/>
      <c r="Z9" s="115"/>
      <c r="AB9" s="134">
        <f t="shared" si="0"/>
        <v>3000</v>
      </c>
      <c r="AC9" s="138">
        <v>3910</v>
      </c>
      <c r="AD9" s="43"/>
      <c r="AE9" s="43"/>
      <c r="AF9" s="45"/>
      <c r="AG9" s="43"/>
      <c r="AH9" s="43"/>
      <c r="AI9" s="45"/>
      <c r="AJ9" s="43"/>
      <c r="AK9" s="43"/>
      <c r="AL9" s="45"/>
      <c r="AM9" s="43"/>
      <c r="AN9" s="43"/>
      <c r="AO9" s="43"/>
    </row>
    <row r="10" spans="1:57" hidden="1" thickBot="1" x14ac:dyDescent="0.35">
      <c r="B10" s="10">
        <v>3950</v>
      </c>
      <c r="C10" s="11" t="s">
        <v>9</v>
      </c>
      <c r="D10" s="117"/>
      <c r="E10" s="192"/>
      <c r="F10" s="119"/>
      <c r="G10" s="116"/>
      <c r="H10" s="117"/>
      <c r="I10" s="118"/>
      <c r="J10" s="119"/>
      <c r="K10" s="116"/>
      <c r="L10" s="117"/>
      <c r="M10" s="192"/>
      <c r="N10" s="119"/>
      <c r="O10" s="116"/>
      <c r="P10" s="117"/>
      <c r="Q10" s="192"/>
      <c r="R10" s="119"/>
      <c r="S10" s="116"/>
      <c r="T10" s="117"/>
      <c r="U10" s="118"/>
      <c r="V10" s="119"/>
      <c r="W10" s="116"/>
      <c r="X10" s="117"/>
      <c r="Y10" s="118"/>
      <c r="Z10" s="119"/>
      <c r="AB10" s="134">
        <f t="shared" si="0"/>
        <v>0</v>
      </c>
      <c r="AC10" s="142">
        <v>3950</v>
      </c>
      <c r="AD10" s="43"/>
      <c r="AE10" s="43"/>
      <c r="AF10" s="45"/>
      <c r="AG10" s="43"/>
      <c r="AH10" s="43"/>
      <c r="AI10" s="45"/>
      <c r="AJ10" s="43"/>
      <c r="AK10" s="43"/>
      <c r="AL10" s="45"/>
      <c r="AM10" s="43"/>
      <c r="AN10" s="43"/>
      <c r="AO10" s="43"/>
    </row>
    <row r="11" spans="1:57" thickBot="1" x14ac:dyDescent="0.35">
      <c r="B11" s="30"/>
      <c r="C11" s="31" t="s">
        <v>73</v>
      </c>
      <c r="D11" s="120">
        <f>SUM(D4:D10)</f>
        <v>0</v>
      </c>
      <c r="E11" s="191"/>
      <c r="F11" s="120">
        <f t="shared" ref="F11" si="1">SUM(F4:F10)</f>
        <v>0</v>
      </c>
      <c r="G11" s="116"/>
      <c r="H11" s="120">
        <f>SUM(H4:H10)</f>
        <v>0</v>
      </c>
      <c r="I11" s="120"/>
      <c r="J11" s="120">
        <f t="shared" ref="J11" si="2">SUM(J4:J10)</f>
        <v>0</v>
      </c>
      <c r="K11" s="116"/>
      <c r="L11" s="120">
        <f>SUM(L4:L10)</f>
        <v>3000</v>
      </c>
      <c r="M11" s="191"/>
      <c r="N11" s="120">
        <f t="shared" ref="N11" si="3">SUM(N4:N10)</f>
        <v>0</v>
      </c>
      <c r="O11" s="116"/>
      <c r="P11" s="120">
        <f>SUM(P4:P10)</f>
        <v>0</v>
      </c>
      <c r="Q11" s="191"/>
      <c r="R11" s="120">
        <f t="shared" ref="R11" si="4">SUM(R4:R10)</f>
        <v>0</v>
      </c>
      <c r="S11" s="116"/>
      <c r="T11" s="120">
        <f>SUM(T4:T10)</f>
        <v>0</v>
      </c>
      <c r="U11" s="121"/>
      <c r="V11" s="122"/>
      <c r="W11" s="116"/>
      <c r="X11" s="120">
        <f>SUM(X4:X10)</f>
        <v>0</v>
      </c>
      <c r="Y11" s="121"/>
      <c r="Z11" s="122"/>
      <c r="AB11" s="134">
        <f t="shared" si="0"/>
        <v>3000</v>
      </c>
      <c r="AC11" s="139"/>
      <c r="AD11" s="43"/>
      <c r="AE11" s="43"/>
      <c r="AF11" s="45"/>
      <c r="AG11" s="43"/>
      <c r="AH11" s="43"/>
      <c r="AI11" s="45"/>
      <c r="AJ11" s="43"/>
      <c r="AK11" s="43"/>
      <c r="AL11" s="45"/>
      <c r="AM11" s="43"/>
      <c r="AN11" s="43"/>
      <c r="AO11" s="43"/>
    </row>
    <row r="12" spans="1:57" ht="15.75" thickBot="1" x14ac:dyDescent="0.3">
      <c r="A12" s="27" t="s">
        <v>46</v>
      </c>
      <c r="B12" s="26">
        <v>5000</v>
      </c>
      <c r="C12" s="29" t="s">
        <v>10</v>
      </c>
      <c r="D12" s="123"/>
      <c r="E12" s="132"/>
      <c r="F12" s="115"/>
      <c r="G12" s="116"/>
      <c r="H12" s="123"/>
      <c r="I12" s="114"/>
      <c r="J12" s="115"/>
      <c r="K12" s="116"/>
      <c r="L12" s="123"/>
      <c r="M12" s="132"/>
      <c r="N12" s="115"/>
      <c r="O12" s="116"/>
      <c r="P12" s="123"/>
      <c r="Q12" s="132"/>
      <c r="R12" s="115"/>
      <c r="S12" s="116"/>
      <c r="T12" s="123"/>
      <c r="U12" s="114"/>
      <c r="V12" s="115"/>
      <c r="W12" s="116"/>
      <c r="X12" s="123"/>
      <c r="Y12" s="114"/>
      <c r="Z12" s="115"/>
      <c r="AB12" s="134">
        <f t="shared" si="0"/>
        <v>0</v>
      </c>
      <c r="AC12" s="140">
        <v>5000</v>
      </c>
      <c r="AD12" s="43"/>
      <c r="AE12" s="43"/>
      <c r="AF12" s="45"/>
      <c r="AG12" s="43"/>
      <c r="AH12" s="43"/>
      <c r="AI12" s="45"/>
      <c r="AJ12" s="43"/>
      <c r="AK12" s="43"/>
      <c r="AL12" s="45"/>
      <c r="AM12" s="43"/>
      <c r="AN12" s="43"/>
      <c r="AO12" s="43"/>
    </row>
    <row r="13" spans="1:57" hidden="1" thickBot="1" x14ac:dyDescent="0.35">
      <c r="B13" s="7">
        <v>5001</v>
      </c>
      <c r="C13" s="15" t="s">
        <v>11</v>
      </c>
      <c r="D13" s="123"/>
      <c r="E13" s="132"/>
      <c r="F13" s="115"/>
      <c r="G13" s="116"/>
      <c r="H13" s="123"/>
      <c r="I13" s="114"/>
      <c r="J13" s="115"/>
      <c r="K13" s="116"/>
      <c r="L13" s="123"/>
      <c r="M13" s="132"/>
      <c r="N13" s="115"/>
      <c r="O13" s="116"/>
      <c r="P13" s="123"/>
      <c r="Q13" s="132"/>
      <c r="R13" s="115"/>
      <c r="S13" s="116"/>
      <c r="T13" s="123"/>
      <c r="U13" s="114"/>
      <c r="V13" s="115"/>
      <c r="W13" s="116"/>
      <c r="X13" s="123"/>
      <c r="Y13" s="114"/>
      <c r="Z13" s="115"/>
      <c r="AB13" s="134">
        <f t="shared" si="0"/>
        <v>0</v>
      </c>
      <c r="AC13" s="138">
        <v>5001</v>
      </c>
      <c r="AD13" s="43"/>
      <c r="AE13" s="43"/>
      <c r="AF13" s="45"/>
      <c r="AG13" s="43"/>
      <c r="AH13" s="43"/>
      <c r="AI13" s="45"/>
      <c r="AJ13" s="43"/>
      <c r="AK13" s="43"/>
      <c r="AL13" s="45"/>
      <c r="AM13" s="43"/>
      <c r="AN13" s="43"/>
      <c r="AO13" s="43"/>
    </row>
    <row r="14" spans="1:57" hidden="1" thickBot="1" x14ac:dyDescent="0.35">
      <c r="B14" s="7">
        <v>5004</v>
      </c>
      <c r="C14" s="15" t="s">
        <v>12</v>
      </c>
      <c r="D14" s="123"/>
      <c r="E14" s="132"/>
      <c r="F14" s="115"/>
      <c r="G14" s="116"/>
      <c r="H14" s="123"/>
      <c r="I14" s="114"/>
      <c r="J14" s="115"/>
      <c r="K14" s="116"/>
      <c r="L14" s="123"/>
      <c r="M14" s="132"/>
      <c r="N14" s="115"/>
      <c r="O14" s="116"/>
      <c r="P14" s="123"/>
      <c r="Q14" s="132"/>
      <c r="R14" s="115"/>
      <c r="S14" s="116"/>
      <c r="T14" s="123"/>
      <c r="U14" s="114"/>
      <c r="V14" s="115"/>
      <c r="W14" s="116"/>
      <c r="X14" s="123"/>
      <c r="Y14" s="114"/>
      <c r="Z14" s="115"/>
      <c r="AB14" s="134">
        <f t="shared" si="0"/>
        <v>0</v>
      </c>
      <c r="AC14" s="138">
        <v>5004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hidden="1" thickBot="1" x14ac:dyDescent="0.35">
      <c r="A15" s="12"/>
      <c r="B15" s="14">
        <v>5180</v>
      </c>
      <c r="C15" s="17" t="s">
        <v>13</v>
      </c>
      <c r="D15" s="124">
        <f>SUM(D12*0.12)</f>
        <v>0</v>
      </c>
      <c r="E15" s="196"/>
      <c r="F15" s="126"/>
      <c r="G15" s="127"/>
      <c r="H15" s="124">
        <f>SUM(H12*0.12)</f>
        <v>0</v>
      </c>
      <c r="I15" s="125"/>
      <c r="J15" s="126"/>
      <c r="K15" s="127"/>
      <c r="L15" s="124">
        <f>SUM(L12*0.12)</f>
        <v>0</v>
      </c>
      <c r="M15" s="196"/>
      <c r="N15" s="126"/>
      <c r="O15" s="127"/>
      <c r="P15" s="124">
        <f>SUM(P12*0.12)</f>
        <v>0</v>
      </c>
      <c r="Q15" s="196"/>
      <c r="R15" s="126"/>
      <c r="S15" s="127"/>
      <c r="T15" s="124"/>
      <c r="U15" s="125"/>
      <c r="V15" s="126"/>
      <c r="W15" s="127"/>
      <c r="X15" s="124">
        <f>SUM(X12*0.12)</f>
        <v>0</v>
      </c>
      <c r="Y15" s="125"/>
      <c r="Z15" s="126"/>
      <c r="AB15" s="134">
        <f t="shared" si="0"/>
        <v>0</v>
      </c>
      <c r="AC15" s="141">
        <v>5180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idden="1" thickBot="1" x14ac:dyDescent="0.35">
      <c r="A16" s="12"/>
      <c r="B16" s="14">
        <v>5182</v>
      </c>
      <c r="C16" s="17" t="s">
        <v>14</v>
      </c>
      <c r="D16" s="124">
        <f>SUM(D15*0.141)</f>
        <v>0</v>
      </c>
      <c r="E16" s="196"/>
      <c r="F16" s="126"/>
      <c r="G16" s="127"/>
      <c r="H16" s="124">
        <f>SUM(H15*0.141)</f>
        <v>0</v>
      </c>
      <c r="I16" s="125"/>
      <c r="J16" s="126"/>
      <c r="K16" s="127"/>
      <c r="L16" s="124">
        <f>SUM(L15*0.141)</f>
        <v>0</v>
      </c>
      <c r="M16" s="196"/>
      <c r="N16" s="126"/>
      <c r="O16" s="127"/>
      <c r="P16" s="124">
        <f>SUM(P15*0.141)</f>
        <v>0</v>
      </c>
      <c r="Q16" s="196"/>
      <c r="R16" s="126"/>
      <c r="S16" s="127"/>
      <c r="T16" s="124"/>
      <c r="U16" s="125"/>
      <c r="V16" s="126"/>
      <c r="W16" s="127"/>
      <c r="X16" s="124">
        <f>SUM(X15*0.141)</f>
        <v>0</v>
      </c>
      <c r="Y16" s="125"/>
      <c r="Z16" s="126"/>
      <c r="AB16" s="134">
        <f t="shared" si="0"/>
        <v>0</v>
      </c>
      <c r="AC16" s="141">
        <v>5182</v>
      </c>
      <c r="AD16" s="43"/>
      <c r="AE16" s="43"/>
      <c r="AF16" s="45"/>
      <c r="AG16" s="43"/>
      <c r="AH16" s="43"/>
      <c r="AI16" s="45"/>
      <c r="AJ16" s="43"/>
      <c r="AK16" s="43"/>
      <c r="AL16" s="45"/>
      <c r="AM16" s="43"/>
      <c r="AN16" s="43"/>
      <c r="AO16" s="4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idden="1" thickBot="1" x14ac:dyDescent="0.35">
      <c r="A17" s="12"/>
      <c r="B17" s="14">
        <v>5211</v>
      </c>
      <c r="C17" s="17" t="s">
        <v>15</v>
      </c>
      <c r="D17" s="128"/>
      <c r="E17" s="196"/>
      <c r="F17" s="126"/>
      <c r="G17" s="127"/>
      <c r="H17" s="128"/>
      <c r="I17" s="125"/>
      <c r="J17" s="126"/>
      <c r="K17" s="127"/>
      <c r="L17" s="128"/>
      <c r="M17" s="196"/>
      <c r="N17" s="126"/>
      <c r="O17" s="127"/>
      <c r="P17" s="128"/>
      <c r="Q17" s="196"/>
      <c r="R17" s="126"/>
      <c r="S17" s="127"/>
      <c r="T17" s="128"/>
      <c r="U17" s="125"/>
      <c r="V17" s="126"/>
      <c r="W17" s="127"/>
      <c r="X17" s="128"/>
      <c r="Y17" s="125"/>
      <c r="Z17" s="126"/>
      <c r="AB17" s="134">
        <f t="shared" si="0"/>
        <v>0</v>
      </c>
      <c r="AC17" s="141">
        <v>5211</v>
      </c>
      <c r="AD17" s="43"/>
      <c r="AE17" s="43"/>
      <c r="AF17" s="45"/>
      <c r="AG17" s="43"/>
      <c r="AH17" s="43"/>
      <c r="AI17" s="45"/>
      <c r="AJ17" s="43"/>
      <c r="AK17" s="43"/>
      <c r="AL17" s="45"/>
      <c r="AM17" s="43"/>
      <c r="AN17" s="43"/>
      <c r="AO17" s="4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idden="1" thickBot="1" x14ac:dyDescent="0.35">
      <c r="A18" s="12"/>
      <c r="B18" s="14">
        <v>5230</v>
      </c>
      <c r="C18" s="17" t="s">
        <v>16</v>
      </c>
      <c r="D18" s="128"/>
      <c r="E18" s="196"/>
      <c r="F18" s="126"/>
      <c r="G18" s="127"/>
      <c r="H18" s="128"/>
      <c r="I18" s="125"/>
      <c r="J18" s="126"/>
      <c r="K18" s="127"/>
      <c r="L18" s="128"/>
      <c r="M18" s="196"/>
      <c r="N18" s="126"/>
      <c r="O18" s="127"/>
      <c r="P18" s="128"/>
      <c r="Q18" s="196"/>
      <c r="R18" s="126"/>
      <c r="S18" s="127"/>
      <c r="T18" s="128"/>
      <c r="U18" s="125"/>
      <c r="V18" s="126"/>
      <c r="W18" s="127"/>
      <c r="X18" s="128"/>
      <c r="Y18" s="125"/>
      <c r="Z18" s="126"/>
      <c r="AB18" s="134">
        <f t="shared" si="0"/>
        <v>0</v>
      </c>
      <c r="AC18" s="141">
        <v>5230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hidden="1" thickBot="1" x14ac:dyDescent="0.35">
      <c r="A19" s="12"/>
      <c r="B19" s="7">
        <v>5400</v>
      </c>
      <c r="C19" s="15" t="s">
        <v>48</v>
      </c>
      <c r="D19" s="124">
        <f>SUM((D12+D13+D14+D17+D18)*0.141)</f>
        <v>0</v>
      </c>
      <c r="E19" s="196"/>
      <c r="F19" s="126"/>
      <c r="G19" s="127"/>
      <c r="H19" s="124">
        <f>SUM((H12+H13+H14+H17+H18)*0.141)</f>
        <v>0</v>
      </c>
      <c r="I19" s="125"/>
      <c r="J19" s="126"/>
      <c r="K19" s="127"/>
      <c r="L19" s="124">
        <f>SUM((L12+L13+L14+L17+L18)*0.141)</f>
        <v>0</v>
      </c>
      <c r="M19" s="196"/>
      <c r="N19" s="126"/>
      <c r="O19" s="127"/>
      <c r="P19" s="124">
        <f>SUM((P12+P13+P14+P17+P18)*0.141)</f>
        <v>0</v>
      </c>
      <c r="Q19" s="196"/>
      <c r="R19" s="126"/>
      <c r="S19" s="127"/>
      <c r="T19" s="124"/>
      <c r="U19" s="125"/>
      <c r="V19" s="126"/>
      <c r="W19" s="127"/>
      <c r="X19" s="124">
        <f>SUM((X12+X13+X14+X17+X18)*0.141)</f>
        <v>0</v>
      </c>
      <c r="Y19" s="125"/>
      <c r="Z19" s="126"/>
      <c r="AB19" s="134">
        <f t="shared" si="0"/>
        <v>0</v>
      </c>
      <c r="AC19" s="138">
        <v>5400</v>
      </c>
      <c r="AD19" s="43"/>
      <c r="AE19" s="43"/>
      <c r="AF19" s="45"/>
      <c r="AG19" s="43"/>
      <c r="AH19" s="43"/>
      <c r="AI19" s="45"/>
      <c r="AJ19" s="43"/>
      <c r="AK19" s="43"/>
      <c r="AL19" s="45"/>
      <c r="AM19" s="43"/>
      <c r="AN19" s="43"/>
      <c r="AO19" s="43"/>
    </row>
    <row r="20" spans="1:57" hidden="1" thickBot="1" x14ac:dyDescent="0.35">
      <c r="B20" s="7">
        <v>5990</v>
      </c>
      <c r="C20" s="15" t="s">
        <v>17</v>
      </c>
      <c r="D20" s="113"/>
      <c r="E20" s="132"/>
      <c r="F20" s="115"/>
      <c r="G20" s="116"/>
      <c r="H20" s="113"/>
      <c r="I20" s="114"/>
      <c r="J20" s="115"/>
      <c r="K20" s="116"/>
      <c r="L20" s="113"/>
      <c r="M20" s="132"/>
      <c r="N20" s="115"/>
      <c r="O20" s="116"/>
      <c r="P20" s="113"/>
      <c r="Q20" s="132"/>
      <c r="R20" s="115"/>
      <c r="S20" s="116"/>
      <c r="T20" s="113"/>
      <c r="U20" s="114"/>
      <c r="V20" s="115"/>
      <c r="W20" s="116"/>
      <c r="X20" s="113"/>
      <c r="Y20" s="114"/>
      <c r="Z20" s="115"/>
      <c r="AB20" s="134">
        <f t="shared" si="0"/>
        <v>0</v>
      </c>
      <c r="AC20" s="138">
        <v>5990</v>
      </c>
      <c r="AD20" s="43"/>
      <c r="AE20" s="43"/>
      <c r="AF20" s="45"/>
      <c r="AG20" s="43"/>
      <c r="AH20" s="43"/>
      <c r="AI20" s="45"/>
      <c r="AJ20" s="43"/>
      <c r="AK20" s="43"/>
      <c r="AL20" s="45"/>
      <c r="AM20" s="43"/>
      <c r="AN20" s="43"/>
      <c r="AO20" s="43"/>
    </row>
    <row r="21" spans="1:57" hidden="1" thickBot="1" x14ac:dyDescent="0.35">
      <c r="B21" s="7">
        <v>6110</v>
      </c>
      <c r="C21" s="15" t="s">
        <v>50</v>
      </c>
      <c r="D21" s="113"/>
      <c r="E21" s="132"/>
      <c r="F21" s="115"/>
      <c r="G21" s="116"/>
      <c r="H21" s="113"/>
      <c r="I21" s="114"/>
      <c r="J21" s="115"/>
      <c r="K21" s="116"/>
      <c r="L21" s="113"/>
      <c r="M21" s="132"/>
      <c r="N21" s="115"/>
      <c r="O21" s="116"/>
      <c r="P21" s="113"/>
      <c r="Q21" s="132"/>
      <c r="R21" s="115"/>
      <c r="S21" s="116"/>
      <c r="T21" s="113"/>
      <c r="U21" s="114"/>
      <c r="V21" s="115"/>
      <c r="W21" s="116"/>
      <c r="X21" s="113"/>
      <c r="Y21" s="114"/>
      <c r="Z21" s="115"/>
      <c r="AB21" s="134">
        <f t="shared" si="0"/>
        <v>0</v>
      </c>
      <c r="AC21" s="138">
        <v>6110</v>
      </c>
      <c r="AD21" s="43"/>
      <c r="AE21" s="43"/>
      <c r="AF21" s="45"/>
      <c r="AG21" s="43"/>
      <c r="AH21" s="43"/>
      <c r="AI21" s="45"/>
      <c r="AJ21" s="43"/>
      <c r="AK21" s="43"/>
      <c r="AL21" s="45"/>
      <c r="AM21" s="43"/>
      <c r="AN21" s="43"/>
      <c r="AO21" s="43"/>
    </row>
    <row r="22" spans="1:57" thickBot="1" x14ac:dyDescent="0.35">
      <c r="B22" s="7">
        <v>6300</v>
      </c>
      <c r="C22" s="15" t="s">
        <v>18</v>
      </c>
      <c r="D22" s="113"/>
      <c r="E22" s="132"/>
      <c r="F22" s="115"/>
      <c r="G22" s="116"/>
      <c r="H22" s="113"/>
      <c r="I22" s="114"/>
      <c r="J22" s="115"/>
      <c r="K22" s="116"/>
      <c r="L22" s="113">
        <v>15000</v>
      </c>
      <c r="M22" s="132"/>
      <c r="N22" s="115"/>
      <c r="O22" s="116"/>
      <c r="P22" s="113"/>
      <c r="Q22" s="132"/>
      <c r="R22" s="115"/>
      <c r="S22" s="116"/>
      <c r="T22" s="113"/>
      <c r="U22" s="114"/>
      <c r="V22" s="115"/>
      <c r="W22" s="116"/>
      <c r="X22" s="113"/>
      <c r="Y22" s="114"/>
      <c r="Z22" s="115"/>
      <c r="AB22" s="134">
        <f t="shared" si="0"/>
        <v>15000</v>
      </c>
      <c r="AC22" s="138">
        <v>6300</v>
      </c>
      <c r="AD22" s="43"/>
      <c r="AE22" s="43"/>
      <c r="AF22" s="45"/>
      <c r="AG22" s="43"/>
      <c r="AH22" s="43"/>
      <c r="AI22" s="45"/>
      <c r="AJ22" s="43"/>
      <c r="AK22" s="43"/>
      <c r="AL22" s="45"/>
      <c r="AM22" s="43"/>
      <c r="AN22" s="43"/>
      <c r="AO22" s="43"/>
    </row>
    <row r="23" spans="1:57" hidden="1" thickBot="1" x14ac:dyDescent="0.35">
      <c r="B23" s="7">
        <v>6440</v>
      </c>
      <c r="C23" s="15" t="s">
        <v>19</v>
      </c>
      <c r="D23" s="113"/>
      <c r="E23" s="132"/>
      <c r="F23" s="115"/>
      <c r="G23" s="116"/>
      <c r="H23" s="113"/>
      <c r="I23" s="114"/>
      <c r="J23" s="115"/>
      <c r="K23" s="116"/>
      <c r="L23" s="113"/>
      <c r="M23" s="132"/>
      <c r="N23" s="115"/>
      <c r="O23" s="116"/>
      <c r="P23" s="113"/>
      <c r="Q23" s="132"/>
      <c r="R23" s="115"/>
      <c r="S23" s="116"/>
      <c r="T23" s="113"/>
      <c r="U23" s="114"/>
      <c r="V23" s="115"/>
      <c r="W23" s="116"/>
      <c r="X23" s="113"/>
      <c r="Y23" s="114"/>
      <c r="Z23" s="115"/>
      <c r="AB23" s="134">
        <f t="shared" si="0"/>
        <v>0</v>
      </c>
      <c r="AC23" s="138">
        <v>6440</v>
      </c>
      <c r="AD23" s="43"/>
      <c r="AE23" s="43"/>
      <c r="AF23" s="45"/>
      <c r="AG23" s="43"/>
      <c r="AH23" s="43"/>
      <c r="AI23" s="45"/>
      <c r="AJ23" s="43"/>
      <c r="AK23" s="43"/>
      <c r="AL23" s="45"/>
      <c r="AM23" s="43"/>
      <c r="AN23" s="43"/>
      <c r="AO23" s="43"/>
    </row>
    <row r="24" spans="1:57" hidden="1" thickBot="1" x14ac:dyDescent="0.35">
      <c r="B24" s="7">
        <v>6550</v>
      </c>
      <c r="C24" s="15" t="s">
        <v>20</v>
      </c>
      <c r="D24" s="113"/>
      <c r="E24" s="132"/>
      <c r="F24" s="115"/>
      <c r="G24" s="116"/>
      <c r="H24" s="113"/>
      <c r="I24" s="114"/>
      <c r="J24" s="115"/>
      <c r="K24" s="116"/>
      <c r="L24" s="113"/>
      <c r="M24" s="132"/>
      <c r="N24" s="115"/>
      <c r="O24" s="116"/>
      <c r="P24" s="113"/>
      <c r="Q24" s="132"/>
      <c r="R24" s="115"/>
      <c r="S24" s="116"/>
      <c r="T24" s="113"/>
      <c r="U24" s="114"/>
      <c r="V24" s="115"/>
      <c r="W24" s="116"/>
      <c r="X24" s="113"/>
      <c r="Y24" s="114"/>
      <c r="Z24" s="115"/>
      <c r="AB24" s="134">
        <f t="shared" si="0"/>
        <v>0</v>
      </c>
      <c r="AC24" s="138">
        <v>6550</v>
      </c>
      <c r="AD24" s="43"/>
      <c r="AE24" s="43"/>
      <c r="AF24" s="45"/>
      <c r="AG24" s="43"/>
      <c r="AH24" s="43"/>
      <c r="AI24" s="45"/>
      <c r="AJ24" s="43"/>
      <c r="AK24" s="43"/>
      <c r="AL24" s="45"/>
      <c r="AM24" s="43"/>
      <c r="AN24" s="43"/>
      <c r="AO24" s="43"/>
    </row>
    <row r="25" spans="1:57" hidden="1" thickBot="1" x14ac:dyDescent="0.35">
      <c r="B25" s="7">
        <v>6560</v>
      </c>
      <c r="C25" s="15" t="s">
        <v>21</v>
      </c>
      <c r="D25" s="113"/>
      <c r="E25" s="132"/>
      <c r="F25" s="115"/>
      <c r="G25" s="116"/>
      <c r="H25" s="113"/>
      <c r="I25" s="114"/>
      <c r="J25" s="115"/>
      <c r="K25" s="116"/>
      <c r="L25" s="113"/>
      <c r="M25" s="132"/>
      <c r="N25" s="115"/>
      <c r="O25" s="116"/>
      <c r="P25" s="113"/>
      <c r="Q25" s="132"/>
      <c r="R25" s="115"/>
      <c r="S25" s="116"/>
      <c r="T25" s="113"/>
      <c r="U25" s="114"/>
      <c r="V25" s="115"/>
      <c r="W25" s="116"/>
      <c r="X25" s="113"/>
      <c r="Y25" s="114"/>
      <c r="Z25" s="115"/>
      <c r="AB25" s="134">
        <f t="shared" si="0"/>
        <v>0</v>
      </c>
      <c r="AC25" s="138">
        <v>6560</v>
      </c>
      <c r="AD25" s="43"/>
      <c r="AE25" s="43"/>
      <c r="AF25" s="45"/>
      <c r="AG25" s="43"/>
      <c r="AH25" s="43"/>
      <c r="AI25" s="45"/>
      <c r="AJ25" s="43"/>
      <c r="AK25" s="43"/>
      <c r="AL25" s="45"/>
      <c r="AM25" s="43"/>
      <c r="AN25" s="43"/>
      <c r="AO25" s="43"/>
    </row>
    <row r="26" spans="1:57" hidden="1" thickBot="1" x14ac:dyDescent="0.35">
      <c r="B26" s="7">
        <v>6580</v>
      </c>
      <c r="C26" s="15" t="s">
        <v>2</v>
      </c>
      <c r="D26" s="113"/>
      <c r="E26" s="132"/>
      <c r="F26" s="115"/>
      <c r="G26" s="116"/>
      <c r="H26" s="113"/>
      <c r="I26" s="114"/>
      <c r="J26" s="115"/>
      <c r="K26" s="116"/>
      <c r="L26" s="113"/>
      <c r="M26" s="132"/>
      <c r="N26" s="115"/>
      <c r="O26" s="116"/>
      <c r="P26" s="113"/>
      <c r="Q26" s="132"/>
      <c r="R26" s="115"/>
      <c r="S26" s="116"/>
      <c r="T26" s="113"/>
      <c r="U26" s="114"/>
      <c r="V26" s="115"/>
      <c r="W26" s="116"/>
      <c r="X26" s="113"/>
      <c r="Y26" s="114"/>
      <c r="Z26" s="115"/>
      <c r="AB26" s="134">
        <f t="shared" si="0"/>
        <v>0</v>
      </c>
      <c r="AC26" s="138">
        <v>6580</v>
      </c>
      <c r="AD26" s="43"/>
      <c r="AE26" s="43"/>
      <c r="AF26" s="45"/>
      <c r="AG26" s="43"/>
      <c r="AH26" s="43"/>
      <c r="AI26" s="45"/>
      <c r="AJ26" s="43"/>
      <c r="AK26" s="43"/>
      <c r="AL26" s="45"/>
      <c r="AM26" s="43"/>
      <c r="AN26" s="43"/>
      <c r="AO26" s="43"/>
    </row>
    <row r="27" spans="1:57" hidden="1" thickBot="1" x14ac:dyDescent="0.35">
      <c r="B27" s="7">
        <v>6800</v>
      </c>
      <c r="C27" s="15" t="s">
        <v>22</v>
      </c>
      <c r="D27" s="113"/>
      <c r="E27" s="132"/>
      <c r="F27" s="115"/>
      <c r="G27" s="116"/>
      <c r="H27" s="113"/>
      <c r="I27" s="114"/>
      <c r="J27" s="115"/>
      <c r="K27" s="116"/>
      <c r="L27" s="113"/>
      <c r="M27" s="132"/>
      <c r="N27" s="115"/>
      <c r="O27" s="116"/>
      <c r="P27" s="113"/>
      <c r="Q27" s="132"/>
      <c r="R27" s="115"/>
      <c r="S27" s="116"/>
      <c r="T27" s="113"/>
      <c r="U27" s="114"/>
      <c r="V27" s="115"/>
      <c r="W27" s="116"/>
      <c r="X27" s="113"/>
      <c r="Y27" s="114"/>
      <c r="Z27" s="115"/>
      <c r="AB27" s="134">
        <f t="shared" si="0"/>
        <v>0</v>
      </c>
      <c r="AC27" s="138">
        <v>6800</v>
      </c>
      <c r="AD27" s="43"/>
      <c r="AE27" s="43"/>
      <c r="AF27" s="45"/>
      <c r="AG27" s="43"/>
      <c r="AH27" s="43"/>
      <c r="AI27" s="45"/>
      <c r="AJ27" s="43"/>
      <c r="AK27" s="43"/>
      <c r="AL27" s="45"/>
      <c r="AM27" s="43"/>
      <c r="AN27" s="43"/>
      <c r="AO27" s="43"/>
    </row>
    <row r="28" spans="1:57" hidden="1" thickBot="1" x14ac:dyDescent="0.35">
      <c r="B28" s="7">
        <v>6820</v>
      </c>
      <c r="C28" s="15" t="s">
        <v>23</v>
      </c>
      <c r="D28" s="113"/>
      <c r="E28" s="132"/>
      <c r="F28" s="115"/>
      <c r="G28" s="116"/>
      <c r="H28" s="113"/>
      <c r="I28" s="114"/>
      <c r="J28" s="115"/>
      <c r="K28" s="116"/>
      <c r="L28" s="113"/>
      <c r="M28" s="132"/>
      <c r="N28" s="115"/>
      <c r="O28" s="116"/>
      <c r="P28" s="113"/>
      <c r="Q28" s="132"/>
      <c r="R28" s="115"/>
      <c r="S28" s="116"/>
      <c r="T28" s="113"/>
      <c r="U28" s="114"/>
      <c r="V28" s="115"/>
      <c r="W28" s="116"/>
      <c r="X28" s="113"/>
      <c r="Y28" s="114"/>
      <c r="Z28" s="115"/>
      <c r="AB28" s="134">
        <f t="shared" si="0"/>
        <v>0</v>
      </c>
      <c r="AC28" s="138">
        <v>6820</v>
      </c>
      <c r="AD28" s="43"/>
      <c r="AE28" s="43"/>
      <c r="AF28" s="45"/>
      <c r="AG28" s="43"/>
      <c r="AH28" s="43"/>
      <c r="AI28" s="45"/>
      <c r="AJ28" s="43"/>
      <c r="AK28" s="43"/>
      <c r="AL28" s="45"/>
      <c r="AM28" s="43"/>
      <c r="AN28" s="43"/>
      <c r="AO28" s="43"/>
    </row>
    <row r="29" spans="1:57" hidden="1" thickBot="1" x14ac:dyDescent="0.35">
      <c r="B29" s="7">
        <v>6840</v>
      </c>
      <c r="C29" s="15" t="s">
        <v>24</v>
      </c>
      <c r="D29" s="113"/>
      <c r="E29" s="132"/>
      <c r="F29" s="115"/>
      <c r="G29" s="116"/>
      <c r="H29" s="113"/>
      <c r="I29" s="114"/>
      <c r="J29" s="115"/>
      <c r="K29" s="116"/>
      <c r="L29" s="113"/>
      <c r="M29" s="132"/>
      <c r="N29" s="115"/>
      <c r="O29" s="116"/>
      <c r="P29" s="113"/>
      <c r="Q29" s="132"/>
      <c r="R29" s="115"/>
      <c r="S29" s="116"/>
      <c r="T29" s="113"/>
      <c r="U29" s="114"/>
      <c r="V29" s="115"/>
      <c r="W29" s="116"/>
      <c r="X29" s="113"/>
      <c r="Y29" s="114"/>
      <c r="Z29" s="115"/>
      <c r="AB29" s="134">
        <f t="shared" si="0"/>
        <v>0</v>
      </c>
      <c r="AC29" s="138">
        <v>6840</v>
      </c>
      <c r="AD29" s="43"/>
      <c r="AE29" s="43"/>
      <c r="AF29" s="45"/>
      <c r="AG29" s="43"/>
      <c r="AH29" s="43"/>
      <c r="AI29" s="45"/>
      <c r="AJ29" s="43"/>
      <c r="AK29" s="43"/>
      <c r="AL29" s="45"/>
      <c r="AM29" s="43"/>
      <c r="AN29" s="43"/>
      <c r="AO29" s="43"/>
    </row>
    <row r="30" spans="1:57" hidden="1" thickBot="1" x14ac:dyDescent="0.35">
      <c r="B30" s="7">
        <v>6860</v>
      </c>
      <c r="C30" s="15" t="s">
        <v>25</v>
      </c>
      <c r="D30" s="113"/>
      <c r="E30" s="132"/>
      <c r="F30" s="115"/>
      <c r="G30" s="116"/>
      <c r="H30" s="113"/>
      <c r="I30" s="114"/>
      <c r="J30" s="115"/>
      <c r="K30" s="116"/>
      <c r="L30" s="113"/>
      <c r="M30" s="132"/>
      <c r="N30" s="115"/>
      <c r="O30" s="116"/>
      <c r="P30" s="113"/>
      <c r="Q30" s="132"/>
      <c r="R30" s="115"/>
      <c r="S30" s="116"/>
      <c r="T30" s="113"/>
      <c r="U30" s="114"/>
      <c r="V30" s="115"/>
      <c r="W30" s="116"/>
      <c r="X30" s="113"/>
      <c r="Y30" s="114"/>
      <c r="Z30" s="115"/>
      <c r="AB30" s="134">
        <f t="shared" si="0"/>
        <v>0</v>
      </c>
      <c r="AC30" s="138">
        <v>6860</v>
      </c>
      <c r="AD30" s="43"/>
      <c r="AE30" s="43"/>
      <c r="AF30" s="45"/>
      <c r="AG30" s="43"/>
      <c r="AH30" s="43"/>
      <c r="AI30" s="45"/>
      <c r="AJ30" s="43"/>
      <c r="AK30" s="43"/>
      <c r="AL30" s="45"/>
      <c r="AM30" s="43"/>
      <c r="AN30" s="43"/>
      <c r="AO30" s="43"/>
    </row>
    <row r="31" spans="1:57" thickBot="1" x14ac:dyDescent="0.35">
      <c r="B31" s="7">
        <v>6910</v>
      </c>
      <c r="C31" s="15" t="s">
        <v>26</v>
      </c>
      <c r="D31" s="113">
        <f>(10*8*4+50*8*8) + 1500</f>
        <v>5020</v>
      </c>
      <c r="E31" s="132" t="s">
        <v>318</v>
      </c>
      <c r="F31" s="115"/>
      <c r="G31" s="116"/>
      <c r="H31" s="113"/>
      <c r="I31" s="114"/>
      <c r="J31" s="115"/>
      <c r="K31" s="116"/>
      <c r="L31" s="113"/>
      <c r="M31" s="132"/>
      <c r="N31" s="115"/>
      <c r="O31" s="116"/>
      <c r="P31" s="113"/>
      <c r="Q31" s="132"/>
      <c r="R31" s="115"/>
      <c r="S31" s="116"/>
      <c r="T31" s="113"/>
      <c r="U31" s="114"/>
      <c r="V31" s="115"/>
      <c r="W31" s="116"/>
      <c r="X31" s="113"/>
      <c r="Y31" s="114"/>
      <c r="Z31" s="115"/>
      <c r="AB31" s="134">
        <f t="shared" si="0"/>
        <v>5020</v>
      </c>
      <c r="AC31" s="138">
        <v>6910</v>
      </c>
      <c r="AD31" s="43"/>
      <c r="AE31" s="43"/>
      <c r="AF31" s="45"/>
      <c r="AG31" s="43"/>
      <c r="AH31" s="43"/>
      <c r="AI31" s="45"/>
      <c r="AJ31" s="43"/>
      <c r="AK31" s="43"/>
      <c r="AL31" s="45"/>
      <c r="AM31" s="43"/>
      <c r="AN31" s="43"/>
      <c r="AO31" s="43"/>
    </row>
    <row r="32" spans="1:57" hidden="1" thickBot="1" x14ac:dyDescent="0.35">
      <c r="B32" s="7">
        <v>6940</v>
      </c>
      <c r="C32" s="15" t="s">
        <v>49</v>
      </c>
      <c r="D32" s="113"/>
      <c r="E32" s="132"/>
      <c r="F32" s="115"/>
      <c r="G32" s="116"/>
      <c r="H32" s="113"/>
      <c r="I32" s="114"/>
      <c r="J32" s="115"/>
      <c r="K32" s="116"/>
      <c r="L32" s="113"/>
      <c r="M32" s="132"/>
      <c r="N32" s="115"/>
      <c r="O32" s="116"/>
      <c r="P32" s="113"/>
      <c r="Q32" s="132"/>
      <c r="R32" s="115"/>
      <c r="S32" s="116"/>
      <c r="T32" s="113"/>
      <c r="U32" s="114"/>
      <c r="V32" s="115"/>
      <c r="W32" s="116"/>
      <c r="X32" s="113"/>
      <c r="Y32" s="114"/>
      <c r="Z32" s="115"/>
      <c r="AB32" s="134">
        <f t="shared" si="0"/>
        <v>0</v>
      </c>
      <c r="AC32" s="138">
        <v>6940</v>
      </c>
      <c r="AD32" s="43"/>
      <c r="AE32" s="43"/>
      <c r="AF32" s="45"/>
      <c r="AG32" s="43"/>
      <c r="AH32" s="43"/>
      <c r="AI32" s="45"/>
      <c r="AJ32" s="43"/>
      <c r="AK32" s="43"/>
      <c r="AL32" s="45"/>
      <c r="AM32" s="43"/>
      <c r="AN32" s="43"/>
      <c r="AO32" s="43"/>
    </row>
    <row r="33" spans="2:41" hidden="1" thickBot="1" x14ac:dyDescent="0.35">
      <c r="B33" s="7">
        <v>7000</v>
      </c>
      <c r="C33" s="15" t="s">
        <v>27</v>
      </c>
      <c r="D33" s="113"/>
      <c r="E33" s="132"/>
      <c r="F33" s="115"/>
      <c r="G33" s="116"/>
      <c r="H33" s="113"/>
      <c r="I33" s="114"/>
      <c r="J33" s="115"/>
      <c r="K33" s="116"/>
      <c r="L33" s="113"/>
      <c r="M33" s="132"/>
      <c r="N33" s="115"/>
      <c r="O33" s="116"/>
      <c r="P33" s="113"/>
      <c r="Q33" s="132"/>
      <c r="R33" s="115"/>
      <c r="S33" s="116"/>
      <c r="T33" s="113"/>
      <c r="U33" s="114"/>
      <c r="V33" s="115"/>
      <c r="W33" s="116"/>
      <c r="X33" s="113"/>
      <c r="Y33" s="114"/>
      <c r="Z33" s="115"/>
      <c r="AB33" s="134">
        <f t="shared" si="0"/>
        <v>0</v>
      </c>
      <c r="AC33" s="138">
        <v>7000</v>
      </c>
      <c r="AD33" s="43"/>
      <c r="AE33" s="43"/>
      <c r="AF33" s="45"/>
      <c r="AG33" s="43"/>
      <c r="AH33" s="43"/>
      <c r="AI33" s="45"/>
      <c r="AJ33" s="43"/>
      <c r="AK33" s="43"/>
      <c r="AL33" s="45"/>
      <c r="AM33" s="43"/>
      <c r="AN33" s="43"/>
      <c r="AO33" s="43"/>
    </row>
    <row r="34" spans="2:41" ht="15.75" thickBot="1" x14ac:dyDescent="0.3">
      <c r="B34" s="7">
        <v>7100</v>
      </c>
      <c r="C34" s="15" t="s">
        <v>28</v>
      </c>
      <c r="D34" s="113"/>
      <c r="E34" s="132"/>
      <c r="F34" s="115"/>
      <c r="G34" s="116"/>
      <c r="H34" s="113"/>
      <c r="I34" s="114"/>
      <c r="J34" s="115"/>
      <c r="K34" s="116"/>
      <c r="L34" s="113">
        <v>6000</v>
      </c>
      <c r="M34" s="114" t="s">
        <v>282</v>
      </c>
      <c r="N34" s="115"/>
      <c r="O34" s="116"/>
      <c r="P34" s="113"/>
      <c r="Q34" s="132"/>
      <c r="R34" s="115"/>
      <c r="S34" s="116"/>
      <c r="T34" s="113"/>
      <c r="U34" s="114"/>
      <c r="V34" s="115"/>
      <c r="W34" s="116"/>
      <c r="X34" s="113"/>
      <c r="Y34" s="114"/>
      <c r="Z34" s="115"/>
      <c r="AB34" s="134">
        <f t="shared" si="0"/>
        <v>6000</v>
      </c>
      <c r="AC34" s="138">
        <v>7100</v>
      </c>
      <c r="AD34" s="43"/>
      <c r="AE34" s="43"/>
      <c r="AF34" s="45"/>
      <c r="AG34" s="43"/>
      <c r="AH34" s="43"/>
      <c r="AI34" s="45"/>
      <c r="AJ34" s="43"/>
      <c r="AK34" s="43"/>
      <c r="AL34" s="45"/>
      <c r="AM34" s="43"/>
      <c r="AN34" s="43"/>
      <c r="AO34" s="43"/>
    </row>
    <row r="35" spans="2:41" hidden="1" thickBot="1" x14ac:dyDescent="0.35">
      <c r="B35" s="7">
        <v>7101</v>
      </c>
      <c r="C35" s="15" t="s">
        <v>29</v>
      </c>
      <c r="D35" s="113"/>
      <c r="E35" s="132"/>
      <c r="F35" s="115"/>
      <c r="G35" s="116"/>
      <c r="H35" s="113"/>
      <c r="I35" s="114"/>
      <c r="J35" s="115"/>
      <c r="K35" s="116"/>
      <c r="L35" s="113"/>
      <c r="M35" s="114"/>
      <c r="N35" s="115"/>
      <c r="O35" s="116"/>
      <c r="P35" s="113"/>
      <c r="Q35" s="132"/>
      <c r="R35" s="115"/>
      <c r="S35" s="116"/>
      <c r="T35" s="113"/>
      <c r="U35" s="114"/>
      <c r="V35" s="115"/>
      <c r="W35" s="116"/>
      <c r="X35" s="113"/>
      <c r="Y35" s="114"/>
      <c r="Z35" s="115"/>
      <c r="AB35" s="134">
        <f t="shared" si="0"/>
        <v>0</v>
      </c>
      <c r="AC35" s="138">
        <v>7101</v>
      </c>
      <c r="AD35" s="43"/>
      <c r="AE35" s="43"/>
      <c r="AF35" s="45"/>
      <c r="AG35" s="43"/>
      <c r="AH35" s="43"/>
      <c r="AI35" s="45"/>
      <c r="AJ35" s="43"/>
      <c r="AK35" s="43"/>
      <c r="AL35" s="45"/>
      <c r="AM35" s="43"/>
      <c r="AN35" s="43"/>
      <c r="AO35" s="43"/>
    </row>
    <row r="36" spans="2:41" ht="30.75" thickBot="1" x14ac:dyDescent="0.3">
      <c r="B36" s="7">
        <v>7110</v>
      </c>
      <c r="C36" s="15" t="s">
        <v>30</v>
      </c>
      <c r="D36" s="113"/>
      <c r="E36" s="132"/>
      <c r="F36" s="115"/>
      <c r="G36" s="116"/>
      <c r="H36" s="113"/>
      <c r="I36" s="114"/>
      <c r="J36" s="115"/>
      <c r="K36" s="116"/>
      <c r="L36" s="113">
        <f>2000*8</f>
        <v>16000</v>
      </c>
      <c r="M36" s="114" t="s">
        <v>280</v>
      </c>
      <c r="N36" s="115"/>
      <c r="O36" s="116"/>
      <c r="P36" s="113">
        <v>15000</v>
      </c>
      <c r="Q36" s="132" t="s">
        <v>219</v>
      </c>
      <c r="R36" s="115"/>
      <c r="S36" s="116"/>
      <c r="T36" s="113"/>
      <c r="U36" s="114"/>
      <c r="V36" s="115"/>
      <c r="W36" s="116"/>
      <c r="X36" s="113"/>
      <c r="Y36" s="114"/>
      <c r="Z36" s="115"/>
      <c r="AB36" s="134">
        <f t="shared" si="0"/>
        <v>31000</v>
      </c>
      <c r="AC36" s="138">
        <v>7110</v>
      </c>
      <c r="AD36" s="43"/>
      <c r="AE36" s="43"/>
      <c r="AF36" s="45"/>
      <c r="AG36" s="43"/>
      <c r="AH36" s="43"/>
      <c r="AI36" s="45"/>
      <c r="AJ36" s="43"/>
      <c r="AK36" s="43"/>
      <c r="AL36" s="45"/>
      <c r="AM36" s="43"/>
      <c r="AN36" s="43"/>
      <c r="AO36" s="43"/>
    </row>
    <row r="37" spans="2:41" ht="15.75" thickBot="1" x14ac:dyDescent="0.3">
      <c r="B37" s="7">
        <v>7141</v>
      </c>
      <c r="C37" s="15" t="s">
        <v>31</v>
      </c>
      <c r="D37" s="113"/>
      <c r="E37" s="132"/>
      <c r="F37" s="115"/>
      <c r="G37" s="116"/>
      <c r="H37" s="113"/>
      <c r="I37" s="114"/>
      <c r="J37" s="115"/>
      <c r="K37" s="116"/>
      <c r="L37" s="113">
        <f>750*10*2</f>
        <v>15000</v>
      </c>
      <c r="M37" s="114" t="s">
        <v>281</v>
      </c>
      <c r="N37" s="115"/>
      <c r="O37" s="116"/>
      <c r="P37" s="113">
        <v>7000</v>
      </c>
      <c r="Q37" s="132" t="s">
        <v>170</v>
      </c>
      <c r="R37" s="115"/>
      <c r="S37" s="116"/>
      <c r="T37" s="113"/>
      <c r="U37" s="114"/>
      <c r="V37" s="115"/>
      <c r="W37" s="116"/>
      <c r="X37" s="113"/>
      <c r="Y37" s="114"/>
      <c r="Z37" s="115"/>
      <c r="AB37" s="134">
        <f t="shared" si="0"/>
        <v>22000</v>
      </c>
      <c r="AC37" s="138">
        <v>7141</v>
      </c>
      <c r="AD37" s="43"/>
      <c r="AE37" s="43"/>
      <c r="AF37" s="45"/>
      <c r="AG37" s="43"/>
      <c r="AH37" s="43"/>
      <c r="AI37" s="45"/>
      <c r="AJ37" s="43"/>
      <c r="AK37" s="43"/>
      <c r="AL37" s="45"/>
      <c r="AM37" s="43"/>
      <c r="AN37" s="43"/>
      <c r="AO37" s="43"/>
    </row>
    <row r="38" spans="2:41" ht="15.75" thickBot="1" x14ac:dyDescent="0.3">
      <c r="B38" s="7">
        <v>7145</v>
      </c>
      <c r="C38" s="15" t="s">
        <v>32</v>
      </c>
      <c r="D38" s="113"/>
      <c r="E38" s="132"/>
      <c r="F38" s="115"/>
      <c r="G38" s="116"/>
      <c r="H38" s="113"/>
      <c r="I38" s="114"/>
      <c r="J38" s="115"/>
      <c r="K38" s="116"/>
      <c r="L38" s="113">
        <v>2000</v>
      </c>
      <c r="M38" s="114" t="s">
        <v>276</v>
      </c>
      <c r="N38" s="115"/>
      <c r="O38" s="116"/>
      <c r="P38" s="113">
        <v>2500</v>
      </c>
      <c r="Q38" s="132" t="s">
        <v>319</v>
      </c>
      <c r="R38" s="115"/>
      <c r="S38" s="116"/>
      <c r="T38" s="113"/>
      <c r="U38" s="114"/>
      <c r="V38" s="115"/>
      <c r="W38" s="116"/>
      <c r="X38" s="113"/>
      <c r="Y38" s="114"/>
      <c r="Z38" s="115"/>
      <c r="AB38" s="134">
        <f t="shared" si="0"/>
        <v>4500</v>
      </c>
      <c r="AC38" s="138">
        <v>7145</v>
      </c>
      <c r="AD38" s="43"/>
      <c r="AE38" s="43"/>
      <c r="AF38" s="45"/>
      <c r="AG38" s="43"/>
      <c r="AH38" s="43"/>
      <c r="AI38" s="45"/>
      <c r="AJ38" s="43"/>
      <c r="AK38" s="43"/>
      <c r="AL38" s="45"/>
      <c r="AM38" s="43"/>
      <c r="AN38" s="43"/>
      <c r="AO38" s="43"/>
    </row>
    <row r="39" spans="2:41" ht="30.75" thickBot="1" x14ac:dyDescent="0.3">
      <c r="B39" s="7">
        <v>7162</v>
      </c>
      <c r="C39" s="15" t="s">
        <v>33</v>
      </c>
      <c r="D39" s="113"/>
      <c r="E39" s="132"/>
      <c r="F39" s="115"/>
      <c r="G39" s="116"/>
      <c r="H39" s="113"/>
      <c r="I39" s="114"/>
      <c r="J39" s="115"/>
      <c r="K39" s="116"/>
      <c r="L39" s="113">
        <f>(100*25)*2+3000+5000</f>
        <v>13000</v>
      </c>
      <c r="M39" s="132" t="s">
        <v>322</v>
      </c>
      <c r="N39" s="115"/>
      <c r="O39" s="116"/>
      <c r="P39" s="113">
        <v>2500</v>
      </c>
      <c r="Q39" s="132" t="s">
        <v>169</v>
      </c>
      <c r="R39" s="115"/>
      <c r="S39" s="116"/>
      <c r="T39" s="113"/>
      <c r="U39" s="114"/>
      <c r="V39" s="115"/>
      <c r="W39" s="116"/>
      <c r="X39" s="113"/>
      <c r="Y39" s="114"/>
      <c r="Z39" s="115"/>
      <c r="AB39" s="134">
        <f t="shared" si="0"/>
        <v>15500</v>
      </c>
      <c r="AC39" s="138">
        <v>7162</v>
      </c>
      <c r="AD39" s="43"/>
      <c r="AE39" s="43"/>
      <c r="AF39" s="45"/>
      <c r="AG39" s="43"/>
      <c r="AH39" s="43"/>
      <c r="AI39" s="45"/>
      <c r="AJ39" s="43"/>
      <c r="AK39" s="43"/>
      <c r="AL39" s="45"/>
      <c r="AM39" s="43"/>
      <c r="AN39" s="43"/>
      <c r="AO39" s="43"/>
    </row>
    <row r="40" spans="2:41" hidden="1" thickBot="1" x14ac:dyDescent="0.35">
      <c r="B40" s="7">
        <v>7320</v>
      </c>
      <c r="C40" s="15" t="s">
        <v>34</v>
      </c>
      <c r="D40" s="113"/>
      <c r="E40" s="132"/>
      <c r="F40" s="115"/>
      <c r="G40" s="116"/>
      <c r="H40" s="113"/>
      <c r="I40" s="114"/>
      <c r="J40" s="115"/>
      <c r="K40" s="116"/>
      <c r="L40" s="113"/>
      <c r="M40" s="132"/>
      <c r="N40" s="115"/>
      <c r="O40" s="116"/>
      <c r="P40" s="113"/>
      <c r="Q40" s="132"/>
      <c r="R40" s="115"/>
      <c r="S40" s="116"/>
      <c r="T40" s="113"/>
      <c r="U40" s="114"/>
      <c r="V40" s="115"/>
      <c r="W40" s="116"/>
      <c r="X40" s="113"/>
      <c r="Y40" s="114"/>
      <c r="Z40" s="115"/>
      <c r="AB40" s="134">
        <f t="shared" si="0"/>
        <v>0</v>
      </c>
      <c r="AC40" s="138">
        <v>7320</v>
      </c>
      <c r="AD40" s="43"/>
      <c r="AE40" s="43"/>
      <c r="AF40" s="45"/>
      <c r="AG40" s="43"/>
      <c r="AH40" s="43"/>
      <c r="AI40" s="45"/>
      <c r="AJ40" s="43"/>
      <c r="AK40" s="43"/>
      <c r="AL40" s="45"/>
      <c r="AM40" s="43"/>
      <c r="AN40" s="43"/>
      <c r="AO40" s="43"/>
    </row>
    <row r="41" spans="2:41" hidden="1" thickBot="1" x14ac:dyDescent="0.35">
      <c r="B41" s="7">
        <v>7350</v>
      </c>
      <c r="C41" s="15" t="s">
        <v>35</v>
      </c>
      <c r="D41" s="113"/>
      <c r="E41" s="132"/>
      <c r="F41" s="115"/>
      <c r="G41" s="116"/>
      <c r="H41" s="113"/>
      <c r="I41" s="114"/>
      <c r="J41" s="115"/>
      <c r="K41" s="116"/>
      <c r="L41" s="113"/>
      <c r="M41" s="132"/>
      <c r="N41" s="115"/>
      <c r="O41" s="116"/>
      <c r="P41" s="113"/>
      <c r="Q41" s="132"/>
      <c r="R41" s="115"/>
      <c r="S41" s="116"/>
      <c r="T41" s="113"/>
      <c r="U41" s="114"/>
      <c r="V41" s="115"/>
      <c r="W41" s="116"/>
      <c r="X41" s="113"/>
      <c r="Y41" s="114"/>
      <c r="Z41" s="115"/>
      <c r="AB41" s="134">
        <f t="shared" si="0"/>
        <v>0</v>
      </c>
      <c r="AC41" s="138">
        <v>7350</v>
      </c>
      <c r="AD41" s="43"/>
      <c r="AE41" s="43"/>
      <c r="AF41" s="45"/>
      <c r="AG41" s="43"/>
      <c r="AH41" s="43"/>
      <c r="AI41" s="45"/>
      <c r="AJ41" s="43"/>
      <c r="AK41" s="43"/>
      <c r="AL41" s="45"/>
      <c r="AM41" s="43"/>
      <c r="AN41" s="43"/>
      <c r="AO41" s="43"/>
    </row>
    <row r="42" spans="2:41" ht="30.75" thickBot="1" x14ac:dyDescent="0.3">
      <c r="B42" s="7">
        <v>7400</v>
      </c>
      <c r="C42" s="15" t="s">
        <v>36</v>
      </c>
      <c r="D42" s="113">
        <f>350*9+350*9+400*8.5</f>
        <v>9700</v>
      </c>
      <c r="E42" s="132" t="s">
        <v>320</v>
      </c>
      <c r="F42" s="115"/>
      <c r="G42" s="116"/>
      <c r="H42" s="113"/>
      <c r="I42" s="114"/>
      <c r="J42" s="115"/>
      <c r="K42" s="116"/>
      <c r="L42" s="113"/>
      <c r="M42" s="132"/>
      <c r="N42" s="115"/>
      <c r="O42" s="116"/>
      <c r="P42" s="113"/>
      <c r="Q42" s="132"/>
      <c r="R42" s="115"/>
      <c r="S42" s="116"/>
      <c r="T42" s="113"/>
      <c r="U42" s="114"/>
      <c r="V42" s="115"/>
      <c r="W42" s="116"/>
      <c r="X42" s="113"/>
      <c r="Y42" s="114"/>
      <c r="Z42" s="115"/>
      <c r="AB42" s="134">
        <f t="shared" si="0"/>
        <v>9700</v>
      </c>
      <c r="AC42" s="138">
        <v>7400</v>
      </c>
      <c r="AD42" s="43"/>
      <c r="AE42" s="43"/>
      <c r="AF42" s="45"/>
      <c r="AG42" s="43"/>
      <c r="AH42" s="43"/>
      <c r="AI42" s="45"/>
      <c r="AJ42" s="43"/>
      <c r="AK42" s="43"/>
      <c r="AL42" s="45"/>
      <c r="AM42" s="43"/>
      <c r="AN42" s="43"/>
      <c r="AO42" s="43"/>
    </row>
    <row r="43" spans="2:41" hidden="1" thickBot="1" x14ac:dyDescent="0.35">
      <c r="B43" s="7">
        <v>7411</v>
      </c>
      <c r="C43" s="15" t="s">
        <v>37</v>
      </c>
      <c r="D43" s="113"/>
      <c r="E43" s="132"/>
      <c r="F43" s="115"/>
      <c r="G43" s="116"/>
      <c r="H43" s="113"/>
      <c r="I43" s="114"/>
      <c r="J43" s="115"/>
      <c r="K43" s="116"/>
      <c r="L43" s="113"/>
      <c r="M43" s="132"/>
      <c r="N43" s="115"/>
      <c r="O43" s="116"/>
      <c r="P43" s="113"/>
      <c r="Q43" s="132"/>
      <c r="R43" s="115"/>
      <c r="S43" s="116"/>
      <c r="T43" s="113"/>
      <c r="U43" s="114"/>
      <c r="V43" s="115"/>
      <c r="W43" s="116"/>
      <c r="X43" s="113"/>
      <c r="Y43" s="114"/>
      <c r="Z43" s="115"/>
      <c r="AB43" s="134">
        <f t="shared" si="0"/>
        <v>0</v>
      </c>
      <c r="AC43" s="138">
        <v>7411</v>
      </c>
      <c r="AD43" s="43"/>
      <c r="AE43" s="43"/>
      <c r="AF43" s="45"/>
      <c r="AG43" s="43"/>
      <c r="AH43" s="43"/>
      <c r="AI43" s="45"/>
      <c r="AJ43" s="43"/>
      <c r="AK43" s="43"/>
      <c r="AL43" s="45"/>
      <c r="AM43" s="43"/>
      <c r="AN43" s="43"/>
      <c r="AO43" s="43"/>
    </row>
    <row r="44" spans="2:41" hidden="1" thickBot="1" x14ac:dyDescent="0.35">
      <c r="B44" s="7">
        <v>7420</v>
      </c>
      <c r="C44" s="15" t="s">
        <v>38</v>
      </c>
      <c r="D44" s="113"/>
      <c r="E44" s="132"/>
      <c r="F44" s="115"/>
      <c r="G44" s="116"/>
      <c r="H44" s="113"/>
      <c r="I44" s="114"/>
      <c r="J44" s="115"/>
      <c r="K44" s="116"/>
      <c r="L44" s="113"/>
      <c r="M44" s="132"/>
      <c r="N44" s="115"/>
      <c r="O44" s="116"/>
      <c r="P44" s="113"/>
      <c r="Q44" s="132"/>
      <c r="R44" s="115"/>
      <c r="S44" s="116"/>
      <c r="T44" s="113"/>
      <c r="U44" s="114"/>
      <c r="V44" s="115"/>
      <c r="W44" s="116"/>
      <c r="X44" s="113"/>
      <c r="Y44" s="114"/>
      <c r="Z44" s="115"/>
      <c r="AB44" s="134">
        <f t="shared" si="0"/>
        <v>0</v>
      </c>
      <c r="AC44" s="138">
        <v>7420</v>
      </c>
      <c r="AD44" s="43"/>
      <c r="AE44" s="43"/>
      <c r="AF44" s="45"/>
      <c r="AG44" s="43"/>
      <c r="AH44" s="43"/>
      <c r="AI44" s="45"/>
      <c r="AJ44" s="43"/>
      <c r="AK44" s="43"/>
      <c r="AL44" s="45"/>
      <c r="AM44" s="43"/>
      <c r="AN44" s="43"/>
      <c r="AO44" s="43"/>
    </row>
    <row r="45" spans="2:41" ht="15.75" thickBot="1" x14ac:dyDescent="0.3">
      <c r="B45" s="7">
        <v>7425</v>
      </c>
      <c r="C45" s="15" t="s">
        <v>39</v>
      </c>
      <c r="D45" s="113"/>
      <c r="E45" s="132"/>
      <c r="F45" s="115"/>
      <c r="G45" s="116"/>
      <c r="H45" s="113"/>
      <c r="I45" s="114"/>
      <c r="J45" s="115"/>
      <c r="K45" s="116"/>
      <c r="L45" s="113">
        <v>3000</v>
      </c>
      <c r="M45" s="132"/>
      <c r="N45" s="115"/>
      <c r="O45" s="116"/>
      <c r="P45" s="113"/>
      <c r="Q45" s="132"/>
      <c r="R45" s="115"/>
      <c r="S45" s="116"/>
      <c r="T45" s="113"/>
      <c r="U45" s="114"/>
      <c r="V45" s="115"/>
      <c r="W45" s="116"/>
      <c r="X45" s="113"/>
      <c r="Y45" s="114"/>
      <c r="Z45" s="115"/>
      <c r="AB45" s="134">
        <f t="shared" si="0"/>
        <v>3000</v>
      </c>
      <c r="AC45" s="138">
        <v>7425</v>
      </c>
      <c r="AD45" s="43"/>
      <c r="AE45" s="43"/>
      <c r="AF45" s="45"/>
      <c r="AG45" s="43"/>
      <c r="AH45" s="43"/>
      <c r="AI45" s="45"/>
      <c r="AJ45" s="43"/>
      <c r="AK45" s="43"/>
      <c r="AL45" s="45"/>
      <c r="AM45" s="43"/>
      <c r="AN45" s="43"/>
      <c r="AO45" s="43"/>
    </row>
    <row r="46" spans="2:41" hidden="1" thickBot="1" x14ac:dyDescent="0.35">
      <c r="B46" s="7">
        <v>7430</v>
      </c>
      <c r="C46" s="15" t="s">
        <v>40</v>
      </c>
      <c r="D46" s="113"/>
      <c r="E46" s="132"/>
      <c r="F46" s="115"/>
      <c r="G46" s="116"/>
      <c r="H46" s="113"/>
      <c r="I46" s="114"/>
      <c r="J46" s="115"/>
      <c r="K46" s="116"/>
      <c r="L46" s="113"/>
      <c r="M46" s="132"/>
      <c r="N46" s="115"/>
      <c r="O46" s="116"/>
      <c r="P46" s="113"/>
      <c r="Q46" s="132"/>
      <c r="R46" s="115"/>
      <c r="S46" s="116"/>
      <c r="T46" s="113"/>
      <c r="U46" s="114"/>
      <c r="V46" s="115"/>
      <c r="W46" s="116"/>
      <c r="X46" s="113"/>
      <c r="Y46" s="114"/>
      <c r="Z46" s="115"/>
      <c r="AB46" s="134">
        <f t="shared" si="0"/>
        <v>0</v>
      </c>
      <c r="AC46" s="138">
        <v>7430</v>
      </c>
      <c r="AD46" s="43"/>
      <c r="AE46" s="43"/>
      <c r="AF46" s="45"/>
      <c r="AG46" s="43"/>
      <c r="AH46" s="43"/>
      <c r="AI46" s="45"/>
      <c r="AJ46" s="43"/>
      <c r="AK46" s="43"/>
      <c r="AL46" s="45"/>
      <c r="AM46" s="43"/>
      <c r="AN46" s="43"/>
      <c r="AO46" s="43"/>
    </row>
    <row r="47" spans="2:41" hidden="1" thickBot="1" x14ac:dyDescent="0.35">
      <c r="B47" s="7">
        <v>7500</v>
      </c>
      <c r="C47" s="15" t="s">
        <v>41</v>
      </c>
      <c r="D47" s="113"/>
      <c r="E47" s="132"/>
      <c r="F47" s="115"/>
      <c r="G47" s="116"/>
      <c r="H47" s="113"/>
      <c r="I47" s="114"/>
      <c r="J47" s="115"/>
      <c r="K47" s="116"/>
      <c r="L47" s="113"/>
      <c r="M47" s="132"/>
      <c r="N47" s="115"/>
      <c r="O47" s="116"/>
      <c r="P47" s="113"/>
      <c r="Q47" s="132"/>
      <c r="R47" s="115"/>
      <c r="S47" s="116"/>
      <c r="T47" s="113"/>
      <c r="U47" s="114"/>
      <c r="V47" s="115"/>
      <c r="W47" s="116"/>
      <c r="X47" s="113"/>
      <c r="Y47" s="114"/>
      <c r="Z47" s="115"/>
      <c r="AB47" s="134">
        <f t="shared" si="0"/>
        <v>0</v>
      </c>
      <c r="AC47" s="138">
        <v>7500</v>
      </c>
      <c r="AD47" s="43"/>
      <c r="AE47" s="43"/>
      <c r="AF47" s="45"/>
      <c r="AG47" s="43"/>
      <c r="AH47" s="43"/>
      <c r="AI47" s="45"/>
      <c r="AJ47" s="43"/>
      <c r="AK47" s="43"/>
      <c r="AL47" s="45"/>
      <c r="AM47" s="43"/>
      <c r="AN47" s="43"/>
      <c r="AO47" s="43"/>
    </row>
    <row r="48" spans="2:41" hidden="1" thickBot="1" x14ac:dyDescent="0.35">
      <c r="B48" s="7">
        <v>7746</v>
      </c>
      <c r="C48" s="15" t="s">
        <v>42</v>
      </c>
      <c r="D48" s="113"/>
      <c r="E48" s="132"/>
      <c r="F48" s="115"/>
      <c r="G48" s="116"/>
      <c r="H48" s="113"/>
      <c r="I48" s="114"/>
      <c r="J48" s="115"/>
      <c r="K48" s="116"/>
      <c r="L48" s="113"/>
      <c r="M48" s="132"/>
      <c r="N48" s="115"/>
      <c r="O48" s="116"/>
      <c r="P48" s="113"/>
      <c r="Q48" s="132"/>
      <c r="R48" s="115"/>
      <c r="S48" s="116"/>
      <c r="T48" s="113"/>
      <c r="U48" s="114"/>
      <c r="V48" s="115"/>
      <c r="W48" s="116"/>
      <c r="X48" s="113"/>
      <c r="Y48" s="114"/>
      <c r="Z48" s="115"/>
      <c r="AB48" s="134">
        <f t="shared" si="0"/>
        <v>0</v>
      </c>
      <c r="AC48" s="138">
        <v>7746</v>
      </c>
      <c r="AD48" s="43"/>
      <c r="AE48" s="43"/>
      <c r="AF48" s="45"/>
      <c r="AG48" s="43"/>
      <c r="AH48" s="43"/>
      <c r="AI48" s="45"/>
      <c r="AJ48" s="43"/>
      <c r="AK48" s="43"/>
      <c r="AL48" s="45"/>
      <c r="AM48" s="43"/>
      <c r="AN48" s="43"/>
      <c r="AO48" s="43"/>
    </row>
    <row r="49" spans="2:41" hidden="1" thickBot="1" x14ac:dyDescent="0.35">
      <c r="B49" s="7">
        <v>7770</v>
      </c>
      <c r="C49" s="15" t="s">
        <v>43</v>
      </c>
      <c r="D49" s="113"/>
      <c r="E49" s="132"/>
      <c r="F49" s="115"/>
      <c r="G49" s="116"/>
      <c r="H49" s="113"/>
      <c r="I49" s="114"/>
      <c r="J49" s="115"/>
      <c r="K49" s="116"/>
      <c r="L49" s="113"/>
      <c r="M49" s="132"/>
      <c r="N49" s="115"/>
      <c r="O49" s="116"/>
      <c r="P49" s="113"/>
      <c r="Q49" s="132"/>
      <c r="R49" s="115"/>
      <c r="S49" s="116"/>
      <c r="T49" s="113"/>
      <c r="U49" s="114"/>
      <c r="V49" s="115"/>
      <c r="W49" s="116"/>
      <c r="X49" s="113"/>
      <c r="Y49" s="114"/>
      <c r="Z49" s="115"/>
      <c r="AB49" s="134">
        <f t="shared" si="0"/>
        <v>0</v>
      </c>
      <c r="AC49" s="138">
        <v>7770</v>
      </c>
      <c r="AD49" s="43"/>
      <c r="AE49" s="43"/>
      <c r="AF49" s="45"/>
      <c r="AG49" s="43"/>
      <c r="AH49" s="43"/>
      <c r="AI49" s="45"/>
      <c r="AJ49" s="43"/>
      <c r="AK49" s="43"/>
      <c r="AL49" s="45"/>
      <c r="AM49" s="43"/>
      <c r="AN49" s="43"/>
      <c r="AO49" s="43"/>
    </row>
    <row r="50" spans="2:41" hidden="1" thickBot="1" x14ac:dyDescent="0.35">
      <c r="B50" s="10">
        <v>7775</v>
      </c>
      <c r="C50" s="16" t="s">
        <v>44</v>
      </c>
      <c r="D50" s="117"/>
      <c r="E50" s="192"/>
      <c r="F50" s="119"/>
      <c r="G50" s="116"/>
      <c r="H50" s="117"/>
      <c r="I50" s="118"/>
      <c r="J50" s="119"/>
      <c r="K50" s="116"/>
      <c r="L50" s="117"/>
      <c r="M50" s="192"/>
      <c r="N50" s="119"/>
      <c r="O50" s="116"/>
      <c r="P50" s="117"/>
      <c r="Q50" s="192"/>
      <c r="R50" s="119"/>
      <c r="S50" s="116"/>
      <c r="T50" s="117"/>
      <c r="U50" s="118"/>
      <c r="V50" s="119"/>
      <c r="W50" s="116"/>
      <c r="X50" s="117"/>
      <c r="Y50" s="118"/>
      <c r="Z50" s="119"/>
      <c r="AB50" s="134">
        <f t="shared" si="0"/>
        <v>0</v>
      </c>
      <c r="AC50" s="142">
        <v>7775</v>
      </c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2:41" ht="15.75" thickBot="1" x14ac:dyDescent="0.3">
      <c r="B51" s="32"/>
      <c r="C51" s="33" t="s">
        <v>74</v>
      </c>
      <c r="D51" s="135">
        <f>SUM(D12:D50)</f>
        <v>14720</v>
      </c>
      <c r="E51" s="198"/>
      <c r="F51" s="129">
        <f t="shared" ref="F51" si="5">SUM(F12:F50)</f>
        <v>0</v>
      </c>
      <c r="G51" s="116"/>
      <c r="H51" s="135">
        <f t="shared" ref="H51" si="6">SUM(H12:H50)</f>
        <v>0</v>
      </c>
      <c r="I51" s="135"/>
      <c r="J51" s="129">
        <v>58347.51</v>
      </c>
      <c r="K51" s="116"/>
      <c r="L51" s="135">
        <f t="shared" ref="L51" si="7">SUM(L12:L50)</f>
        <v>70000</v>
      </c>
      <c r="M51" s="198"/>
      <c r="N51" s="129"/>
      <c r="O51" s="116"/>
      <c r="P51" s="135">
        <f t="shared" ref="P51" si="8">SUM(P12:P50)</f>
        <v>27000</v>
      </c>
      <c r="Q51" s="198"/>
      <c r="R51" s="129">
        <v>965.8</v>
      </c>
      <c r="S51" s="116"/>
      <c r="T51" s="135">
        <f t="shared" ref="T51" si="9">SUM(T12:T50)</f>
        <v>0</v>
      </c>
      <c r="U51" s="135"/>
      <c r="V51" s="129"/>
      <c r="W51" s="116"/>
      <c r="X51" s="135">
        <f t="shared" ref="X51" si="10">SUM(X12:X50)</f>
        <v>0</v>
      </c>
      <c r="Y51" s="135"/>
      <c r="Z51" s="129"/>
      <c r="AB51" s="134">
        <f>X51+T51+P51+H51+D51+L51</f>
        <v>111720</v>
      </c>
      <c r="AC51" s="139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2:41" ht="15.75" thickBot="1" x14ac:dyDescent="0.3">
      <c r="C52" s="18" t="s">
        <v>51</v>
      </c>
      <c r="D52" s="129">
        <f>D11-D51</f>
        <v>-14720</v>
      </c>
      <c r="E52" s="193"/>
      <c r="F52" s="129">
        <f t="shared" ref="F52" si="11">F11-F51</f>
        <v>0</v>
      </c>
      <c r="G52" s="116"/>
      <c r="H52" s="129">
        <f t="shared" ref="H52" si="12">H11-H51</f>
        <v>0</v>
      </c>
      <c r="I52" s="129"/>
      <c r="J52" s="129">
        <f t="shared" ref="J52:Z52" si="13">J11-J51</f>
        <v>-58347.51</v>
      </c>
      <c r="K52" s="116"/>
      <c r="L52" s="129">
        <f t="shared" ref="L52" si="14">L11-L51</f>
        <v>-67000</v>
      </c>
      <c r="M52" s="193"/>
      <c r="N52" s="129">
        <f t="shared" ref="N52" si="15">N11-N51</f>
        <v>0</v>
      </c>
      <c r="O52" s="116"/>
      <c r="P52" s="129">
        <f t="shared" ref="P52" si="16">P11-P51</f>
        <v>-27000</v>
      </c>
      <c r="Q52" s="193"/>
      <c r="R52" s="129">
        <f t="shared" si="13"/>
        <v>-965.8</v>
      </c>
      <c r="S52" s="116"/>
      <c r="T52" s="129">
        <f t="shared" ref="T52" si="17">T11-T51</f>
        <v>0</v>
      </c>
      <c r="U52" s="129"/>
      <c r="V52" s="129">
        <f t="shared" si="13"/>
        <v>0</v>
      </c>
      <c r="W52" s="116"/>
      <c r="X52" s="129">
        <f t="shared" ref="X52" si="18">X11-X51</f>
        <v>0</v>
      </c>
      <c r="Y52" s="129"/>
      <c r="Z52" s="129">
        <f t="shared" si="13"/>
        <v>0</v>
      </c>
      <c r="AA52" s="116"/>
      <c r="AB52" s="129">
        <f>AB11-AB51</f>
        <v>-108720</v>
      </c>
      <c r="AC52" s="144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2:41" x14ac:dyDescent="0.25">
      <c r="D53" s="19"/>
      <c r="E53" s="195"/>
      <c r="F53" s="19"/>
      <c r="G53" s="9"/>
      <c r="I53" s="1"/>
      <c r="K53" s="9"/>
      <c r="M53" s="197"/>
      <c r="O53" s="9"/>
      <c r="P53" s="1"/>
      <c r="W53" s="9"/>
      <c r="AB53" s="1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2:41" x14ac:dyDescent="0.25">
      <c r="H54" s="268"/>
      <c r="I54" s="268"/>
      <c r="J54" s="268"/>
      <c r="L54" s="268"/>
      <c r="M54" s="268"/>
      <c r="N54" s="268"/>
      <c r="P54" s="269" t="s">
        <v>154</v>
      </c>
      <c r="Q54" s="269"/>
      <c r="R54" s="269"/>
      <c r="T54" s="270"/>
      <c r="U54" s="270"/>
      <c r="V54" s="270"/>
    </row>
    <row r="55" spans="2:41" x14ac:dyDescent="0.25">
      <c r="H55" s="268"/>
      <c r="I55" s="268"/>
      <c r="J55" s="268"/>
      <c r="L55" s="268"/>
      <c r="M55" s="268"/>
      <c r="N55" s="268"/>
      <c r="P55" s="269"/>
      <c r="Q55" s="269"/>
      <c r="R55" s="269"/>
      <c r="T55" s="270"/>
      <c r="U55" s="270"/>
      <c r="V55" s="270"/>
    </row>
    <row r="56" spans="2:41" x14ac:dyDescent="0.25">
      <c r="H56" s="268"/>
      <c r="I56" s="268"/>
      <c r="J56" s="268"/>
      <c r="L56" s="268"/>
      <c r="M56" s="268"/>
      <c r="N56" s="268"/>
      <c r="P56" s="269"/>
      <c r="Q56" s="269"/>
      <c r="R56" s="269"/>
      <c r="T56" s="270"/>
      <c r="U56" s="270"/>
      <c r="V56" s="270"/>
    </row>
    <row r="57" spans="2:41" x14ac:dyDescent="0.25">
      <c r="H57" s="268"/>
      <c r="I57" s="268"/>
      <c r="J57" s="268"/>
      <c r="L57" s="268"/>
      <c r="M57" s="268"/>
      <c r="N57" s="268"/>
      <c r="P57" s="269"/>
      <c r="Q57" s="269"/>
      <c r="R57" s="269"/>
      <c r="T57" s="270"/>
      <c r="U57" s="270"/>
      <c r="V57" s="270"/>
    </row>
    <row r="58" spans="2:41" x14ac:dyDescent="0.25">
      <c r="H58" s="268"/>
      <c r="I58" s="268"/>
      <c r="J58" s="268"/>
      <c r="L58" s="268"/>
      <c r="M58" s="268"/>
      <c r="N58" s="268"/>
      <c r="P58" s="269"/>
      <c r="Q58" s="269"/>
      <c r="R58" s="269"/>
      <c r="T58" s="270"/>
      <c r="U58" s="270"/>
      <c r="V58" s="270"/>
    </row>
    <row r="59" spans="2:41" x14ac:dyDescent="0.25">
      <c r="H59" s="268"/>
      <c r="I59" s="268"/>
      <c r="J59" s="268"/>
      <c r="L59" s="268"/>
      <c r="M59" s="268"/>
      <c r="N59" s="268"/>
      <c r="P59" s="269"/>
      <c r="Q59" s="269"/>
      <c r="R59" s="269"/>
      <c r="T59" s="270"/>
      <c r="U59" s="270"/>
      <c r="V59" s="270"/>
    </row>
    <row r="60" spans="2:41" x14ac:dyDescent="0.25">
      <c r="H60" s="268"/>
      <c r="I60" s="268"/>
      <c r="J60" s="268"/>
      <c r="L60" s="268"/>
      <c r="M60" s="268"/>
      <c r="N60" s="268"/>
      <c r="P60" s="269"/>
      <c r="Q60" s="269"/>
      <c r="R60" s="269"/>
      <c r="T60" s="270"/>
      <c r="U60" s="270"/>
      <c r="V60" s="270"/>
    </row>
    <row r="61" spans="2:41" x14ac:dyDescent="0.25">
      <c r="H61" s="268"/>
      <c r="I61" s="268"/>
      <c r="J61" s="268"/>
      <c r="L61" s="268"/>
      <c r="M61" s="268"/>
      <c r="N61" s="268"/>
      <c r="P61" s="269"/>
      <c r="Q61" s="269"/>
      <c r="R61" s="269"/>
      <c r="T61" s="270"/>
      <c r="U61" s="270"/>
      <c r="V61" s="270"/>
    </row>
    <row r="62" spans="2:41" x14ac:dyDescent="0.25">
      <c r="H62" s="268"/>
      <c r="I62" s="268"/>
      <c r="J62" s="268"/>
      <c r="L62" s="268"/>
      <c r="M62" s="268"/>
      <c r="N62" s="268"/>
      <c r="P62" s="269"/>
      <c r="Q62" s="269"/>
      <c r="R62" s="269"/>
      <c r="T62" s="270"/>
      <c r="U62" s="270"/>
      <c r="V62" s="270"/>
    </row>
    <row r="63" spans="2:41" x14ac:dyDescent="0.25">
      <c r="H63" s="268"/>
      <c r="I63" s="268"/>
      <c r="J63" s="268"/>
      <c r="L63" s="268"/>
      <c r="M63" s="268"/>
      <c r="N63" s="268"/>
      <c r="P63" s="269"/>
      <c r="Q63" s="269"/>
      <c r="R63" s="269"/>
      <c r="T63" s="270"/>
      <c r="U63" s="270"/>
      <c r="V63" s="270"/>
    </row>
    <row r="64" spans="2:41" x14ac:dyDescent="0.25">
      <c r="H64" s="268"/>
      <c r="I64" s="268"/>
      <c r="J64" s="268"/>
      <c r="L64" s="268"/>
      <c r="M64" s="268"/>
      <c r="N64" s="268"/>
      <c r="P64" s="269"/>
      <c r="Q64" s="269"/>
      <c r="R64" s="269"/>
      <c r="T64" s="270"/>
      <c r="U64" s="270"/>
      <c r="V64" s="270"/>
    </row>
    <row r="65" spans="8:18" x14ac:dyDescent="0.25">
      <c r="H65" s="268"/>
      <c r="I65" s="268"/>
      <c r="J65" s="268"/>
      <c r="L65" s="268"/>
      <c r="M65" s="268"/>
      <c r="N65" s="268"/>
      <c r="P65" s="269"/>
      <c r="Q65" s="269"/>
      <c r="R65" s="269"/>
    </row>
    <row r="66" spans="8:18" x14ac:dyDescent="0.25">
      <c r="H66" s="268"/>
      <c r="I66" s="268"/>
      <c r="J66" s="268"/>
      <c r="L66" s="268"/>
      <c r="M66" s="268"/>
      <c r="N66" s="268"/>
      <c r="P66" s="269"/>
      <c r="Q66" s="269"/>
      <c r="R66" s="269"/>
    </row>
  </sheetData>
  <sheetProtection algorithmName="SHA-512" hashValue="utBUsx58MMr6wfWShtDbNHs8Cj/E+bDH1OsebbDgRrZgGZiWaEunPNQhMyg/7ypAhKUDqzqyL7EDfBPKcBflNA==" saltValue="plL3ONwlnuHUcu8uddN7mw==" spinCount="100000" sheet="1" objects="1" scenarios="1" selectLockedCells="1"/>
  <protectedRanges>
    <protectedRange sqref="AF16 AI16 AL16" name="Område2_2"/>
    <protectedRange password="8B3B" sqref="AF18 AI18 AL18" name="Område1_2"/>
    <protectedRange sqref="D17 H17:I17 P17:Q17 T17:U17 X17:Y17 L17:M17" name="Område2_2_2"/>
    <protectedRange password="8B3B" sqref="D19 H19:I19 P19:Q19 T19:U19 X19:Y19 L19:M19" name="Område1_2_2"/>
  </protectedRanges>
  <mergeCells count="12">
    <mergeCell ref="Y1:Z1"/>
    <mergeCell ref="B2:C2"/>
    <mergeCell ref="E1:F1"/>
    <mergeCell ref="B1:C1"/>
    <mergeCell ref="Q1:R1"/>
    <mergeCell ref="P54:R66"/>
    <mergeCell ref="H54:J66"/>
    <mergeCell ref="I1:J1"/>
    <mergeCell ref="T54:V64"/>
    <mergeCell ref="U1:V1"/>
    <mergeCell ref="M1:N1"/>
    <mergeCell ref="L54:N66"/>
  </mergeCell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2"/>
  <sheetViews>
    <sheetView zoomScale="70" zoomScaleNormal="70" zoomScalePageLayoutView="125" workbookViewId="0">
      <pane xSplit="3" topLeftCell="AE1" activePane="topRight" state="frozen"/>
      <selection pane="topRight" activeCell="AJ34" sqref="AJ34"/>
    </sheetView>
  </sheetViews>
  <sheetFormatPr baseColWidth="10" defaultColWidth="11.42578125" defaultRowHeight="15" x14ac:dyDescent="0.25"/>
  <cols>
    <col min="1" max="1" width="9.42578125" style="1" bestFit="1" customWidth="1"/>
    <col min="2" max="2" width="6.42578125" style="1" bestFit="1" customWidth="1"/>
    <col min="3" max="3" width="37.5703125" style="1" bestFit="1" customWidth="1"/>
    <col min="4" max="4" width="17.140625" style="1" bestFit="1" customWidth="1"/>
    <col min="5" max="5" width="16.42578125" style="1" bestFit="1" customWidth="1"/>
    <col min="6" max="6" width="19.140625" style="9" bestFit="1" customWidth="1"/>
    <col min="7" max="7" width="3.42578125" style="1" customWidth="1"/>
    <col min="8" max="8" width="42.5703125" style="1" bestFit="1" customWidth="1"/>
    <col min="9" max="9" width="16.42578125" style="1" bestFit="1" customWidth="1"/>
    <col min="10" max="10" width="19.140625" style="9" bestFit="1" customWidth="1"/>
    <col min="11" max="11" width="3.42578125" style="1" customWidth="1"/>
    <col min="12" max="12" width="23" style="1" bestFit="1" customWidth="1"/>
    <col min="13" max="13" width="16.42578125" style="1" bestFit="1" customWidth="1"/>
    <col min="14" max="14" width="19.140625" style="9" bestFit="1" customWidth="1"/>
    <col min="15" max="15" width="3.42578125" style="1" customWidth="1"/>
    <col min="16" max="16" width="17.140625" style="1" bestFit="1" customWidth="1"/>
    <col min="17" max="17" width="16.42578125" style="1" bestFit="1" customWidth="1"/>
    <col min="18" max="18" width="19.140625" style="9" bestFit="1" customWidth="1"/>
    <col min="19" max="19" width="3.42578125" style="1" customWidth="1"/>
    <col min="20" max="20" width="17.140625" style="1" bestFit="1" customWidth="1"/>
    <col min="21" max="21" width="16.42578125" style="1" bestFit="1" customWidth="1"/>
    <col min="22" max="22" width="19.140625" style="9" bestFit="1" customWidth="1"/>
    <col min="23" max="23" width="3.42578125" style="1" customWidth="1"/>
    <col min="24" max="24" width="17.140625" style="1" bestFit="1" customWidth="1"/>
    <col min="25" max="25" width="16.42578125" style="1" bestFit="1" customWidth="1"/>
    <col min="26" max="26" width="19.140625" style="9" bestFit="1" customWidth="1"/>
    <col min="27" max="27" width="3.42578125" style="1" customWidth="1"/>
    <col min="28" max="28" width="17.140625" style="1" bestFit="1" customWidth="1"/>
    <col min="29" max="29" width="24.28515625" style="1" bestFit="1" customWidth="1"/>
    <col min="30" max="30" width="19.140625" style="9" bestFit="1" customWidth="1"/>
    <col min="31" max="31" width="3.42578125" style="1" customWidth="1"/>
    <col min="32" max="32" width="17.140625" style="1" bestFit="1" customWidth="1"/>
    <col min="33" max="33" width="30.7109375" style="1" bestFit="1" customWidth="1"/>
    <col min="34" max="34" width="19.140625" style="9" bestFit="1" customWidth="1"/>
    <col min="35" max="35" width="3.42578125" style="1" customWidth="1"/>
    <col min="36" max="36" width="17.140625" style="1" bestFit="1" customWidth="1"/>
    <col min="37" max="37" width="16.42578125" style="1" bestFit="1" customWidth="1"/>
    <col min="38" max="38" width="19.140625" style="9" bestFit="1" customWidth="1"/>
    <col min="39" max="39" width="3.42578125" style="1" customWidth="1"/>
    <col min="40" max="40" width="17.140625" style="1" bestFit="1" customWidth="1"/>
    <col min="41" max="41" width="23.42578125" style="1" bestFit="1" customWidth="1"/>
    <col min="42" max="42" width="19.140625" style="9" bestFit="1" customWidth="1"/>
    <col min="43" max="43" width="3.42578125" style="1" customWidth="1"/>
    <col min="44" max="44" width="17.140625" style="1" bestFit="1" customWidth="1"/>
    <col min="45" max="45" width="16.42578125" style="1" bestFit="1" customWidth="1"/>
    <col min="46" max="46" width="19.140625" style="9" bestFit="1" customWidth="1"/>
    <col min="47" max="47" width="3.42578125" style="1" customWidth="1"/>
    <col min="48" max="48" width="17.140625" style="1" bestFit="1" customWidth="1"/>
    <col min="49" max="49" width="16.42578125" style="1" bestFit="1" customWidth="1"/>
    <col min="50" max="50" width="19.140625" style="9" bestFit="1" customWidth="1"/>
    <col min="51" max="51" width="4.85546875" style="1" customWidth="1"/>
    <col min="52" max="52" width="16.5703125" style="1" bestFit="1" customWidth="1"/>
    <col min="53" max="53" width="8.5703125" style="1" bestFit="1" customWidth="1"/>
    <col min="54" max="16384" width="11.42578125" style="1"/>
  </cols>
  <sheetData>
    <row r="1" spans="1:53" ht="15.75" thickBot="1" x14ac:dyDescent="0.3">
      <c r="A1" s="39"/>
      <c r="B1" s="260" t="s">
        <v>76</v>
      </c>
      <c r="C1" s="261"/>
      <c r="D1" s="25">
        <v>40000</v>
      </c>
      <c r="E1" s="264" t="s">
        <v>53</v>
      </c>
      <c r="F1" s="265"/>
      <c r="G1" s="2"/>
      <c r="H1" s="25">
        <v>41000</v>
      </c>
      <c r="I1" s="264" t="s">
        <v>58</v>
      </c>
      <c r="J1" s="265" t="s">
        <v>54</v>
      </c>
      <c r="K1" s="2"/>
      <c r="L1" s="25">
        <v>42000</v>
      </c>
      <c r="M1" s="264" t="s">
        <v>59</v>
      </c>
      <c r="N1" s="265"/>
      <c r="O1" s="2"/>
      <c r="P1" s="25">
        <v>42500</v>
      </c>
      <c r="Q1" s="264" t="s">
        <v>194</v>
      </c>
      <c r="R1" s="265"/>
      <c r="S1" s="2"/>
      <c r="T1" s="25">
        <v>42100</v>
      </c>
      <c r="U1" s="264" t="s">
        <v>265</v>
      </c>
      <c r="V1" s="265"/>
      <c r="W1" s="2"/>
      <c r="X1" s="25">
        <v>42200</v>
      </c>
      <c r="Y1" s="264" t="s">
        <v>283</v>
      </c>
      <c r="Z1" s="265"/>
      <c r="AA1" s="2"/>
      <c r="AB1" s="25">
        <v>43000</v>
      </c>
      <c r="AC1" s="264" t="s">
        <v>60</v>
      </c>
      <c r="AD1" s="265"/>
      <c r="AE1" s="2"/>
      <c r="AF1" s="25">
        <v>44000</v>
      </c>
      <c r="AG1" s="264" t="s">
        <v>61</v>
      </c>
      <c r="AH1" s="265"/>
      <c r="AI1" s="2"/>
      <c r="AJ1" s="25">
        <v>45000</v>
      </c>
      <c r="AK1" s="264" t="s">
        <v>267</v>
      </c>
      <c r="AL1" s="265"/>
      <c r="AM1" s="2"/>
      <c r="AN1" s="25">
        <v>46000</v>
      </c>
      <c r="AO1" s="264" t="s">
        <v>62</v>
      </c>
      <c r="AP1" s="265"/>
      <c r="AQ1" s="2"/>
      <c r="AR1" s="25">
        <v>46001</v>
      </c>
      <c r="AS1" s="264" t="s">
        <v>249</v>
      </c>
      <c r="AT1" s="265"/>
      <c r="AU1" s="2"/>
      <c r="AV1" s="25"/>
      <c r="AW1" s="264"/>
      <c r="AX1" s="265"/>
    </row>
    <row r="2" spans="1:53" thickBot="1" x14ac:dyDescent="0.35">
      <c r="A2" s="38"/>
      <c r="B2" s="260" t="s">
        <v>75</v>
      </c>
      <c r="C2" s="261"/>
      <c r="D2" s="20"/>
      <c r="E2" s="21"/>
      <c r="F2" s="22"/>
      <c r="G2" s="3"/>
      <c r="H2" s="20"/>
      <c r="I2" s="21"/>
      <c r="J2" s="22"/>
      <c r="K2" s="3"/>
      <c r="L2" s="20"/>
      <c r="M2" s="21"/>
      <c r="N2" s="22"/>
      <c r="O2" s="3"/>
      <c r="P2" s="20"/>
      <c r="Q2" s="21"/>
      <c r="R2" s="22"/>
      <c r="S2" s="3"/>
      <c r="T2" s="20"/>
      <c r="U2" s="21"/>
      <c r="V2" s="22"/>
      <c r="W2" s="3"/>
      <c r="X2" s="20"/>
      <c r="Y2" s="21"/>
      <c r="Z2" s="22"/>
      <c r="AA2" s="3"/>
      <c r="AB2" s="20"/>
      <c r="AC2" s="21"/>
      <c r="AD2" s="22"/>
      <c r="AE2" s="3"/>
      <c r="AF2" s="20"/>
      <c r="AG2" s="21"/>
      <c r="AH2" s="22"/>
      <c r="AI2" s="3"/>
      <c r="AJ2" s="20"/>
      <c r="AK2" s="21"/>
      <c r="AL2" s="22"/>
      <c r="AM2" s="3"/>
      <c r="AN2" s="20"/>
      <c r="AO2" s="21"/>
      <c r="AP2" s="22"/>
      <c r="AQ2" s="3"/>
      <c r="AR2" s="20"/>
      <c r="AS2" s="21"/>
      <c r="AT2" s="22"/>
      <c r="AU2" s="3"/>
      <c r="AV2" s="20"/>
      <c r="AW2" s="21"/>
      <c r="AX2" s="22"/>
    </row>
    <row r="3" spans="1:53" thickBot="1" x14ac:dyDescent="0.35">
      <c r="B3" s="4" t="s">
        <v>0</v>
      </c>
      <c r="C3" s="24" t="s">
        <v>47</v>
      </c>
      <c r="D3" s="35" t="s">
        <v>217</v>
      </c>
      <c r="E3" s="36" t="s">
        <v>70</v>
      </c>
      <c r="F3" s="37" t="s">
        <v>218</v>
      </c>
      <c r="G3" s="5"/>
      <c r="H3" s="35" t="s">
        <v>217</v>
      </c>
      <c r="I3" s="36" t="s">
        <v>70</v>
      </c>
      <c r="J3" s="37" t="s">
        <v>218</v>
      </c>
      <c r="K3" s="5"/>
      <c r="L3" s="35" t="s">
        <v>217</v>
      </c>
      <c r="M3" s="36" t="s">
        <v>70</v>
      </c>
      <c r="N3" s="37" t="s">
        <v>218</v>
      </c>
      <c r="O3" s="5"/>
      <c r="P3" s="35" t="s">
        <v>217</v>
      </c>
      <c r="Q3" s="36" t="s">
        <v>70</v>
      </c>
      <c r="R3" s="37" t="s">
        <v>218</v>
      </c>
      <c r="S3" s="5"/>
      <c r="T3" s="35" t="s">
        <v>217</v>
      </c>
      <c r="U3" s="36" t="s">
        <v>70</v>
      </c>
      <c r="V3" s="37" t="s">
        <v>218</v>
      </c>
      <c r="W3" s="5"/>
      <c r="X3" s="35" t="s">
        <v>217</v>
      </c>
      <c r="Y3" s="36" t="s">
        <v>70</v>
      </c>
      <c r="Z3" s="37" t="s">
        <v>218</v>
      </c>
      <c r="AA3" s="5"/>
      <c r="AB3" s="35" t="s">
        <v>217</v>
      </c>
      <c r="AC3" s="36" t="s">
        <v>70</v>
      </c>
      <c r="AD3" s="37" t="s">
        <v>218</v>
      </c>
      <c r="AE3" s="5"/>
      <c r="AF3" s="35" t="s">
        <v>217</v>
      </c>
      <c r="AG3" s="36" t="s">
        <v>70</v>
      </c>
      <c r="AH3" s="37" t="s">
        <v>218</v>
      </c>
      <c r="AI3" s="5"/>
      <c r="AJ3" s="35" t="s">
        <v>217</v>
      </c>
      <c r="AK3" s="36" t="s">
        <v>70</v>
      </c>
      <c r="AL3" s="37" t="s">
        <v>218</v>
      </c>
      <c r="AM3" s="5"/>
      <c r="AN3" s="35" t="s">
        <v>217</v>
      </c>
      <c r="AO3" s="36" t="s">
        <v>70</v>
      </c>
      <c r="AP3" s="37" t="s">
        <v>218</v>
      </c>
      <c r="AQ3" s="5"/>
      <c r="AR3" s="35" t="s">
        <v>217</v>
      </c>
      <c r="AS3" s="36" t="s">
        <v>70</v>
      </c>
      <c r="AT3" s="37" t="s">
        <v>218</v>
      </c>
      <c r="AU3" s="5"/>
      <c r="AV3" s="35" t="s">
        <v>217</v>
      </c>
      <c r="AW3" s="36" t="s">
        <v>70</v>
      </c>
      <c r="AX3" s="37" t="s">
        <v>218</v>
      </c>
      <c r="AZ3" s="133" t="s">
        <v>52</v>
      </c>
      <c r="BA3" s="137" t="s">
        <v>0</v>
      </c>
    </row>
    <row r="4" spans="1:53" thickBot="1" x14ac:dyDescent="0.35">
      <c r="A4" s="6" t="s">
        <v>45</v>
      </c>
      <c r="B4" s="7">
        <v>3100</v>
      </c>
      <c r="C4" s="23" t="s">
        <v>3</v>
      </c>
      <c r="D4" s="113"/>
      <c r="E4" s="114"/>
      <c r="F4" s="115"/>
      <c r="G4" s="116"/>
      <c r="H4" s="113"/>
      <c r="I4" s="114"/>
      <c r="J4" s="115"/>
      <c r="K4" s="116"/>
      <c r="L4" s="113"/>
      <c r="M4" s="114"/>
      <c r="N4" s="115"/>
      <c r="O4" s="116"/>
      <c r="P4" s="113">
        <v>7889</v>
      </c>
      <c r="Q4" s="114"/>
      <c r="R4" s="115"/>
      <c r="S4" s="116"/>
      <c r="T4" s="113"/>
      <c r="U4" s="114"/>
      <c r="V4" s="115"/>
      <c r="W4" s="116"/>
      <c r="X4" s="113"/>
      <c r="Y4" s="114"/>
      <c r="Z4" s="115"/>
      <c r="AA4" s="116"/>
      <c r="AB4" s="113"/>
      <c r="AC4" s="114"/>
      <c r="AD4" s="115"/>
      <c r="AE4" s="116"/>
      <c r="AF4" s="113"/>
      <c r="AG4" s="114"/>
      <c r="AH4" s="115"/>
      <c r="AI4" s="116"/>
      <c r="AJ4" s="113"/>
      <c r="AK4" s="114"/>
      <c r="AL4" s="115"/>
      <c r="AM4" s="116"/>
      <c r="AN4" s="113"/>
      <c r="AO4" s="114"/>
      <c r="AP4" s="115"/>
      <c r="AQ4" s="116"/>
      <c r="AR4" s="113"/>
      <c r="AS4" s="114"/>
      <c r="AT4" s="115"/>
      <c r="AU4" s="116"/>
      <c r="AV4" s="113"/>
      <c r="AW4" s="114"/>
      <c r="AX4" s="115"/>
      <c r="AZ4" s="134">
        <f t="shared" ref="AZ4:AZ51" si="0">AV4+AR4+AN4+AJ4+AF4+AB4+T4+P4+L4+H4+D4+X4</f>
        <v>7889</v>
      </c>
      <c r="BA4" s="138">
        <v>3100</v>
      </c>
    </row>
    <row r="5" spans="1:53" hidden="1" thickBot="1" x14ac:dyDescent="0.35">
      <c r="B5" s="7">
        <v>3120</v>
      </c>
      <c r="C5" s="8" t="s">
        <v>4</v>
      </c>
      <c r="D5" s="113"/>
      <c r="E5" s="114"/>
      <c r="F5" s="115"/>
      <c r="G5" s="116"/>
      <c r="H5" s="113"/>
      <c r="I5" s="114"/>
      <c r="J5" s="115"/>
      <c r="K5" s="116"/>
      <c r="L5" s="113"/>
      <c r="M5" s="114"/>
      <c r="N5" s="115"/>
      <c r="O5" s="116"/>
      <c r="P5" s="113"/>
      <c r="Q5" s="114"/>
      <c r="R5" s="115"/>
      <c r="S5" s="116"/>
      <c r="T5" s="113"/>
      <c r="U5" s="114"/>
      <c r="V5" s="115"/>
      <c r="W5" s="116"/>
      <c r="X5" s="113"/>
      <c r="Y5" s="114"/>
      <c r="Z5" s="115"/>
      <c r="AA5" s="116"/>
      <c r="AB5" s="113"/>
      <c r="AC5" s="114"/>
      <c r="AD5" s="115"/>
      <c r="AE5" s="116"/>
      <c r="AF5" s="113"/>
      <c r="AG5" s="114"/>
      <c r="AH5" s="115"/>
      <c r="AI5" s="116"/>
      <c r="AJ5" s="113"/>
      <c r="AK5" s="114"/>
      <c r="AL5" s="115"/>
      <c r="AM5" s="116"/>
      <c r="AN5" s="113"/>
      <c r="AO5" s="114"/>
      <c r="AP5" s="115"/>
      <c r="AQ5" s="116"/>
      <c r="AR5" s="113"/>
      <c r="AS5" s="114"/>
      <c r="AT5" s="115"/>
      <c r="AU5" s="116"/>
      <c r="AV5" s="113"/>
      <c r="AW5" s="114"/>
      <c r="AX5" s="115"/>
      <c r="AZ5" s="134">
        <f t="shared" si="0"/>
        <v>0</v>
      </c>
      <c r="BA5" s="138">
        <v>3120</v>
      </c>
    </row>
    <row r="6" spans="1:53" hidden="1" thickBot="1" x14ac:dyDescent="0.35">
      <c r="B6" s="7">
        <v>3400</v>
      </c>
      <c r="C6" s="8" t="s">
        <v>5</v>
      </c>
      <c r="D6" s="113"/>
      <c r="E6" s="114"/>
      <c r="F6" s="115"/>
      <c r="G6" s="116"/>
      <c r="H6" s="113"/>
      <c r="I6" s="114"/>
      <c r="J6" s="115"/>
      <c r="K6" s="116"/>
      <c r="L6" s="113"/>
      <c r="M6" s="114"/>
      <c r="N6" s="115"/>
      <c r="O6" s="116"/>
      <c r="P6" s="113"/>
      <c r="Q6" s="114"/>
      <c r="R6" s="115"/>
      <c r="S6" s="116"/>
      <c r="T6" s="113"/>
      <c r="U6" s="114"/>
      <c r="V6" s="115"/>
      <c r="W6" s="116"/>
      <c r="X6" s="113"/>
      <c r="Y6" s="114"/>
      <c r="Z6" s="115"/>
      <c r="AA6" s="116"/>
      <c r="AB6" s="113"/>
      <c r="AC6" s="114"/>
      <c r="AD6" s="115"/>
      <c r="AE6" s="116"/>
      <c r="AF6" s="113"/>
      <c r="AG6" s="114"/>
      <c r="AH6" s="115"/>
      <c r="AI6" s="116"/>
      <c r="AJ6" s="113"/>
      <c r="AK6" s="114"/>
      <c r="AL6" s="115"/>
      <c r="AM6" s="116"/>
      <c r="AN6" s="113"/>
      <c r="AO6" s="114"/>
      <c r="AP6" s="115"/>
      <c r="AQ6" s="116"/>
      <c r="AR6" s="113"/>
      <c r="AS6" s="114"/>
      <c r="AT6" s="115"/>
      <c r="AU6" s="116"/>
      <c r="AV6" s="113"/>
      <c r="AW6" s="114"/>
      <c r="AX6" s="115"/>
      <c r="AZ6" s="134">
        <f t="shared" si="0"/>
        <v>0</v>
      </c>
      <c r="BA6" s="138">
        <v>3400</v>
      </c>
    </row>
    <row r="7" spans="1:53" hidden="1" thickBot="1" x14ac:dyDescent="0.35">
      <c r="B7" s="7">
        <v>3410</v>
      </c>
      <c r="C7" s="8" t="s">
        <v>6</v>
      </c>
      <c r="D7" s="113"/>
      <c r="E7" s="114"/>
      <c r="F7" s="115"/>
      <c r="G7" s="116"/>
      <c r="H7" s="113"/>
      <c r="I7" s="114"/>
      <c r="J7" s="115"/>
      <c r="K7" s="116"/>
      <c r="L7" s="113"/>
      <c r="M7" s="114"/>
      <c r="N7" s="115"/>
      <c r="O7" s="116"/>
      <c r="P7" s="113"/>
      <c r="Q7" s="114"/>
      <c r="R7" s="115"/>
      <c r="S7" s="116"/>
      <c r="T7" s="113"/>
      <c r="U7" s="114"/>
      <c r="V7" s="115"/>
      <c r="W7" s="116"/>
      <c r="X7" s="113"/>
      <c r="Y7" s="114"/>
      <c r="Z7" s="115"/>
      <c r="AA7" s="116"/>
      <c r="AB7" s="113"/>
      <c r="AC7" s="114"/>
      <c r="AD7" s="115"/>
      <c r="AE7" s="116"/>
      <c r="AF7" s="113"/>
      <c r="AG7" s="114"/>
      <c r="AH7" s="115"/>
      <c r="AI7" s="116"/>
      <c r="AJ7" s="113"/>
      <c r="AK7" s="114"/>
      <c r="AL7" s="115"/>
      <c r="AM7" s="116"/>
      <c r="AN7" s="113"/>
      <c r="AO7" s="114"/>
      <c r="AP7" s="115"/>
      <c r="AQ7" s="116"/>
      <c r="AR7" s="113"/>
      <c r="AS7" s="114"/>
      <c r="AT7" s="115"/>
      <c r="AU7" s="116"/>
      <c r="AV7" s="113"/>
      <c r="AW7" s="114"/>
      <c r="AX7" s="115"/>
      <c r="AZ7" s="134">
        <f t="shared" si="0"/>
        <v>0</v>
      </c>
      <c r="BA7" s="138">
        <v>3410</v>
      </c>
    </row>
    <row r="8" spans="1:53" hidden="1" thickBot="1" x14ac:dyDescent="0.35">
      <c r="B8" s="7">
        <v>3900</v>
      </c>
      <c r="C8" s="8" t="s">
        <v>7</v>
      </c>
      <c r="D8" s="113"/>
      <c r="E8" s="114"/>
      <c r="F8" s="115"/>
      <c r="G8" s="116"/>
      <c r="H8" s="113"/>
      <c r="I8" s="114"/>
      <c r="J8" s="115"/>
      <c r="K8" s="116"/>
      <c r="L8" s="113"/>
      <c r="M8" s="114"/>
      <c r="N8" s="115"/>
      <c r="O8" s="116"/>
      <c r="P8" s="113"/>
      <c r="Q8" s="114"/>
      <c r="R8" s="115"/>
      <c r="S8" s="116"/>
      <c r="T8" s="113"/>
      <c r="U8" s="114"/>
      <c r="V8" s="115"/>
      <c r="W8" s="116"/>
      <c r="X8" s="113"/>
      <c r="Y8" s="114"/>
      <c r="Z8" s="115"/>
      <c r="AA8" s="116"/>
      <c r="AB8" s="113"/>
      <c r="AC8" s="114"/>
      <c r="AD8" s="115"/>
      <c r="AE8" s="116"/>
      <c r="AF8" s="113"/>
      <c r="AG8" s="114"/>
      <c r="AH8" s="115"/>
      <c r="AI8" s="116"/>
      <c r="AJ8" s="113"/>
      <c r="AK8" s="114"/>
      <c r="AL8" s="115"/>
      <c r="AM8" s="116"/>
      <c r="AN8" s="113"/>
      <c r="AO8" s="114"/>
      <c r="AP8" s="115"/>
      <c r="AQ8" s="116"/>
      <c r="AR8" s="113"/>
      <c r="AS8" s="114"/>
      <c r="AT8" s="115"/>
      <c r="AU8" s="116"/>
      <c r="AV8" s="113"/>
      <c r="AW8" s="114"/>
      <c r="AX8" s="115"/>
      <c r="AZ8" s="134">
        <f t="shared" si="0"/>
        <v>0</v>
      </c>
      <c r="BA8" s="138">
        <v>3900</v>
      </c>
    </row>
    <row r="9" spans="1:53" thickBot="1" x14ac:dyDescent="0.35">
      <c r="B9" s="7">
        <v>3910</v>
      </c>
      <c r="C9" s="8" t="s">
        <v>8</v>
      </c>
      <c r="D9" s="113"/>
      <c r="E9" s="114"/>
      <c r="F9" s="115"/>
      <c r="G9" s="116"/>
      <c r="H9" s="113"/>
      <c r="I9" s="114"/>
      <c r="J9" s="115"/>
      <c r="K9" s="116"/>
      <c r="L9" s="113"/>
      <c r="M9" s="114"/>
      <c r="N9" s="115"/>
      <c r="O9" s="116"/>
      <c r="P9" s="113">
        <v>28100</v>
      </c>
      <c r="Q9" s="114"/>
      <c r="R9" s="115"/>
      <c r="S9" s="116"/>
      <c r="T9" s="113"/>
      <c r="U9" s="114"/>
      <c r="V9" s="115"/>
      <c r="W9" s="116"/>
      <c r="X9" s="113"/>
      <c r="Y9" s="114"/>
      <c r="Z9" s="115"/>
      <c r="AA9" s="116"/>
      <c r="AB9" s="113"/>
      <c r="AC9" s="114"/>
      <c r="AD9" s="115"/>
      <c r="AE9" s="116"/>
      <c r="AF9" s="113"/>
      <c r="AG9" s="114"/>
      <c r="AH9" s="115"/>
      <c r="AI9" s="116"/>
      <c r="AJ9" s="113"/>
      <c r="AK9" s="114"/>
      <c r="AL9" s="115"/>
      <c r="AM9" s="116"/>
      <c r="AN9" s="113"/>
      <c r="AO9" s="114"/>
      <c r="AP9" s="115"/>
      <c r="AQ9" s="116"/>
      <c r="AR9" s="113"/>
      <c r="AS9" s="114"/>
      <c r="AT9" s="115"/>
      <c r="AU9" s="116"/>
      <c r="AV9" s="113"/>
      <c r="AW9" s="114"/>
      <c r="AX9" s="115"/>
      <c r="AZ9" s="134">
        <f t="shared" si="0"/>
        <v>28100</v>
      </c>
      <c r="BA9" s="138">
        <v>3910</v>
      </c>
    </row>
    <row r="10" spans="1:53" hidden="1" thickBot="1" x14ac:dyDescent="0.35">
      <c r="B10" s="10">
        <v>3950</v>
      </c>
      <c r="C10" s="11" t="s">
        <v>9</v>
      </c>
      <c r="D10" s="117"/>
      <c r="E10" s="118"/>
      <c r="F10" s="119"/>
      <c r="G10" s="116"/>
      <c r="H10" s="117"/>
      <c r="I10" s="118"/>
      <c r="J10" s="119"/>
      <c r="K10" s="116"/>
      <c r="L10" s="117"/>
      <c r="M10" s="118"/>
      <c r="N10" s="119"/>
      <c r="O10" s="116"/>
      <c r="P10" s="117"/>
      <c r="Q10" s="118"/>
      <c r="R10" s="119"/>
      <c r="S10" s="116"/>
      <c r="T10" s="117"/>
      <c r="U10" s="118"/>
      <c r="V10" s="119"/>
      <c r="W10" s="116"/>
      <c r="X10" s="117"/>
      <c r="Y10" s="118"/>
      <c r="Z10" s="119"/>
      <c r="AA10" s="116"/>
      <c r="AB10" s="117"/>
      <c r="AC10" s="118"/>
      <c r="AD10" s="119"/>
      <c r="AE10" s="116"/>
      <c r="AF10" s="117"/>
      <c r="AG10" s="118"/>
      <c r="AH10" s="119"/>
      <c r="AI10" s="116"/>
      <c r="AJ10" s="117"/>
      <c r="AK10" s="118"/>
      <c r="AL10" s="119"/>
      <c r="AM10" s="116"/>
      <c r="AN10" s="117"/>
      <c r="AO10" s="118"/>
      <c r="AP10" s="119"/>
      <c r="AQ10" s="116"/>
      <c r="AR10" s="117"/>
      <c r="AS10" s="118"/>
      <c r="AT10" s="119"/>
      <c r="AU10" s="116"/>
      <c r="AV10" s="117"/>
      <c r="AW10" s="118"/>
      <c r="AX10" s="119"/>
      <c r="AZ10" s="134">
        <f t="shared" si="0"/>
        <v>0</v>
      </c>
      <c r="BA10" s="142">
        <v>3950</v>
      </c>
    </row>
    <row r="11" spans="1:53" thickBot="1" x14ac:dyDescent="0.35">
      <c r="B11" s="30"/>
      <c r="C11" s="31" t="s">
        <v>73</v>
      </c>
      <c r="D11" s="120">
        <f>SUM(D4:D10)</f>
        <v>0</v>
      </c>
      <c r="E11" s="120"/>
      <c r="F11" s="120">
        <f t="shared" ref="F11" si="1">SUM(F4:F10)</f>
        <v>0</v>
      </c>
      <c r="G11" s="116"/>
      <c r="H11" s="120">
        <f>SUM(H4:H10)</f>
        <v>0</v>
      </c>
      <c r="I11" s="120"/>
      <c r="J11" s="120">
        <f t="shared" ref="J11" si="2">SUM(J4:J10)</f>
        <v>0</v>
      </c>
      <c r="K11" s="116"/>
      <c r="L11" s="120">
        <f>SUM(L4:L10)</f>
        <v>0</v>
      </c>
      <c r="M11" s="120"/>
      <c r="N11" s="120">
        <f t="shared" ref="N11" si="3">SUM(N4:N10)</f>
        <v>0</v>
      </c>
      <c r="O11" s="116"/>
      <c r="P11" s="120">
        <f>SUM(P4:P10)</f>
        <v>35989</v>
      </c>
      <c r="Q11" s="120"/>
      <c r="R11" s="120">
        <v>33240</v>
      </c>
      <c r="S11" s="116"/>
      <c r="T11" s="120">
        <f>SUM(T4:T10)</f>
        <v>0</v>
      </c>
      <c r="U11" s="120"/>
      <c r="V11" s="120">
        <f t="shared" ref="V11" si="4">SUM(V4:V10)</f>
        <v>0</v>
      </c>
      <c r="W11" s="116"/>
      <c r="X11" s="120">
        <f>SUM(X4:X10)</f>
        <v>0</v>
      </c>
      <c r="Y11" s="120"/>
      <c r="Z11" s="120">
        <f t="shared" ref="Z11" si="5">SUM(Z4:Z10)</f>
        <v>0</v>
      </c>
      <c r="AA11" s="116"/>
      <c r="AB11" s="120">
        <f>SUM(AB4:AB10)</f>
        <v>0</v>
      </c>
      <c r="AC11" s="120"/>
      <c r="AD11" s="120">
        <f t="shared" ref="AD11" si="6">SUM(AD4:AD10)</f>
        <v>0</v>
      </c>
      <c r="AE11" s="116"/>
      <c r="AF11" s="120">
        <f>SUM(AF4:AF10)</f>
        <v>0</v>
      </c>
      <c r="AG11" s="120"/>
      <c r="AH11" s="120">
        <f t="shared" ref="AH11" si="7">SUM(AH4:AH10)</f>
        <v>0</v>
      </c>
      <c r="AI11" s="116"/>
      <c r="AJ11" s="120">
        <f>SUM(AJ4:AJ10)</f>
        <v>0</v>
      </c>
      <c r="AK11" s="120"/>
      <c r="AL11" s="120">
        <f t="shared" ref="AL11" si="8">SUM(AL4:AL10)</f>
        <v>0</v>
      </c>
      <c r="AM11" s="116"/>
      <c r="AN11" s="120">
        <f>SUM(AN4:AN10)</f>
        <v>0</v>
      </c>
      <c r="AO11" s="120"/>
      <c r="AP11" s="120">
        <f t="shared" ref="AP11" si="9">SUM(AP4:AP10)</f>
        <v>0</v>
      </c>
      <c r="AQ11" s="116"/>
      <c r="AR11" s="120">
        <f>SUM(AR4:AR10)</f>
        <v>0</v>
      </c>
      <c r="AS11" s="120"/>
      <c r="AT11" s="120"/>
      <c r="AU11" s="116"/>
      <c r="AV11" s="120">
        <f>SUM(AV4:AV10)</f>
        <v>0</v>
      </c>
      <c r="AW11" s="120"/>
      <c r="AX11" s="120"/>
      <c r="AZ11" s="134">
        <f t="shared" si="0"/>
        <v>35989</v>
      </c>
      <c r="BA11" s="139"/>
    </row>
    <row r="12" spans="1:53" ht="15.75" thickBot="1" x14ac:dyDescent="0.3">
      <c r="A12" s="27" t="s">
        <v>46</v>
      </c>
      <c r="B12" s="26">
        <v>5000</v>
      </c>
      <c r="C12" s="29" t="s">
        <v>10</v>
      </c>
      <c r="D12" s="123">
        <f>Lønnsmatrise!F55</f>
        <v>95436.35</v>
      </c>
      <c r="E12" s="114"/>
      <c r="F12" s="115"/>
      <c r="G12" s="116"/>
      <c r="H12" s="123"/>
      <c r="I12" s="114"/>
      <c r="J12" s="115"/>
      <c r="K12" s="116"/>
      <c r="L12" s="123"/>
      <c r="M12" s="114"/>
      <c r="N12" s="115"/>
      <c r="O12" s="116"/>
      <c r="P12" s="123">
        <f>SUM(3000+(200*16))</f>
        <v>6200</v>
      </c>
      <c r="Q12" s="114"/>
      <c r="R12" s="115"/>
      <c r="S12" s="116"/>
      <c r="T12" s="123"/>
      <c r="U12" s="114"/>
      <c r="V12" s="115"/>
      <c r="W12" s="116"/>
      <c r="X12" s="123"/>
      <c r="Y12" s="114"/>
      <c r="Z12" s="115"/>
      <c r="AA12" s="116"/>
      <c r="AB12" s="123"/>
      <c r="AC12" s="114"/>
      <c r="AD12" s="115"/>
      <c r="AE12" s="116"/>
      <c r="AF12" s="123"/>
      <c r="AG12" s="114"/>
      <c r="AH12" s="115"/>
      <c r="AI12" s="116"/>
      <c r="AJ12" s="123"/>
      <c r="AK12" s="114"/>
      <c r="AL12" s="115"/>
      <c r="AM12" s="116"/>
      <c r="AN12" s="123"/>
      <c r="AO12" s="114"/>
      <c r="AP12" s="115"/>
      <c r="AQ12" s="116"/>
      <c r="AR12" s="123"/>
      <c r="AS12" s="114"/>
      <c r="AT12" s="115"/>
      <c r="AU12" s="116"/>
      <c r="AV12" s="123"/>
      <c r="AW12" s="114"/>
      <c r="AX12" s="115"/>
      <c r="AZ12" s="134">
        <f t="shared" si="0"/>
        <v>101636.35</v>
      </c>
      <c r="BA12" s="140">
        <v>5000</v>
      </c>
    </row>
    <row r="13" spans="1:53" hidden="1" thickBot="1" x14ac:dyDescent="0.35">
      <c r="B13" s="7">
        <v>5001</v>
      </c>
      <c r="C13" s="15" t="s">
        <v>11</v>
      </c>
      <c r="D13" s="123">
        <f>Lønnsmatrise!F56</f>
        <v>0</v>
      </c>
      <c r="E13" s="114"/>
      <c r="F13" s="115"/>
      <c r="G13" s="116"/>
      <c r="H13" s="123"/>
      <c r="I13" s="114"/>
      <c r="J13" s="115"/>
      <c r="K13" s="116"/>
      <c r="L13" s="123"/>
      <c r="M13" s="114"/>
      <c r="N13" s="115"/>
      <c r="O13" s="116"/>
      <c r="P13" s="123"/>
      <c r="Q13" s="114"/>
      <c r="R13" s="115"/>
      <c r="S13" s="116"/>
      <c r="T13" s="123"/>
      <c r="U13" s="114"/>
      <c r="V13" s="115"/>
      <c r="W13" s="116"/>
      <c r="X13" s="123"/>
      <c r="Y13" s="114"/>
      <c r="Z13" s="115"/>
      <c r="AA13" s="116"/>
      <c r="AB13" s="123"/>
      <c r="AC13" s="114"/>
      <c r="AD13" s="115"/>
      <c r="AE13" s="116"/>
      <c r="AF13" s="123"/>
      <c r="AG13" s="114"/>
      <c r="AH13" s="115"/>
      <c r="AI13" s="116"/>
      <c r="AJ13" s="123"/>
      <c r="AK13" s="114"/>
      <c r="AL13" s="115"/>
      <c r="AM13" s="116"/>
      <c r="AN13" s="123"/>
      <c r="AO13" s="114"/>
      <c r="AP13" s="115"/>
      <c r="AQ13" s="116"/>
      <c r="AR13" s="123"/>
      <c r="AS13" s="114"/>
      <c r="AT13" s="115"/>
      <c r="AU13" s="116"/>
      <c r="AV13" s="123"/>
      <c r="AW13" s="114"/>
      <c r="AX13" s="115"/>
      <c r="AZ13" s="134">
        <f t="shared" si="0"/>
        <v>0</v>
      </c>
      <c r="BA13" s="138">
        <v>5001</v>
      </c>
    </row>
    <row r="14" spans="1:53" hidden="1" thickBot="1" x14ac:dyDescent="0.35">
      <c r="B14" s="7">
        <v>5004</v>
      </c>
      <c r="C14" s="15" t="s">
        <v>12</v>
      </c>
      <c r="D14" s="123">
        <f>Lønnsmatrise!F57</f>
        <v>0</v>
      </c>
      <c r="E14" s="114"/>
      <c r="F14" s="115"/>
      <c r="G14" s="116"/>
      <c r="H14" s="123"/>
      <c r="I14" s="114"/>
      <c r="J14" s="115"/>
      <c r="K14" s="116"/>
      <c r="L14" s="123"/>
      <c r="M14" s="114"/>
      <c r="N14" s="115"/>
      <c r="O14" s="116"/>
      <c r="P14" s="123"/>
      <c r="Q14" s="114"/>
      <c r="R14" s="115"/>
      <c r="S14" s="116"/>
      <c r="T14" s="123"/>
      <c r="U14" s="114"/>
      <c r="V14" s="115"/>
      <c r="W14" s="116"/>
      <c r="X14" s="123"/>
      <c r="Y14" s="114"/>
      <c r="Z14" s="115"/>
      <c r="AA14" s="116"/>
      <c r="AB14" s="123"/>
      <c r="AC14" s="114"/>
      <c r="AD14" s="115"/>
      <c r="AE14" s="116"/>
      <c r="AF14" s="123"/>
      <c r="AG14" s="114"/>
      <c r="AH14" s="115"/>
      <c r="AI14" s="116"/>
      <c r="AJ14" s="123"/>
      <c r="AK14" s="114"/>
      <c r="AL14" s="115"/>
      <c r="AM14" s="116"/>
      <c r="AN14" s="123"/>
      <c r="AO14" s="114"/>
      <c r="AP14" s="115"/>
      <c r="AQ14" s="116"/>
      <c r="AR14" s="123"/>
      <c r="AS14" s="114"/>
      <c r="AT14" s="115"/>
      <c r="AU14" s="116"/>
      <c r="AV14" s="123"/>
      <c r="AW14" s="114"/>
      <c r="AX14" s="115"/>
      <c r="AZ14" s="134">
        <f t="shared" si="0"/>
        <v>0</v>
      </c>
      <c r="BA14" s="138">
        <v>5004</v>
      </c>
    </row>
    <row r="15" spans="1:53" thickBot="1" x14ac:dyDescent="0.35">
      <c r="A15" s="12"/>
      <c r="B15" s="14">
        <v>5180</v>
      </c>
      <c r="C15" s="17" t="s">
        <v>13</v>
      </c>
      <c r="D15" s="123">
        <f>Lønnsmatrise!F58</f>
        <v>11452.361999999999</v>
      </c>
      <c r="E15" s="125"/>
      <c r="F15" s="126"/>
      <c r="G15" s="127"/>
      <c r="H15" s="123">
        <f>SUM(H12*0.12)</f>
        <v>0</v>
      </c>
      <c r="I15" s="125"/>
      <c r="J15" s="126"/>
      <c r="K15" s="127"/>
      <c r="L15" s="123">
        <f>SUM(L12*0.12)</f>
        <v>0</v>
      </c>
      <c r="M15" s="125"/>
      <c r="N15" s="126"/>
      <c r="O15" s="127"/>
      <c r="P15" s="123">
        <f>SUM(P12*0.12)</f>
        <v>744</v>
      </c>
      <c r="Q15" s="125"/>
      <c r="R15" s="126"/>
      <c r="S15" s="127"/>
      <c r="T15" s="123">
        <f>SUM(T12*0.12)</f>
        <v>0</v>
      </c>
      <c r="U15" s="125"/>
      <c r="V15" s="126"/>
      <c r="W15" s="127"/>
      <c r="X15" s="123">
        <f>SUM(X12*0.12)</f>
        <v>0</v>
      </c>
      <c r="Y15" s="125"/>
      <c r="Z15" s="126"/>
      <c r="AA15" s="127"/>
      <c r="AB15" s="123">
        <f>SUM(AB12*0.12)</f>
        <v>0</v>
      </c>
      <c r="AC15" s="125"/>
      <c r="AD15" s="126"/>
      <c r="AE15" s="127"/>
      <c r="AF15" s="123">
        <f>SUM(AF12*0.12)</f>
        <v>0</v>
      </c>
      <c r="AG15" s="125"/>
      <c r="AH15" s="126"/>
      <c r="AI15" s="127"/>
      <c r="AJ15" s="123">
        <f>SUM(AJ12*0.12)</f>
        <v>0</v>
      </c>
      <c r="AK15" s="125"/>
      <c r="AL15" s="126"/>
      <c r="AM15" s="127"/>
      <c r="AN15" s="123">
        <f>SUM(AN12*0.12)</f>
        <v>0</v>
      </c>
      <c r="AO15" s="125"/>
      <c r="AP15" s="126"/>
      <c r="AQ15" s="127"/>
      <c r="AR15" s="123">
        <f>SUM(AR12*0.12)</f>
        <v>0</v>
      </c>
      <c r="AS15" s="125"/>
      <c r="AT15" s="126"/>
      <c r="AU15" s="127"/>
      <c r="AV15" s="123">
        <f>SUM(AV12*0.12)</f>
        <v>0</v>
      </c>
      <c r="AW15" s="125"/>
      <c r="AX15" s="126"/>
      <c r="AZ15" s="134">
        <f t="shared" si="0"/>
        <v>12196.361999999999</v>
      </c>
      <c r="BA15" s="141">
        <v>5180</v>
      </c>
    </row>
    <row r="16" spans="1:53" ht="15.75" thickBot="1" x14ac:dyDescent="0.3">
      <c r="A16" s="12"/>
      <c r="B16" s="7">
        <v>5182</v>
      </c>
      <c r="C16" s="15" t="s">
        <v>14</v>
      </c>
      <c r="D16" s="123">
        <f>Lønnsmatrise!F59</f>
        <v>1614.7830419999998</v>
      </c>
      <c r="E16" s="125"/>
      <c r="F16" s="126"/>
      <c r="G16" s="127"/>
      <c r="H16" s="123">
        <f>SUM(H15*0.141)</f>
        <v>0</v>
      </c>
      <c r="I16" s="125"/>
      <c r="J16" s="126"/>
      <c r="K16" s="127"/>
      <c r="L16" s="123">
        <f>SUM(L15*0.141)</f>
        <v>0</v>
      </c>
      <c r="M16" s="125"/>
      <c r="N16" s="126"/>
      <c r="O16" s="127"/>
      <c r="P16" s="123">
        <f>SUM(P15*0.141)</f>
        <v>104.904</v>
      </c>
      <c r="Q16" s="125"/>
      <c r="R16" s="126"/>
      <c r="S16" s="127"/>
      <c r="T16" s="123">
        <f>SUM(T15*0.141)</f>
        <v>0</v>
      </c>
      <c r="U16" s="125"/>
      <c r="V16" s="126"/>
      <c r="W16" s="127"/>
      <c r="X16" s="123">
        <f>SUM(X15*0.141)</f>
        <v>0</v>
      </c>
      <c r="Y16" s="125"/>
      <c r="Z16" s="126"/>
      <c r="AA16" s="127"/>
      <c r="AB16" s="123">
        <f>SUM(AB15*0.141)</f>
        <v>0</v>
      </c>
      <c r="AC16" s="125"/>
      <c r="AD16" s="126"/>
      <c r="AE16" s="127"/>
      <c r="AF16" s="123">
        <f>SUM(AF15*0.141)</f>
        <v>0</v>
      </c>
      <c r="AG16" s="125"/>
      <c r="AH16" s="126"/>
      <c r="AI16" s="127"/>
      <c r="AJ16" s="123">
        <f>SUM(AJ15*0.141)</f>
        <v>0</v>
      </c>
      <c r="AK16" s="125"/>
      <c r="AL16" s="126"/>
      <c r="AM16" s="127"/>
      <c r="AN16" s="123">
        <f>SUM(AN15*0.141)</f>
        <v>0</v>
      </c>
      <c r="AO16" s="125"/>
      <c r="AP16" s="126"/>
      <c r="AQ16" s="127"/>
      <c r="AR16" s="123">
        <f>SUM(AR15*0.141)</f>
        <v>0</v>
      </c>
      <c r="AS16" s="125"/>
      <c r="AT16" s="126"/>
      <c r="AU16" s="127"/>
      <c r="AV16" s="123">
        <f>SUM(AV15*0.141)</f>
        <v>0</v>
      </c>
      <c r="AW16" s="125"/>
      <c r="AX16" s="126"/>
      <c r="AZ16" s="134">
        <f t="shared" si="0"/>
        <v>1719.6870419999998</v>
      </c>
      <c r="BA16" s="138">
        <v>5182</v>
      </c>
    </row>
    <row r="17" spans="1:53" hidden="1" thickBot="1" x14ac:dyDescent="0.35">
      <c r="A17" s="12"/>
      <c r="B17" s="7">
        <v>5211</v>
      </c>
      <c r="C17" s="15" t="s">
        <v>15</v>
      </c>
      <c r="D17" s="128"/>
      <c r="E17" s="125"/>
      <c r="F17" s="126"/>
      <c r="G17" s="127"/>
      <c r="H17" s="128"/>
      <c r="I17" s="125"/>
      <c r="J17" s="126"/>
      <c r="K17" s="127"/>
      <c r="L17" s="128"/>
      <c r="M17" s="125"/>
      <c r="N17" s="126"/>
      <c r="O17" s="127"/>
      <c r="P17" s="128"/>
      <c r="Q17" s="125"/>
      <c r="R17" s="126"/>
      <c r="S17" s="127"/>
      <c r="T17" s="128"/>
      <c r="U17" s="125"/>
      <c r="V17" s="126"/>
      <c r="W17" s="127"/>
      <c r="X17" s="128"/>
      <c r="Y17" s="125"/>
      <c r="Z17" s="126"/>
      <c r="AA17" s="127"/>
      <c r="AB17" s="128"/>
      <c r="AC17" s="125"/>
      <c r="AD17" s="126"/>
      <c r="AE17" s="127"/>
      <c r="AF17" s="128"/>
      <c r="AG17" s="125"/>
      <c r="AH17" s="126"/>
      <c r="AI17" s="127"/>
      <c r="AJ17" s="128"/>
      <c r="AK17" s="125"/>
      <c r="AL17" s="126"/>
      <c r="AM17" s="127"/>
      <c r="AN17" s="128"/>
      <c r="AO17" s="125"/>
      <c r="AP17" s="126"/>
      <c r="AQ17" s="127"/>
      <c r="AR17" s="128"/>
      <c r="AS17" s="125"/>
      <c r="AT17" s="126"/>
      <c r="AU17" s="127"/>
      <c r="AV17" s="128"/>
      <c r="AW17" s="125"/>
      <c r="AX17" s="126"/>
      <c r="AZ17" s="134">
        <f t="shared" si="0"/>
        <v>0</v>
      </c>
      <c r="BA17" s="138">
        <v>5211</v>
      </c>
    </row>
    <row r="18" spans="1:53" hidden="1" thickBot="1" x14ac:dyDescent="0.35">
      <c r="A18" s="12"/>
      <c r="B18" s="7">
        <v>5230</v>
      </c>
      <c r="C18" s="15" t="s">
        <v>16</v>
      </c>
      <c r="D18" s="128"/>
      <c r="E18" s="125"/>
      <c r="F18" s="126"/>
      <c r="G18" s="127"/>
      <c r="H18" s="128"/>
      <c r="I18" s="125"/>
      <c r="J18" s="126"/>
      <c r="K18" s="127"/>
      <c r="L18" s="128"/>
      <c r="M18" s="125"/>
      <c r="N18" s="126"/>
      <c r="O18" s="127"/>
      <c r="P18" s="128"/>
      <c r="Q18" s="125"/>
      <c r="R18" s="126"/>
      <c r="S18" s="127"/>
      <c r="T18" s="128"/>
      <c r="U18" s="125"/>
      <c r="V18" s="126"/>
      <c r="W18" s="127"/>
      <c r="X18" s="128"/>
      <c r="Y18" s="125"/>
      <c r="Z18" s="126"/>
      <c r="AA18" s="127"/>
      <c r="AB18" s="128"/>
      <c r="AC18" s="125"/>
      <c r="AD18" s="126"/>
      <c r="AE18" s="127"/>
      <c r="AF18" s="128"/>
      <c r="AG18" s="125"/>
      <c r="AH18" s="126"/>
      <c r="AI18" s="127"/>
      <c r="AJ18" s="128"/>
      <c r="AK18" s="125"/>
      <c r="AL18" s="126"/>
      <c r="AM18" s="127"/>
      <c r="AN18" s="128"/>
      <c r="AO18" s="125"/>
      <c r="AP18" s="126"/>
      <c r="AQ18" s="127"/>
      <c r="AR18" s="128"/>
      <c r="AS18" s="125"/>
      <c r="AT18" s="126"/>
      <c r="AU18" s="127"/>
      <c r="AV18" s="128"/>
      <c r="AW18" s="125"/>
      <c r="AX18" s="126"/>
      <c r="AZ18" s="134">
        <f t="shared" si="0"/>
        <v>0</v>
      </c>
      <c r="BA18" s="138">
        <v>5230</v>
      </c>
    </row>
    <row r="19" spans="1:53" ht="15.75" thickBot="1" x14ac:dyDescent="0.3">
      <c r="A19" s="12"/>
      <c r="B19" s="7">
        <v>5400</v>
      </c>
      <c r="C19" s="15" t="s">
        <v>48</v>
      </c>
      <c r="D19" s="123">
        <f>Lønnsmatrise!F61</f>
        <v>13456.525349999998</v>
      </c>
      <c r="E19" s="125"/>
      <c r="F19" s="126"/>
      <c r="G19" s="127"/>
      <c r="H19" s="123">
        <f>SUM((H12+H13+H14+H17+H18)*0.141)</f>
        <v>0</v>
      </c>
      <c r="I19" s="125"/>
      <c r="J19" s="126"/>
      <c r="K19" s="127"/>
      <c r="L19" s="123">
        <f>SUM((L12+L13+L14+L17+L18)*0.141)</f>
        <v>0</v>
      </c>
      <c r="M19" s="125"/>
      <c r="N19" s="126"/>
      <c r="O19" s="127"/>
      <c r="P19" s="123">
        <f>SUM((P12+P13+P14+P17+P18)*0.141)</f>
        <v>874.19999999999993</v>
      </c>
      <c r="Q19" s="125"/>
      <c r="R19" s="126"/>
      <c r="S19" s="127"/>
      <c r="T19" s="123"/>
      <c r="U19" s="125"/>
      <c r="V19" s="126"/>
      <c r="W19" s="127"/>
      <c r="X19" s="123"/>
      <c r="Y19" s="125"/>
      <c r="Z19" s="126"/>
      <c r="AA19" s="127"/>
      <c r="AB19" s="123">
        <f>SUM((AB12+AB13+AB14+AB17+AB18)*0.141)</f>
        <v>0</v>
      </c>
      <c r="AC19" s="125"/>
      <c r="AD19" s="126"/>
      <c r="AE19" s="127"/>
      <c r="AF19" s="123">
        <f>SUM((AF12+AF13+AF14+AF17+AF18)*0.141)</f>
        <v>0</v>
      </c>
      <c r="AG19" s="125"/>
      <c r="AH19" s="126"/>
      <c r="AI19" s="127"/>
      <c r="AJ19" s="123">
        <f>SUM((AJ12+AJ13+AJ14+AJ17+AJ18)*0.141)</f>
        <v>0</v>
      </c>
      <c r="AK19" s="125"/>
      <c r="AL19" s="126"/>
      <c r="AM19" s="127"/>
      <c r="AN19" s="123">
        <f>SUM((AN12+AN13+AN14+AN17+AN18)*0.141)</f>
        <v>0</v>
      </c>
      <c r="AO19" s="125"/>
      <c r="AP19" s="126"/>
      <c r="AQ19" s="127"/>
      <c r="AR19" s="123">
        <f>SUM((AR12+AR13+AR14+AR17+AR18)*0.141)</f>
        <v>0</v>
      </c>
      <c r="AS19" s="125"/>
      <c r="AT19" s="126"/>
      <c r="AU19" s="127"/>
      <c r="AV19" s="123">
        <f>SUM((AV12+AV13+AV14+AV17+AV18)*0.141)</f>
        <v>0</v>
      </c>
      <c r="AW19" s="125"/>
      <c r="AX19" s="126"/>
      <c r="AZ19" s="134">
        <f t="shared" si="0"/>
        <v>14330.725349999999</v>
      </c>
      <c r="BA19" s="138">
        <v>5400</v>
      </c>
    </row>
    <row r="20" spans="1:53" hidden="1" thickBot="1" x14ac:dyDescent="0.35">
      <c r="A20" s="12"/>
      <c r="B20" s="7">
        <v>5900</v>
      </c>
      <c r="C20" s="15" t="s">
        <v>147</v>
      </c>
      <c r="D20" s="123"/>
      <c r="E20" s="125"/>
      <c r="F20" s="126"/>
      <c r="G20" s="127"/>
      <c r="H20" s="123"/>
      <c r="I20" s="125"/>
      <c r="J20" s="126"/>
      <c r="K20" s="127"/>
      <c r="L20" s="123"/>
      <c r="M20" s="125"/>
      <c r="N20" s="126"/>
      <c r="O20" s="127"/>
      <c r="P20" s="123"/>
      <c r="Q20" s="125"/>
      <c r="R20" s="126"/>
      <c r="S20" s="127"/>
      <c r="T20" s="123"/>
      <c r="U20" s="125"/>
      <c r="V20" s="126"/>
      <c r="W20" s="127"/>
      <c r="X20" s="123"/>
      <c r="Y20" s="125"/>
      <c r="Z20" s="126"/>
      <c r="AA20" s="127"/>
      <c r="AB20" s="123"/>
      <c r="AC20" s="125"/>
      <c r="AD20" s="126"/>
      <c r="AE20" s="127"/>
      <c r="AF20" s="123"/>
      <c r="AG20" s="125"/>
      <c r="AH20" s="126"/>
      <c r="AI20" s="127"/>
      <c r="AJ20" s="123"/>
      <c r="AK20" s="125"/>
      <c r="AL20" s="126"/>
      <c r="AM20" s="127"/>
      <c r="AN20" s="123"/>
      <c r="AO20" s="125"/>
      <c r="AP20" s="126"/>
      <c r="AQ20" s="127"/>
      <c r="AR20" s="123"/>
      <c r="AS20" s="125"/>
      <c r="AT20" s="126"/>
      <c r="AU20" s="127"/>
      <c r="AV20" s="123"/>
      <c r="AW20" s="125"/>
      <c r="AX20" s="126"/>
      <c r="AZ20" s="134">
        <f t="shared" si="0"/>
        <v>0</v>
      </c>
      <c r="BA20" s="138">
        <v>5900</v>
      </c>
    </row>
    <row r="21" spans="1:53" ht="15.75" thickBot="1" x14ac:dyDescent="0.3">
      <c r="B21" s="7">
        <v>5990</v>
      </c>
      <c r="C21" s="15" t="s">
        <v>17</v>
      </c>
      <c r="D21" s="123">
        <f>Lønnsmatrise!F62</f>
        <v>3246.8175000000001</v>
      </c>
      <c r="E21" s="114"/>
      <c r="F21" s="115"/>
      <c r="G21" s="116"/>
      <c r="H21" s="123"/>
      <c r="I21" s="114"/>
      <c r="J21" s="115"/>
      <c r="K21" s="116"/>
      <c r="L21" s="123"/>
      <c r="M21" s="114"/>
      <c r="N21" s="115"/>
      <c r="O21" s="116"/>
      <c r="P21" s="123"/>
      <c r="Q21" s="114"/>
      <c r="R21" s="115"/>
      <c r="S21" s="116"/>
      <c r="T21" s="123"/>
      <c r="U21" s="114"/>
      <c r="V21" s="115"/>
      <c r="W21" s="116"/>
      <c r="X21" s="123"/>
      <c r="Y21" s="114"/>
      <c r="Z21" s="115"/>
      <c r="AA21" s="116"/>
      <c r="AB21" s="123"/>
      <c r="AC21" s="114"/>
      <c r="AD21" s="115"/>
      <c r="AE21" s="116"/>
      <c r="AF21" s="123"/>
      <c r="AG21" s="114"/>
      <c r="AH21" s="115"/>
      <c r="AI21" s="116"/>
      <c r="AJ21" s="123"/>
      <c r="AK21" s="114"/>
      <c r="AL21" s="115"/>
      <c r="AM21" s="116"/>
      <c r="AN21" s="123"/>
      <c r="AO21" s="114"/>
      <c r="AP21" s="115"/>
      <c r="AQ21" s="116"/>
      <c r="AR21" s="123"/>
      <c r="AS21" s="114"/>
      <c r="AT21" s="115"/>
      <c r="AU21" s="116"/>
      <c r="AV21" s="123"/>
      <c r="AW21" s="114"/>
      <c r="AX21" s="115"/>
      <c r="AZ21" s="134">
        <f t="shared" si="0"/>
        <v>3246.8175000000001</v>
      </c>
      <c r="BA21" s="138">
        <v>5990</v>
      </c>
    </row>
    <row r="22" spans="1:53" ht="15.75" thickBot="1" x14ac:dyDescent="0.3">
      <c r="B22" s="7">
        <v>6110</v>
      </c>
      <c r="C22" s="15" t="s">
        <v>50</v>
      </c>
      <c r="D22" s="113"/>
      <c r="E22" s="114"/>
      <c r="F22" s="115"/>
      <c r="G22" s="116"/>
      <c r="H22" s="113"/>
      <c r="I22" s="114"/>
      <c r="J22" s="115"/>
      <c r="K22" s="116"/>
      <c r="L22" s="113"/>
      <c r="M22" s="114"/>
      <c r="N22" s="115"/>
      <c r="O22" s="116"/>
      <c r="P22" s="113">
        <v>825</v>
      </c>
      <c r="Q22" s="114"/>
      <c r="R22" s="115"/>
      <c r="S22" s="116"/>
      <c r="T22" s="113"/>
      <c r="U22" s="114"/>
      <c r="V22" s="115"/>
      <c r="W22" s="116"/>
      <c r="X22" s="113"/>
      <c r="Y22" s="114"/>
      <c r="Z22" s="115"/>
      <c r="AA22" s="116"/>
      <c r="AB22" s="113"/>
      <c r="AC22" s="114"/>
      <c r="AD22" s="115"/>
      <c r="AE22" s="116"/>
      <c r="AF22" s="113"/>
      <c r="AG22" s="114"/>
      <c r="AH22" s="115"/>
      <c r="AI22" s="116"/>
      <c r="AJ22" s="113"/>
      <c r="AK22" s="114"/>
      <c r="AL22" s="115"/>
      <c r="AM22" s="116"/>
      <c r="AN22" s="113"/>
      <c r="AO22" s="114"/>
      <c r="AP22" s="115"/>
      <c r="AQ22" s="116"/>
      <c r="AR22" s="113"/>
      <c r="AS22" s="114"/>
      <c r="AT22" s="115"/>
      <c r="AU22" s="116"/>
      <c r="AV22" s="113"/>
      <c r="AW22" s="114"/>
      <c r="AX22" s="115"/>
      <c r="AZ22" s="134">
        <f t="shared" si="0"/>
        <v>825</v>
      </c>
      <c r="BA22" s="138">
        <v>6110</v>
      </c>
    </row>
    <row r="23" spans="1:53" ht="15.75" thickBot="1" x14ac:dyDescent="0.3">
      <c r="B23" s="7">
        <v>6300</v>
      </c>
      <c r="C23" s="15" t="s">
        <v>18</v>
      </c>
      <c r="D23" s="113"/>
      <c r="E23" s="114"/>
      <c r="F23" s="115"/>
      <c r="G23" s="116"/>
      <c r="H23" s="113"/>
      <c r="I23" s="114"/>
      <c r="J23" s="115"/>
      <c r="K23" s="116"/>
      <c r="L23" s="113"/>
      <c r="M23" s="114"/>
      <c r="N23" s="115"/>
      <c r="O23" s="116"/>
      <c r="P23" s="113">
        <f>150*3</f>
        <v>450</v>
      </c>
      <c r="Q23" s="114"/>
      <c r="R23" s="115"/>
      <c r="S23" s="116"/>
      <c r="T23" s="113">
        <f>10000*2</f>
        <v>20000</v>
      </c>
      <c r="U23" s="114" t="s">
        <v>284</v>
      </c>
      <c r="V23" s="115"/>
      <c r="W23" s="116"/>
      <c r="X23" s="113">
        <v>10000</v>
      </c>
      <c r="Y23" s="114"/>
      <c r="Z23" s="115"/>
      <c r="AA23" s="116"/>
      <c r="AB23" s="113">
        <v>3000</v>
      </c>
      <c r="AC23" s="114"/>
      <c r="AD23" s="115"/>
      <c r="AE23" s="116"/>
      <c r="AF23" s="113"/>
      <c r="AG23" s="114"/>
      <c r="AH23" s="115"/>
      <c r="AI23" s="116"/>
      <c r="AJ23" s="113"/>
      <c r="AK23" s="114"/>
      <c r="AL23" s="115"/>
      <c r="AM23" s="116"/>
      <c r="AN23" s="113"/>
      <c r="AO23" s="114"/>
      <c r="AP23" s="115"/>
      <c r="AQ23" s="116"/>
      <c r="AR23" s="113"/>
      <c r="AS23" s="114"/>
      <c r="AT23" s="115"/>
      <c r="AU23" s="116"/>
      <c r="AV23" s="113"/>
      <c r="AW23" s="114"/>
      <c r="AX23" s="115"/>
      <c r="AZ23" s="134">
        <f t="shared" si="0"/>
        <v>33450</v>
      </c>
      <c r="BA23" s="138">
        <v>6300</v>
      </c>
    </row>
    <row r="24" spans="1:53" ht="14.45" hidden="1" customHeight="1" thickBot="1" x14ac:dyDescent="0.35">
      <c r="B24" s="7">
        <v>6440</v>
      </c>
      <c r="C24" s="15" t="s">
        <v>19</v>
      </c>
      <c r="D24" s="113"/>
      <c r="E24" s="114"/>
      <c r="F24" s="115"/>
      <c r="G24" s="116"/>
      <c r="H24" s="113"/>
      <c r="I24" s="114"/>
      <c r="J24" s="115"/>
      <c r="K24" s="116"/>
      <c r="L24" s="113"/>
      <c r="M24" s="114"/>
      <c r="N24" s="115"/>
      <c r="O24" s="116"/>
      <c r="P24" s="113"/>
      <c r="Q24" s="114"/>
      <c r="R24" s="115"/>
      <c r="S24" s="116"/>
      <c r="T24" s="113"/>
      <c r="U24" s="114"/>
      <c r="V24" s="115"/>
      <c r="W24" s="116"/>
      <c r="X24" s="113"/>
      <c r="Y24" s="114"/>
      <c r="Z24" s="115"/>
      <c r="AA24" s="116"/>
      <c r="AB24" s="113"/>
      <c r="AC24" s="114"/>
      <c r="AD24" s="115"/>
      <c r="AE24" s="116"/>
      <c r="AF24" s="113"/>
      <c r="AG24" s="114"/>
      <c r="AH24" s="115"/>
      <c r="AI24" s="116"/>
      <c r="AJ24" s="113"/>
      <c r="AK24" s="114"/>
      <c r="AL24" s="115"/>
      <c r="AM24" s="116"/>
      <c r="AN24" s="113"/>
      <c r="AO24" s="114"/>
      <c r="AP24" s="115"/>
      <c r="AQ24" s="116"/>
      <c r="AR24" s="113"/>
      <c r="AS24" s="114"/>
      <c r="AT24" s="115"/>
      <c r="AU24" s="116"/>
      <c r="AV24" s="113"/>
      <c r="AW24" s="114"/>
      <c r="AX24" s="115"/>
      <c r="AZ24" s="134">
        <f t="shared" si="0"/>
        <v>0</v>
      </c>
      <c r="BA24" s="138">
        <v>6440</v>
      </c>
    </row>
    <row r="25" spans="1:53" hidden="1" thickBot="1" x14ac:dyDescent="0.35">
      <c r="B25" s="7">
        <v>6550</v>
      </c>
      <c r="C25" s="15" t="s">
        <v>20</v>
      </c>
      <c r="D25" s="113"/>
      <c r="E25" s="114"/>
      <c r="F25" s="115"/>
      <c r="G25" s="116"/>
      <c r="H25" s="113"/>
      <c r="I25" s="114"/>
      <c r="J25" s="115"/>
      <c r="K25" s="116"/>
      <c r="L25" s="113"/>
      <c r="M25" s="114"/>
      <c r="N25" s="115"/>
      <c r="O25" s="116"/>
      <c r="P25" s="113"/>
      <c r="Q25" s="114"/>
      <c r="R25" s="115"/>
      <c r="S25" s="116"/>
      <c r="T25" s="113"/>
      <c r="U25" s="114"/>
      <c r="V25" s="115"/>
      <c r="W25" s="116"/>
      <c r="X25" s="113"/>
      <c r="Y25" s="114"/>
      <c r="Z25" s="115"/>
      <c r="AA25" s="116"/>
      <c r="AB25" s="113"/>
      <c r="AC25" s="114"/>
      <c r="AD25" s="115"/>
      <c r="AE25" s="116"/>
      <c r="AF25" s="113"/>
      <c r="AG25" s="114"/>
      <c r="AH25" s="115"/>
      <c r="AI25" s="116"/>
      <c r="AJ25" s="113"/>
      <c r="AK25" s="114"/>
      <c r="AL25" s="115"/>
      <c r="AM25" s="116"/>
      <c r="AN25" s="113"/>
      <c r="AO25" s="114"/>
      <c r="AP25" s="115"/>
      <c r="AQ25" s="116"/>
      <c r="AR25" s="113"/>
      <c r="AS25" s="114"/>
      <c r="AT25" s="115"/>
      <c r="AU25" s="116"/>
      <c r="AV25" s="113"/>
      <c r="AW25" s="114"/>
      <c r="AX25" s="115"/>
      <c r="AZ25" s="134">
        <f t="shared" si="0"/>
        <v>0</v>
      </c>
      <c r="BA25" s="138">
        <v>6550</v>
      </c>
    </row>
    <row r="26" spans="1:53" hidden="1" thickBot="1" x14ac:dyDescent="0.35">
      <c r="B26" s="7">
        <v>6560</v>
      </c>
      <c r="C26" s="15" t="s">
        <v>21</v>
      </c>
      <c r="D26" s="113"/>
      <c r="E26" s="114"/>
      <c r="F26" s="115"/>
      <c r="G26" s="116"/>
      <c r="H26" s="113"/>
      <c r="I26" s="114"/>
      <c r="J26" s="115"/>
      <c r="K26" s="116"/>
      <c r="L26" s="113"/>
      <c r="M26" s="114"/>
      <c r="N26" s="115"/>
      <c r="O26" s="116"/>
      <c r="P26" s="113"/>
      <c r="Q26" s="114"/>
      <c r="R26" s="115"/>
      <c r="S26" s="116"/>
      <c r="T26" s="113"/>
      <c r="U26" s="114"/>
      <c r="V26" s="115"/>
      <c r="W26" s="116"/>
      <c r="X26" s="113"/>
      <c r="Y26" s="114"/>
      <c r="Z26" s="115"/>
      <c r="AA26" s="116"/>
      <c r="AB26" s="113"/>
      <c r="AC26" s="114"/>
      <c r="AD26" s="115"/>
      <c r="AE26" s="116"/>
      <c r="AF26" s="113"/>
      <c r="AG26" s="114"/>
      <c r="AH26" s="115"/>
      <c r="AI26" s="116"/>
      <c r="AJ26" s="113"/>
      <c r="AK26" s="114"/>
      <c r="AL26" s="115"/>
      <c r="AM26" s="116"/>
      <c r="AN26" s="113"/>
      <c r="AO26" s="114"/>
      <c r="AP26" s="115"/>
      <c r="AQ26" s="116"/>
      <c r="AR26" s="113"/>
      <c r="AS26" s="114"/>
      <c r="AT26" s="115"/>
      <c r="AU26" s="116"/>
      <c r="AV26" s="113"/>
      <c r="AW26" s="114"/>
      <c r="AX26" s="115"/>
      <c r="AZ26" s="134">
        <f t="shared" si="0"/>
        <v>0</v>
      </c>
      <c r="BA26" s="138">
        <v>6560</v>
      </c>
    </row>
    <row r="27" spans="1:53" hidden="1" thickBot="1" x14ac:dyDescent="0.35">
      <c r="B27" s="7">
        <v>6580</v>
      </c>
      <c r="C27" s="15" t="s">
        <v>2</v>
      </c>
      <c r="D27" s="113"/>
      <c r="E27" s="114"/>
      <c r="F27" s="115"/>
      <c r="G27" s="116"/>
      <c r="H27" s="113"/>
      <c r="I27" s="114"/>
      <c r="J27" s="115"/>
      <c r="K27" s="116"/>
      <c r="L27" s="113"/>
      <c r="M27" s="114"/>
      <c r="N27" s="115"/>
      <c r="O27" s="116"/>
      <c r="P27" s="113"/>
      <c r="Q27" s="114"/>
      <c r="R27" s="115"/>
      <c r="S27" s="116"/>
      <c r="T27" s="113"/>
      <c r="U27" s="114"/>
      <c r="V27" s="115"/>
      <c r="W27" s="116"/>
      <c r="X27" s="113"/>
      <c r="Y27" s="114"/>
      <c r="Z27" s="115"/>
      <c r="AA27" s="116"/>
      <c r="AB27" s="113"/>
      <c r="AC27" s="114"/>
      <c r="AD27" s="115"/>
      <c r="AE27" s="116"/>
      <c r="AF27" s="113"/>
      <c r="AG27" s="114"/>
      <c r="AH27" s="115"/>
      <c r="AI27" s="116"/>
      <c r="AJ27" s="113"/>
      <c r="AK27" s="114"/>
      <c r="AL27" s="115"/>
      <c r="AM27" s="116"/>
      <c r="AN27" s="113"/>
      <c r="AO27" s="114"/>
      <c r="AP27" s="115"/>
      <c r="AQ27" s="116"/>
      <c r="AR27" s="113"/>
      <c r="AS27" s="114"/>
      <c r="AT27" s="115"/>
      <c r="AU27" s="116"/>
      <c r="AV27" s="113"/>
      <c r="AW27" s="114"/>
      <c r="AX27" s="115"/>
      <c r="AZ27" s="134">
        <f t="shared" si="0"/>
        <v>0</v>
      </c>
      <c r="BA27" s="138">
        <v>6580</v>
      </c>
    </row>
    <row r="28" spans="1:53" hidden="1" thickBot="1" x14ac:dyDescent="0.35">
      <c r="B28" s="7">
        <v>6800</v>
      </c>
      <c r="C28" s="15" t="s">
        <v>22</v>
      </c>
      <c r="D28" s="113"/>
      <c r="E28" s="114"/>
      <c r="F28" s="115"/>
      <c r="G28" s="116"/>
      <c r="H28" s="113"/>
      <c r="I28" s="114"/>
      <c r="J28" s="115"/>
      <c r="K28" s="116"/>
      <c r="L28" s="113"/>
      <c r="M28" s="114"/>
      <c r="N28" s="115"/>
      <c r="O28" s="116"/>
      <c r="P28" s="113"/>
      <c r="Q28" s="114"/>
      <c r="R28" s="115"/>
      <c r="S28" s="116"/>
      <c r="T28" s="113"/>
      <c r="U28" s="114"/>
      <c r="V28" s="115"/>
      <c r="W28" s="116"/>
      <c r="X28" s="113"/>
      <c r="Y28" s="114"/>
      <c r="Z28" s="115"/>
      <c r="AA28" s="116"/>
      <c r="AB28" s="113"/>
      <c r="AC28" s="114"/>
      <c r="AD28" s="115"/>
      <c r="AE28" s="116"/>
      <c r="AF28" s="113"/>
      <c r="AG28" s="114"/>
      <c r="AH28" s="115"/>
      <c r="AI28" s="116"/>
      <c r="AJ28" s="113"/>
      <c r="AK28" s="114"/>
      <c r="AL28" s="115"/>
      <c r="AM28" s="116"/>
      <c r="AN28" s="113"/>
      <c r="AO28" s="114"/>
      <c r="AP28" s="115"/>
      <c r="AQ28" s="116"/>
      <c r="AR28" s="113"/>
      <c r="AS28" s="114"/>
      <c r="AT28" s="115"/>
      <c r="AU28" s="116"/>
      <c r="AV28" s="113"/>
      <c r="AW28" s="114"/>
      <c r="AX28" s="115"/>
      <c r="AZ28" s="134">
        <f t="shared" si="0"/>
        <v>0</v>
      </c>
      <c r="BA28" s="138">
        <v>6800</v>
      </c>
    </row>
    <row r="29" spans="1:53" ht="15.75" thickBot="1" x14ac:dyDescent="0.3">
      <c r="B29" s="7">
        <v>6820</v>
      </c>
      <c r="C29" s="15" t="s">
        <v>23</v>
      </c>
      <c r="D29" s="113"/>
      <c r="E29" s="114"/>
      <c r="F29" s="115"/>
      <c r="G29" s="116"/>
      <c r="H29" s="113"/>
      <c r="I29" s="114"/>
      <c r="J29" s="115"/>
      <c r="K29" s="116"/>
      <c r="L29" s="113"/>
      <c r="M29" s="114"/>
      <c r="N29" s="115"/>
      <c r="O29" s="116"/>
      <c r="P29" s="113"/>
      <c r="Q29" s="114"/>
      <c r="R29" s="115"/>
      <c r="S29" s="116"/>
      <c r="T29" s="113">
        <v>1000</v>
      </c>
      <c r="U29" s="114"/>
      <c r="V29" s="115"/>
      <c r="W29" s="116"/>
      <c r="X29" s="113">
        <v>1000</v>
      </c>
      <c r="Y29" s="114"/>
      <c r="Z29" s="115"/>
      <c r="AA29" s="116"/>
      <c r="AB29" s="113"/>
      <c r="AC29" s="114"/>
      <c r="AD29" s="115"/>
      <c r="AE29" s="116"/>
      <c r="AF29" s="113"/>
      <c r="AG29" s="114"/>
      <c r="AH29" s="115"/>
      <c r="AI29" s="116"/>
      <c r="AJ29" s="113"/>
      <c r="AK29" s="114"/>
      <c r="AL29" s="115"/>
      <c r="AM29" s="116"/>
      <c r="AN29" s="113"/>
      <c r="AO29" s="114"/>
      <c r="AP29" s="115"/>
      <c r="AQ29" s="116"/>
      <c r="AR29" s="113"/>
      <c r="AS29" s="114"/>
      <c r="AT29" s="115"/>
      <c r="AU29" s="116"/>
      <c r="AV29" s="113"/>
      <c r="AW29" s="114"/>
      <c r="AX29" s="115"/>
      <c r="AZ29" s="134">
        <f t="shared" si="0"/>
        <v>2000</v>
      </c>
      <c r="BA29" s="138">
        <v>6820</v>
      </c>
    </row>
    <row r="30" spans="1:53" hidden="1" thickBot="1" x14ac:dyDescent="0.35">
      <c r="B30" s="7">
        <v>6840</v>
      </c>
      <c r="C30" s="15" t="s">
        <v>24</v>
      </c>
      <c r="D30" s="113"/>
      <c r="E30" s="114"/>
      <c r="F30" s="115"/>
      <c r="G30" s="116"/>
      <c r="H30" s="113"/>
      <c r="I30" s="114"/>
      <c r="J30" s="115"/>
      <c r="K30" s="116"/>
      <c r="L30" s="113"/>
      <c r="M30" s="114"/>
      <c r="N30" s="115"/>
      <c r="O30" s="116"/>
      <c r="P30" s="113"/>
      <c r="Q30" s="114"/>
      <c r="R30" s="115"/>
      <c r="S30" s="116"/>
      <c r="T30" s="113"/>
      <c r="U30" s="114"/>
      <c r="V30" s="115"/>
      <c r="W30" s="116"/>
      <c r="X30" s="113"/>
      <c r="Y30" s="114"/>
      <c r="Z30" s="115"/>
      <c r="AA30" s="116"/>
      <c r="AB30" s="113"/>
      <c r="AC30" s="114"/>
      <c r="AD30" s="115"/>
      <c r="AE30" s="116"/>
      <c r="AF30" s="113"/>
      <c r="AG30" s="114"/>
      <c r="AH30" s="115"/>
      <c r="AI30" s="116"/>
      <c r="AJ30" s="113"/>
      <c r="AK30" s="114"/>
      <c r="AL30" s="115"/>
      <c r="AM30" s="116"/>
      <c r="AN30" s="113"/>
      <c r="AO30" s="114"/>
      <c r="AP30" s="115"/>
      <c r="AQ30" s="116"/>
      <c r="AR30" s="113"/>
      <c r="AS30" s="114"/>
      <c r="AT30" s="115"/>
      <c r="AU30" s="116"/>
      <c r="AV30" s="113"/>
      <c r="AW30" s="114"/>
      <c r="AX30" s="115"/>
      <c r="AZ30" s="134">
        <f t="shared" si="0"/>
        <v>0</v>
      </c>
      <c r="BA30" s="138">
        <v>6840</v>
      </c>
    </row>
    <row r="31" spans="1:53" ht="15.75" thickBot="1" x14ac:dyDescent="0.3">
      <c r="B31" s="7">
        <v>6860</v>
      </c>
      <c r="C31" s="15" t="s">
        <v>25</v>
      </c>
      <c r="D31" s="113"/>
      <c r="E31" s="114"/>
      <c r="F31" s="115"/>
      <c r="G31" s="116"/>
      <c r="H31" s="113"/>
      <c r="I31" s="114"/>
      <c r="J31" s="115"/>
      <c r="K31" s="116"/>
      <c r="L31" s="113"/>
      <c r="M31" s="114"/>
      <c r="N31" s="115"/>
      <c r="O31" s="116"/>
      <c r="P31" s="113"/>
      <c r="Q31" s="114"/>
      <c r="R31" s="115"/>
      <c r="S31" s="116"/>
      <c r="T31" s="113"/>
      <c r="U31" s="114"/>
      <c r="V31" s="115"/>
      <c r="W31" s="116"/>
      <c r="X31" s="113"/>
      <c r="Y31" s="114"/>
      <c r="Z31" s="115"/>
      <c r="AA31" s="116"/>
      <c r="AB31" s="113"/>
      <c r="AC31" s="114"/>
      <c r="AD31" s="115"/>
      <c r="AE31" s="116"/>
      <c r="AF31" s="113"/>
      <c r="AG31" s="114"/>
      <c r="AH31" s="115"/>
      <c r="AI31" s="116"/>
      <c r="AJ31" s="113"/>
      <c r="AK31" s="114"/>
      <c r="AL31" s="115"/>
      <c r="AM31" s="116"/>
      <c r="AN31" s="113">
        <v>10000</v>
      </c>
      <c r="AO31" s="114" t="s">
        <v>288</v>
      </c>
      <c r="AP31" s="115"/>
      <c r="AQ31" s="116"/>
      <c r="AR31" s="113"/>
      <c r="AS31" s="114"/>
      <c r="AT31" s="115"/>
      <c r="AU31" s="116"/>
      <c r="AV31" s="113"/>
      <c r="AW31" s="114"/>
      <c r="AX31" s="115"/>
      <c r="AZ31" s="134">
        <f t="shared" si="0"/>
        <v>10000</v>
      </c>
      <c r="BA31" s="138">
        <v>6860</v>
      </c>
    </row>
    <row r="32" spans="1:53" hidden="1" thickBot="1" x14ac:dyDescent="0.35">
      <c r="B32" s="7">
        <v>6910</v>
      </c>
      <c r="C32" s="15" t="s">
        <v>26</v>
      </c>
      <c r="D32" s="113"/>
      <c r="E32" s="114"/>
      <c r="F32" s="115"/>
      <c r="G32" s="116"/>
      <c r="H32" s="113"/>
      <c r="I32" s="114"/>
      <c r="J32" s="115"/>
      <c r="K32" s="116"/>
      <c r="L32" s="113"/>
      <c r="M32" s="114"/>
      <c r="N32" s="115"/>
      <c r="O32" s="116"/>
      <c r="P32" s="113"/>
      <c r="Q32" s="114"/>
      <c r="R32" s="115"/>
      <c r="S32" s="116"/>
      <c r="T32" s="113"/>
      <c r="U32" s="114"/>
      <c r="V32" s="115"/>
      <c r="W32" s="116"/>
      <c r="X32" s="113"/>
      <c r="Y32" s="114"/>
      <c r="Z32" s="115"/>
      <c r="AA32" s="116"/>
      <c r="AB32" s="113"/>
      <c r="AC32" s="114"/>
      <c r="AD32" s="115"/>
      <c r="AE32" s="116"/>
      <c r="AF32" s="113"/>
      <c r="AG32" s="114"/>
      <c r="AH32" s="115"/>
      <c r="AI32" s="116"/>
      <c r="AJ32" s="113"/>
      <c r="AK32" s="114"/>
      <c r="AL32" s="115"/>
      <c r="AM32" s="116"/>
      <c r="AN32" s="113"/>
      <c r="AO32" s="114"/>
      <c r="AP32" s="115"/>
      <c r="AQ32" s="116"/>
      <c r="AR32" s="113"/>
      <c r="AS32" s="114"/>
      <c r="AT32" s="115"/>
      <c r="AU32" s="116"/>
      <c r="AV32" s="113"/>
      <c r="AW32" s="114"/>
      <c r="AX32" s="115"/>
      <c r="AZ32" s="134">
        <f t="shared" si="0"/>
        <v>0</v>
      </c>
      <c r="BA32" s="138">
        <v>6910</v>
      </c>
    </row>
    <row r="33" spans="2:53" hidden="1" thickBot="1" x14ac:dyDescent="0.35">
      <c r="B33" s="7">
        <v>6940</v>
      </c>
      <c r="C33" s="15" t="s">
        <v>49</v>
      </c>
      <c r="D33" s="113"/>
      <c r="E33" s="114"/>
      <c r="F33" s="115"/>
      <c r="G33" s="116"/>
      <c r="H33" s="113"/>
      <c r="I33" s="114"/>
      <c r="J33" s="115"/>
      <c r="K33" s="116"/>
      <c r="L33" s="113"/>
      <c r="M33" s="114"/>
      <c r="N33" s="115"/>
      <c r="O33" s="116"/>
      <c r="P33" s="113"/>
      <c r="Q33" s="114"/>
      <c r="R33" s="115"/>
      <c r="S33" s="116"/>
      <c r="T33" s="113"/>
      <c r="U33" s="114"/>
      <c r="V33" s="115"/>
      <c r="W33" s="116"/>
      <c r="X33" s="113"/>
      <c r="Y33" s="114"/>
      <c r="Z33" s="115"/>
      <c r="AA33" s="116"/>
      <c r="AB33" s="113"/>
      <c r="AC33" s="114"/>
      <c r="AD33" s="115"/>
      <c r="AE33" s="116"/>
      <c r="AF33" s="113"/>
      <c r="AG33" s="114"/>
      <c r="AH33" s="115"/>
      <c r="AI33" s="116"/>
      <c r="AJ33" s="113"/>
      <c r="AK33" s="114"/>
      <c r="AL33" s="115"/>
      <c r="AM33" s="116"/>
      <c r="AN33" s="113"/>
      <c r="AO33" s="114"/>
      <c r="AP33" s="115"/>
      <c r="AQ33" s="116"/>
      <c r="AR33" s="113"/>
      <c r="AS33" s="114"/>
      <c r="AT33" s="115"/>
      <c r="AU33" s="116"/>
      <c r="AV33" s="113"/>
      <c r="AW33" s="114"/>
      <c r="AX33" s="115"/>
      <c r="AZ33" s="134">
        <f t="shared" si="0"/>
        <v>0</v>
      </c>
      <c r="BA33" s="138">
        <v>6940</v>
      </c>
    </row>
    <row r="34" spans="2:53" ht="15.75" thickBot="1" x14ac:dyDescent="0.3">
      <c r="B34" s="7">
        <v>7000</v>
      </c>
      <c r="C34" s="15" t="s">
        <v>27</v>
      </c>
      <c r="D34" s="113"/>
      <c r="E34" s="114"/>
      <c r="F34" s="115"/>
      <c r="G34" s="116"/>
      <c r="H34" s="113"/>
      <c r="I34" s="114"/>
      <c r="J34" s="115"/>
      <c r="K34" s="116"/>
      <c r="L34" s="113"/>
      <c r="M34" s="114"/>
      <c r="N34" s="115"/>
      <c r="O34" s="116"/>
      <c r="P34" s="113"/>
      <c r="Q34" s="114"/>
      <c r="R34" s="115"/>
      <c r="S34" s="116"/>
      <c r="T34" s="113"/>
      <c r="U34" s="114"/>
      <c r="V34" s="115"/>
      <c r="W34" s="116"/>
      <c r="X34" s="113"/>
      <c r="Y34" s="114"/>
      <c r="Z34" s="115"/>
      <c r="AA34" s="116"/>
      <c r="AB34" s="113"/>
      <c r="AC34" s="114"/>
      <c r="AD34" s="115"/>
      <c r="AE34" s="116"/>
      <c r="AF34" s="113">
        <v>2000</v>
      </c>
      <c r="AG34" s="114" t="s">
        <v>221</v>
      </c>
      <c r="AH34" s="115"/>
      <c r="AI34" s="116"/>
      <c r="AJ34" s="113"/>
      <c r="AK34" s="114"/>
      <c r="AL34" s="115"/>
      <c r="AM34" s="116"/>
      <c r="AN34" s="113"/>
      <c r="AO34" s="114"/>
      <c r="AP34" s="115"/>
      <c r="AQ34" s="116"/>
      <c r="AR34" s="113"/>
      <c r="AS34" s="114"/>
      <c r="AT34" s="115"/>
      <c r="AU34" s="116"/>
      <c r="AV34" s="113"/>
      <c r="AW34" s="114"/>
      <c r="AX34" s="115"/>
      <c r="AZ34" s="134">
        <f t="shared" si="0"/>
        <v>2000</v>
      </c>
      <c r="BA34" s="138">
        <v>7000</v>
      </c>
    </row>
    <row r="35" spans="2:53" ht="15.75" thickBot="1" x14ac:dyDescent="0.3">
      <c r="B35" s="7">
        <v>7100</v>
      </c>
      <c r="C35" s="15" t="s">
        <v>28</v>
      </c>
      <c r="D35" s="113"/>
      <c r="E35" s="114"/>
      <c r="F35" s="115"/>
      <c r="G35" s="116"/>
      <c r="H35" s="113"/>
      <c r="I35" s="114"/>
      <c r="J35" s="115"/>
      <c r="K35" s="116"/>
      <c r="L35" s="113"/>
      <c r="M35" s="114"/>
      <c r="N35" s="115"/>
      <c r="O35" s="116"/>
      <c r="P35" s="113">
        <v>1643</v>
      </c>
      <c r="Q35" s="114"/>
      <c r="R35" s="115"/>
      <c r="S35" s="116"/>
      <c r="T35" s="113">
        <v>3000</v>
      </c>
      <c r="U35" s="114"/>
      <c r="V35" s="115"/>
      <c r="W35" s="116"/>
      <c r="X35" s="113">
        <v>3000</v>
      </c>
      <c r="Y35" s="114"/>
      <c r="Z35" s="115"/>
      <c r="AA35" s="116"/>
      <c r="AB35" s="113"/>
      <c r="AC35" s="114"/>
      <c r="AD35" s="115"/>
      <c r="AE35" s="116"/>
      <c r="AF35" s="113">
        <v>3000</v>
      </c>
      <c r="AG35" s="114" t="s">
        <v>286</v>
      </c>
      <c r="AH35" s="115"/>
      <c r="AI35" s="116"/>
      <c r="AJ35" s="113"/>
      <c r="AK35" s="114"/>
      <c r="AL35" s="115"/>
      <c r="AM35" s="116"/>
      <c r="AN35" s="113"/>
      <c r="AO35" s="114"/>
      <c r="AP35" s="115"/>
      <c r="AQ35" s="116"/>
      <c r="AR35" s="113"/>
      <c r="AS35" s="114"/>
      <c r="AT35" s="115"/>
      <c r="AU35" s="116"/>
      <c r="AV35" s="113"/>
      <c r="AW35" s="114"/>
      <c r="AX35" s="115"/>
      <c r="AZ35" s="134">
        <f t="shared" si="0"/>
        <v>10643</v>
      </c>
      <c r="BA35" s="138">
        <v>7100</v>
      </c>
    </row>
    <row r="36" spans="2:53" hidden="1" thickBot="1" x14ac:dyDescent="0.35">
      <c r="B36" s="7">
        <v>7101</v>
      </c>
      <c r="C36" s="15" t="s">
        <v>29</v>
      </c>
      <c r="D36" s="113"/>
      <c r="E36" s="114"/>
      <c r="F36" s="115"/>
      <c r="G36" s="116"/>
      <c r="H36" s="113"/>
      <c r="I36" s="114"/>
      <c r="J36" s="115"/>
      <c r="K36" s="116"/>
      <c r="L36" s="113"/>
      <c r="M36" s="114"/>
      <c r="N36" s="115"/>
      <c r="O36" s="116"/>
      <c r="P36" s="113"/>
      <c r="Q36" s="114"/>
      <c r="R36" s="115"/>
      <c r="S36" s="116"/>
      <c r="T36" s="113"/>
      <c r="U36" s="114"/>
      <c r="V36" s="115"/>
      <c r="W36" s="116"/>
      <c r="X36" s="113"/>
      <c r="Y36" s="114"/>
      <c r="Z36" s="115"/>
      <c r="AA36" s="116"/>
      <c r="AB36" s="113"/>
      <c r="AC36" s="114"/>
      <c r="AD36" s="115"/>
      <c r="AE36" s="116"/>
      <c r="AF36" s="113"/>
      <c r="AG36" s="114"/>
      <c r="AH36" s="115"/>
      <c r="AI36" s="116"/>
      <c r="AJ36" s="113"/>
      <c r="AK36" s="114"/>
      <c r="AL36" s="115"/>
      <c r="AM36" s="116"/>
      <c r="AN36" s="113"/>
      <c r="AO36" s="114"/>
      <c r="AP36" s="115"/>
      <c r="AQ36" s="116"/>
      <c r="AR36" s="113"/>
      <c r="AS36" s="114"/>
      <c r="AT36" s="115"/>
      <c r="AU36" s="116"/>
      <c r="AV36" s="113"/>
      <c r="AW36" s="114"/>
      <c r="AX36" s="115"/>
      <c r="AZ36" s="134">
        <f t="shared" si="0"/>
        <v>0</v>
      </c>
      <c r="BA36" s="138">
        <v>7101</v>
      </c>
    </row>
    <row r="37" spans="2:53" ht="15.75" thickBot="1" x14ac:dyDescent="0.3">
      <c r="B37" s="7">
        <v>7110</v>
      </c>
      <c r="C37" s="15" t="s">
        <v>30</v>
      </c>
      <c r="D37" s="113"/>
      <c r="E37" s="114"/>
      <c r="F37" s="115"/>
      <c r="G37" s="116"/>
      <c r="H37" s="113"/>
      <c r="I37" s="114"/>
      <c r="J37" s="115"/>
      <c r="K37" s="116"/>
      <c r="L37" s="113"/>
      <c r="M37" s="114"/>
      <c r="N37" s="115"/>
      <c r="O37" s="116"/>
      <c r="P37" s="113">
        <v>1898</v>
      </c>
      <c r="Q37" s="114"/>
      <c r="R37" s="115"/>
      <c r="S37" s="116"/>
      <c r="T37" s="113">
        <v>5000</v>
      </c>
      <c r="U37" s="114"/>
      <c r="V37" s="115"/>
      <c r="W37" s="116"/>
      <c r="X37" s="113">
        <v>5000</v>
      </c>
      <c r="Y37" s="114"/>
      <c r="Z37" s="115"/>
      <c r="AA37" s="116"/>
      <c r="AB37" s="113">
        <v>5000</v>
      </c>
      <c r="AC37" s="114" t="s">
        <v>220</v>
      </c>
      <c r="AD37" s="115"/>
      <c r="AE37" s="116"/>
      <c r="AF37" s="113">
        <f>2000+3000</f>
        <v>5000</v>
      </c>
      <c r="AG37" s="114" t="s">
        <v>222</v>
      </c>
      <c r="AH37" s="115"/>
      <c r="AI37" s="116"/>
      <c r="AJ37" s="113"/>
      <c r="AK37" s="114"/>
      <c r="AL37" s="115"/>
      <c r="AM37" s="116"/>
      <c r="AN37" s="113"/>
      <c r="AO37" s="114"/>
      <c r="AP37" s="115"/>
      <c r="AQ37" s="116"/>
      <c r="AR37" s="113"/>
      <c r="AS37" s="114"/>
      <c r="AT37" s="115"/>
      <c r="AU37" s="116"/>
      <c r="AV37" s="113"/>
      <c r="AW37" s="114"/>
      <c r="AX37" s="115"/>
      <c r="AZ37" s="134">
        <f t="shared" si="0"/>
        <v>21898</v>
      </c>
      <c r="BA37" s="138">
        <v>7110</v>
      </c>
    </row>
    <row r="38" spans="2:53" ht="15.75" thickBot="1" x14ac:dyDescent="0.3">
      <c r="B38" s="7">
        <v>7141</v>
      </c>
      <c r="C38" s="15" t="s">
        <v>31</v>
      </c>
      <c r="D38" s="113"/>
      <c r="E38" s="114"/>
      <c r="F38" s="115"/>
      <c r="G38" s="116"/>
      <c r="H38" s="113"/>
      <c r="I38" s="114"/>
      <c r="J38" s="115"/>
      <c r="K38" s="116"/>
      <c r="L38" s="113"/>
      <c r="M38" s="114"/>
      <c r="N38" s="115"/>
      <c r="O38" s="116"/>
      <c r="P38" s="113">
        <v>8870</v>
      </c>
      <c r="Q38" s="114"/>
      <c r="R38" s="115"/>
      <c r="S38" s="116"/>
      <c r="T38" s="113">
        <v>4000</v>
      </c>
      <c r="U38" s="114"/>
      <c r="V38" s="115"/>
      <c r="W38" s="116"/>
      <c r="X38" s="113">
        <v>4000</v>
      </c>
      <c r="Y38" s="114"/>
      <c r="Z38" s="115"/>
      <c r="AA38" s="116"/>
      <c r="AB38" s="113">
        <f>3000</f>
        <v>3000</v>
      </c>
      <c r="AC38" s="114" t="s">
        <v>153</v>
      </c>
      <c r="AD38" s="115"/>
      <c r="AE38" s="116"/>
      <c r="AF38" s="113">
        <v>2000</v>
      </c>
      <c r="AG38" s="114" t="s">
        <v>223</v>
      </c>
      <c r="AH38" s="115"/>
      <c r="AI38" s="116"/>
      <c r="AJ38" s="113"/>
      <c r="AK38" s="114"/>
      <c r="AL38" s="115"/>
      <c r="AM38" s="116"/>
      <c r="AN38" s="113"/>
      <c r="AO38" s="114"/>
      <c r="AP38" s="115"/>
      <c r="AQ38" s="116"/>
      <c r="AR38" s="113"/>
      <c r="AS38" s="114"/>
      <c r="AT38" s="115"/>
      <c r="AU38" s="116"/>
      <c r="AV38" s="113"/>
      <c r="AW38" s="114"/>
      <c r="AX38" s="115"/>
      <c r="AZ38" s="134">
        <f t="shared" si="0"/>
        <v>21870</v>
      </c>
      <c r="BA38" s="138">
        <v>7141</v>
      </c>
    </row>
    <row r="39" spans="2:53" ht="15.75" thickBot="1" x14ac:dyDescent="0.3">
      <c r="B39" s="7">
        <v>7145</v>
      </c>
      <c r="C39" s="15" t="s">
        <v>32</v>
      </c>
      <c r="D39" s="113"/>
      <c r="E39" s="114"/>
      <c r="F39" s="115"/>
      <c r="G39" s="116"/>
      <c r="H39" s="113"/>
      <c r="I39" s="114"/>
      <c r="J39" s="115"/>
      <c r="K39" s="116"/>
      <c r="L39" s="113"/>
      <c r="M39" s="114"/>
      <c r="N39" s="115"/>
      <c r="O39" s="116"/>
      <c r="P39" s="113">
        <f>SUM(210+95+275+148.5+2495)</f>
        <v>3223.5</v>
      </c>
      <c r="Q39" s="114"/>
      <c r="R39" s="115"/>
      <c r="S39" s="116"/>
      <c r="T39" s="113">
        <v>1000</v>
      </c>
      <c r="U39" s="114"/>
      <c r="V39" s="115"/>
      <c r="W39" s="116"/>
      <c r="X39" s="113">
        <v>1000</v>
      </c>
      <c r="Y39" s="114"/>
      <c r="Z39" s="115"/>
      <c r="AA39" s="116"/>
      <c r="AB39" s="113"/>
      <c r="AC39" s="114"/>
      <c r="AD39" s="115"/>
      <c r="AE39" s="116"/>
      <c r="AF39" s="113">
        <v>1000</v>
      </c>
      <c r="AG39" s="114"/>
      <c r="AH39" s="115"/>
      <c r="AI39" s="116"/>
      <c r="AJ39" s="113"/>
      <c r="AK39" s="114"/>
      <c r="AL39" s="115"/>
      <c r="AM39" s="116"/>
      <c r="AN39" s="113"/>
      <c r="AO39" s="114"/>
      <c r="AP39" s="115"/>
      <c r="AQ39" s="116"/>
      <c r="AR39" s="113"/>
      <c r="AS39" s="114"/>
      <c r="AT39" s="115"/>
      <c r="AU39" s="116"/>
      <c r="AV39" s="113"/>
      <c r="AW39" s="114"/>
      <c r="AX39" s="115"/>
      <c r="AZ39" s="134">
        <f t="shared" si="0"/>
        <v>6223.5</v>
      </c>
      <c r="BA39" s="138">
        <v>7145</v>
      </c>
    </row>
    <row r="40" spans="2:53" ht="15.75" thickBot="1" x14ac:dyDescent="0.3">
      <c r="B40" s="7">
        <v>7162</v>
      </c>
      <c r="C40" s="15" t="s">
        <v>33</v>
      </c>
      <c r="D40" s="113"/>
      <c r="E40" s="114"/>
      <c r="F40" s="115"/>
      <c r="G40" s="116"/>
      <c r="H40" s="113"/>
      <c r="I40" s="114"/>
      <c r="J40" s="115"/>
      <c r="K40" s="116"/>
      <c r="L40" s="113"/>
      <c r="M40" s="114"/>
      <c r="N40" s="115"/>
      <c r="O40" s="116"/>
      <c r="P40" s="113">
        <f>SUM(18469+1842+1119+2676+165)</f>
        <v>24271</v>
      </c>
      <c r="Q40" s="114"/>
      <c r="R40" s="115"/>
      <c r="S40" s="116"/>
      <c r="T40" s="113">
        <v>2000</v>
      </c>
      <c r="U40" s="114"/>
      <c r="V40" s="115"/>
      <c r="W40" s="116"/>
      <c r="X40" s="113">
        <v>2000</v>
      </c>
      <c r="Y40" s="114"/>
      <c r="Z40" s="115"/>
      <c r="AA40" s="116"/>
      <c r="AB40" s="113">
        <f>2000</f>
        <v>2000</v>
      </c>
      <c r="AC40" s="114" t="s">
        <v>153</v>
      </c>
      <c r="AD40" s="115"/>
      <c r="AE40" s="116"/>
      <c r="AF40" s="113">
        <v>1500</v>
      </c>
      <c r="AG40" s="114" t="s">
        <v>223</v>
      </c>
      <c r="AH40" s="115"/>
      <c r="AI40" s="116"/>
      <c r="AJ40" s="113"/>
      <c r="AK40" s="114"/>
      <c r="AL40" s="115"/>
      <c r="AM40" s="116"/>
      <c r="AN40" s="113"/>
      <c r="AO40" s="114"/>
      <c r="AP40" s="115"/>
      <c r="AQ40" s="116"/>
      <c r="AR40" s="113"/>
      <c r="AS40" s="114"/>
      <c r="AT40" s="115"/>
      <c r="AU40" s="116"/>
      <c r="AV40" s="113"/>
      <c r="AW40" s="114"/>
      <c r="AX40" s="115"/>
      <c r="AZ40" s="134">
        <f t="shared" si="0"/>
        <v>31771</v>
      </c>
      <c r="BA40" s="138">
        <v>7162</v>
      </c>
    </row>
    <row r="41" spans="2:53" hidden="1" thickBot="1" x14ac:dyDescent="0.35">
      <c r="B41" s="7">
        <v>7320</v>
      </c>
      <c r="C41" s="15" t="s">
        <v>34</v>
      </c>
      <c r="D41" s="113"/>
      <c r="E41" s="114"/>
      <c r="F41" s="115"/>
      <c r="G41" s="116"/>
      <c r="H41" s="113"/>
      <c r="I41" s="114"/>
      <c r="J41" s="115"/>
      <c r="K41" s="116"/>
      <c r="L41" s="113"/>
      <c r="M41" s="114"/>
      <c r="N41" s="115"/>
      <c r="O41" s="116"/>
      <c r="P41" s="113"/>
      <c r="Q41" s="114"/>
      <c r="R41" s="115"/>
      <c r="S41" s="116"/>
      <c r="T41" s="113"/>
      <c r="U41" s="114"/>
      <c r="V41" s="115"/>
      <c r="W41" s="116"/>
      <c r="X41" s="113"/>
      <c r="Y41" s="114"/>
      <c r="Z41" s="115"/>
      <c r="AA41" s="116"/>
      <c r="AB41" s="113"/>
      <c r="AC41" s="114"/>
      <c r="AD41" s="115"/>
      <c r="AE41" s="116"/>
      <c r="AF41" s="113"/>
      <c r="AG41" s="114"/>
      <c r="AH41" s="115"/>
      <c r="AI41" s="116"/>
      <c r="AJ41" s="113"/>
      <c r="AK41" s="114"/>
      <c r="AL41" s="115"/>
      <c r="AM41" s="116"/>
      <c r="AN41" s="113"/>
      <c r="AO41" s="114"/>
      <c r="AP41" s="115"/>
      <c r="AQ41" s="116"/>
      <c r="AR41" s="113"/>
      <c r="AS41" s="114"/>
      <c r="AT41" s="115"/>
      <c r="AU41" s="116"/>
      <c r="AV41" s="113"/>
      <c r="AW41" s="114"/>
      <c r="AX41" s="115"/>
      <c r="AZ41" s="134">
        <f t="shared" si="0"/>
        <v>0</v>
      </c>
      <c r="BA41" s="138">
        <v>7320</v>
      </c>
    </row>
    <row r="42" spans="2:53" hidden="1" thickBot="1" x14ac:dyDescent="0.35">
      <c r="B42" s="7">
        <v>7350</v>
      </c>
      <c r="C42" s="15" t="s">
        <v>35</v>
      </c>
      <c r="D42" s="113"/>
      <c r="E42" s="114"/>
      <c r="F42" s="115"/>
      <c r="G42" s="116"/>
      <c r="H42" s="113"/>
      <c r="I42" s="114"/>
      <c r="J42" s="115"/>
      <c r="K42" s="116"/>
      <c r="L42" s="113"/>
      <c r="M42" s="114"/>
      <c r="N42" s="115"/>
      <c r="O42" s="116"/>
      <c r="P42" s="113"/>
      <c r="Q42" s="114"/>
      <c r="R42" s="115"/>
      <c r="S42" s="116"/>
      <c r="T42" s="113"/>
      <c r="U42" s="114"/>
      <c r="V42" s="115"/>
      <c r="W42" s="116"/>
      <c r="X42" s="113"/>
      <c r="Y42" s="114"/>
      <c r="Z42" s="115"/>
      <c r="AA42" s="116"/>
      <c r="AB42" s="113"/>
      <c r="AC42" s="114"/>
      <c r="AD42" s="115"/>
      <c r="AE42" s="116"/>
      <c r="AF42" s="113"/>
      <c r="AG42" s="114"/>
      <c r="AH42" s="115"/>
      <c r="AI42" s="116"/>
      <c r="AJ42" s="113"/>
      <c r="AK42" s="114"/>
      <c r="AL42" s="115"/>
      <c r="AM42" s="116"/>
      <c r="AN42" s="113"/>
      <c r="AO42" s="114"/>
      <c r="AP42" s="115"/>
      <c r="AQ42" s="116"/>
      <c r="AR42" s="113"/>
      <c r="AS42" s="114"/>
      <c r="AT42" s="115"/>
      <c r="AU42" s="116"/>
      <c r="AV42" s="113"/>
      <c r="AW42" s="114"/>
      <c r="AX42" s="115"/>
      <c r="AZ42" s="134">
        <f t="shared" si="0"/>
        <v>0</v>
      </c>
      <c r="BA42" s="138">
        <v>7350</v>
      </c>
    </row>
    <row r="43" spans="2:53" hidden="1" thickBot="1" x14ac:dyDescent="0.35">
      <c r="B43" s="7">
        <v>7400</v>
      </c>
      <c r="C43" s="15" t="s">
        <v>36</v>
      </c>
      <c r="D43" s="113"/>
      <c r="E43" s="114"/>
      <c r="F43" s="115"/>
      <c r="G43" s="116"/>
      <c r="H43" s="113"/>
      <c r="I43" s="114"/>
      <c r="J43" s="115"/>
      <c r="K43" s="116"/>
      <c r="L43" s="113"/>
      <c r="M43" s="114"/>
      <c r="N43" s="115"/>
      <c r="O43" s="116"/>
      <c r="P43" s="113"/>
      <c r="Q43" s="114"/>
      <c r="R43" s="115"/>
      <c r="S43" s="116"/>
      <c r="T43" s="113"/>
      <c r="U43" s="114"/>
      <c r="V43" s="115"/>
      <c r="W43" s="116"/>
      <c r="X43" s="113"/>
      <c r="Y43" s="114"/>
      <c r="Z43" s="115"/>
      <c r="AA43" s="116"/>
      <c r="AB43" s="113"/>
      <c r="AC43" s="114"/>
      <c r="AD43" s="115"/>
      <c r="AE43" s="116"/>
      <c r="AF43" s="113"/>
      <c r="AG43" s="114"/>
      <c r="AH43" s="115"/>
      <c r="AI43" s="116"/>
      <c r="AJ43" s="113"/>
      <c r="AK43" s="114"/>
      <c r="AL43" s="115"/>
      <c r="AM43" s="116"/>
      <c r="AN43" s="113"/>
      <c r="AO43" s="114"/>
      <c r="AP43" s="115"/>
      <c r="AQ43" s="116"/>
      <c r="AR43" s="113"/>
      <c r="AS43" s="114"/>
      <c r="AT43" s="115"/>
      <c r="AU43" s="116"/>
      <c r="AV43" s="113"/>
      <c r="AW43" s="114"/>
      <c r="AX43" s="115"/>
      <c r="AZ43" s="134">
        <f t="shared" si="0"/>
        <v>0</v>
      </c>
      <c r="BA43" s="138">
        <v>7400</v>
      </c>
    </row>
    <row r="44" spans="2:53" ht="15.75" thickBot="1" x14ac:dyDescent="0.3">
      <c r="B44" s="7">
        <v>7411</v>
      </c>
      <c r="C44" s="15" t="s">
        <v>37</v>
      </c>
      <c r="D44" s="113"/>
      <c r="E44" s="114"/>
      <c r="F44" s="115"/>
      <c r="G44" s="116"/>
      <c r="H44" s="113"/>
      <c r="I44" s="114"/>
      <c r="J44" s="115"/>
      <c r="K44" s="116"/>
      <c r="L44" s="113"/>
      <c r="M44" s="114"/>
      <c r="N44" s="115"/>
      <c r="O44" s="116"/>
      <c r="P44" s="113"/>
      <c r="Q44" s="114"/>
      <c r="R44" s="115"/>
      <c r="S44" s="116"/>
      <c r="T44" s="113"/>
      <c r="U44" s="114"/>
      <c r="V44" s="115"/>
      <c r="W44" s="116"/>
      <c r="X44" s="113"/>
      <c r="Y44" s="114"/>
      <c r="Z44" s="115"/>
      <c r="AA44" s="116"/>
      <c r="AB44" s="113"/>
      <c r="AC44" s="114"/>
      <c r="AD44" s="115"/>
      <c r="AE44" s="116"/>
      <c r="AF44" s="113">
        <v>500</v>
      </c>
      <c r="AG44" s="114" t="s">
        <v>223</v>
      </c>
      <c r="AH44" s="115"/>
      <c r="AI44" s="116"/>
      <c r="AJ44" s="113"/>
      <c r="AK44" s="114"/>
      <c r="AL44" s="115"/>
      <c r="AM44" s="116"/>
      <c r="AN44" s="113"/>
      <c r="AO44" s="114"/>
      <c r="AP44" s="115"/>
      <c r="AQ44" s="116"/>
      <c r="AR44" s="113"/>
      <c r="AS44" s="114"/>
      <c r="AT44" s="115"/>
      <c r="AU44" s="116"/>
      <c r="AV44" s="113"/>
      <c r="AW44" s="114"/>
      <c r="AX44" s="115"/>
      <c r="AZ44" s="134">
        <f t="shared" si="0"/>
        <v>500</v>
      </c>
      <c r="BA44" s="138">
        <v>7411</v>
      </c>
    </row>
    <row r="45" spans="2:53" ht="15.75" thickBot="1" x14ac:dyDescent="0.3">
      <c r="B45" s="7">
        <v>7420</v>
      </c>
      <c r="C45" s="15" t="s">
        <v>38</v>
      </c>
      <c r="D45" s="113"/>
      <c r="E45" s="114"/>
      <c r="F45" s="115"/>
      <c r="G45" s="116"/>
      <c r="H45" s="113"/>
      <c r="I45" s="114"/>
      <c r="J45" s="115"/>
      <c r="K45" s="116"/>
      <c r="L45" s="113"/>
      <c r="M45" s="114"/>
      <c r="N45" s="115"/>
      <c r="O45" s="116"/>
      <c r="P45" s="113">
        <f>SUM(1950)+5000</f>
        <v>6950</v>
      </c>
      <c r="Q45" s="114"/>
      <c r="R45" s="115"/>
      <c r="S45" s="116"/>
      <c r="T45" s="113">
        <v>5000</v>
      </c>
      <c r="U45" s="114"/>
      <c r="V45" s="115"/>
      <c r="W45" s="116"/>
      <c r="X45" s="113">
        <v>5000</v>
      </c>
      <c r="Y45" s="114"/>
      <c r="Z45" s="115"/>
      <c r="AA45" s="116"/>
      <c r="AB45" s="113">
        <v>5000</v>
      </c>
      <c r="AC45" s="114" t="s">
        <v>186</v>
      </c>
      <c r="AD45" s="115"/>
      <c r="AE45" s="116"/>
      <c r="AF45" s="113"/>
      <c r="AG45" s="114"/>
      <c r="AH45" s="115"/>
      <c r="AI45" s="116"/>
      <c r="AJ45" s="113"/>
      <c r="AK45" s="114"/>
      <c r="AL45" s="115"/>
      <c r="AM45" s="116"/>
      <c r="AN45" s="113"/>
      <c r="AO45" s="114"/>
      <c r="AP45" s="115"/>
      <c r="AQ45" s="116"/>
      <c r="AR45" s="113">
        <v>30000</v>
      </c>
      <c r="AS45" s="114"/>
      <c r="AT45" s="115"/>
      <c r="AU45" s="116"/>
      <c r="AV45" s="113"/>
      <c r="AW45" s="114"/>
      <c r="AX45" s="115"/>
      <c r="AZ45" s="134">
        <f t="shared" si="0"/>
        <v>51950</v>
      </c>
      <c r="BA45" s="138">
        <v>7420</v>
      </c>
    </row>
    <row r="46" spans="2:53" hidden="1" thickBot="1" x14ac:dyDescent="0.35">
      <c r="B46" s="7">
        <v>7425</v>
      </c>
      <c r="C46" s="15" t="s">
        <v>39</v>
      </c>
      <c r="D46" s="113"/>
      <c r="E46" s="114"/>
      <c r="F46" s="115"/>
      <c r="G46" s="116"/>
      <c r="H46" s="113"/>
      <c r="I46" s="114"/>
      <c r="J46" s="115"/>
      <c r="K46" s="116"/>
      <c r="L46" s="113"/>
      <c r="M46" s="114"/>
      <c r="N46" s="115"/>
      <c r="O46" s="116"/>
      <c r="P46" s="113"/>
      <c r="Q46" s="114"/>
      <c r="R46" s="115"/>
      <c r="S46" s="116"/>
      <c r="T46" s="113"/>
      <c r="U46" s="114"/>
      <c r="V46" s="115"/>
      <c r="W46" s="116"/>
      <c r="X46" s="113"/>
      <c r="Y46" s="114"/>
      <c r="Z46" s="115"/>
      <c r="AA46" s="116"/>
      <c r="AB46" s="113"/>
      <c r="AC46" s="114"/>
      <c r="AD46" s="115"/>
      <c r="AE46" s="116"/>
      <c r="AF46" s="113"/>
      <c r="AG46" s="114"/>
      <c r="AH46" s="115"/>
      <c r="AI46" s="116"/>
      <c r="AJ46" s="113"/>
      <c r="AK46" s="114"/>
      <c r="AL46" s="115"/>
      <c r="AM46" s="116"/>
      <c r="AN46" s="113"/>
      <c r="AO46" s="114"/>
      <c r="AP46" s="115"/>
      <c r="AQ46" s="116"/>
      <c r="AR46" s="113"/>
      <c r="AS46" s="114"/>
      <c r="AT46" s="115"/>
      <c r="AU46" s="116"/>
      <c r="AV46" s="113"/>
      <c r="AW46" s="114"/>
      <c r="AX46" s="115"/>
      <c r="AZ46" s="134">
        <f t="shared" si="0"/>
        <v>0</v>
      </c>
      <c r="BA46" s="138">
        <v>7425</v>
      </c>
    </row>
    <row r="47" spans="2:53" hidden="1" thickBot="1" x14ac:dyDescent="0.35">
      <c r="B47" s="7">
        <v>7430</v>
      </c>
      <c r="C47" s="15" t="s">
        <v>40</v>
      </c>
      <c r="D47" s="113"/>
      <c r="E47" s="114"/>
      <c r="F47" s="115"/>
      <c r="G47" s="116"/>
      <c r="H47" s="113"/>
      <c r="I47" s="114"/>
      <c r="J47" s="115"/>
      <c r="K47" s="116"/>
      <c r="L47" s="113"/>
      <c r="M47" s="114"/>
      <c r="N47" s="115"/>
      <c r="O47" s="116"/>
      <c r="P47" s="113"/>
      <c r="Q47" s="114"/>
      <c r="R47" s="115"/>
      <c r="S47" s="116"/>
      <c r="T47" s="113"/>
      <c r="U47" s="114"/>
      <c r="V47" s="115"/>
      <c r="W47" s="116"/>
      <c r="X47" s="113"/>
      <c r="Y47" s="114"/>
      <c r="Z47" s="115"/>
      <c r="AA47" s="116"/>
      <c r="AB47" s="113"/>
      <c r="AC47" s="114"/>
      <c r="AD47" s="115"/>
      <c r="AE47" s="116"/>
      <c r="AF47" s="113"/>
      <c r="AG47" s="114"/>
      <c r="AH47" s="115"/>
      <c r="AI47" s="116"/>
      <c r="AJ47" s="113"/>
      <c r="AK47" s="114"/>
      <c r="AL47" s="115"/>
      <c r="AM47" s="116"/>
      <c r="AN47" s="113"/>
      <c r="AO47" s="114"/>
      <c r="AP47" s="115"/>
      <c r="AQ47" s="116"/>
      <c r="AR47" s="113"/>
      <c r="AS47" s="114"/>
      <c r="AT47" s="115"/>
      <c r="AU47" s="116"/>
      <c r="AV47" s="113"/>
      <c r="AW47" s="114"/>
      <c r="AX47" s="115"/>
      <c r="AZ47" s="134">
        <f t="shared" si="0"/>
        <v>0</v>
      </c>
      <c r="BA47" s="138">
        <v>7430</v>
      </c>
    </row>
    <row r="48" spans="2:53" hidden="1" thickBot="1" x14ac:dyDescent="0.35">
      <c r="B48" s="7">
        <v>7500</v>
      </c>
      <c r="C48" s="15" t="s">
        <v>41</v>
      </c>
      <c r="D48" s="113"/>
      <c r="E48" s="114"/>
      <c r="F48" s="115"/>
      <c r="G48" s="116"/>
      <c r="H48" s="113"/>
      <c r="I48" s="114"/>
      <c r="J48" s="115"/>
      <c r="K48" s="116"/>
      <c r="L48" s="113"/>
      <c r="M48" s="114"/>
      <c r="N48" s="115"/>
      <c r="O48" s="116"/>
      <c r="P48" s="113"/>
      <c r="Q48" s="114"/>
      <c r="R48" s="115"/>
      <c r="S48" s="116"/>
      <c r="T48" s="113"/>
      <c r="U48" s="114"/>
      <c r="V48" s="115"/>
      <c r="W48" s="116"/>
      <c r="X48" s="113"/>
      <c r="Y48" s="114"/>
      <c r="Z48" s="115"/>
      <c r="AA48" s="116"/>
      <c r="AB48" s="113"/>
      <c r="AC48" s="114"/>
      <c r="AD48" s="115"/>
      <c r="AE48" s="116"/>
      <c r="AF48" s="113"/>
      <c r="AG48" s="114"/>
      <c r="AH48" s="115"/>
      <c r="AI48" s="116"/>
      <c r="AJ48" s="113"/>
      <c r="AK48" s="114"/>
      <c r="AL48" s="115"/>
      <c r="AM48" s="116"/>
      <c r="AN48" s="113"/>
      <c r="AO48" s="114"/>
      <c r="AP48" s="115"/>
      <c r="AQ48" s="116"/>
      <c r="AR48" s="113"/>
      <c r="AS48" s="114"/>
      <c r="AT48" s="115"/>
      <c r="AU48" s="116"/>
      <c r="AV48" s="113"/>
      <c r="AW48" s="114"/>
      <c r="AX48" s="115"/>
      <c r="AZ48" s="134">
        <f t="shared" si="0"/>
        <v>0</v>
      </c>
      <c r="BA48" s="138">
        <v>7500</v>
      </c>
    </row>
    <row r="49" spans="2:53" hidden="1" thickBot="1" x14ac:dyDescent="0.35">
      <c r="B49" s="7">
        <v>7746</v>
      </c>
      <c r="C49" s="15" t="s">
        <v>42</v>
      </c>
      <c r="D49" s="113"/>
      <c r="E49" s="114"/>
      <c r="F49" s="115"/>
      <c r="G49" s="116"/>
      <c r="H49" s="113"/>
      <c r="I49" s="114"/>
      <c r="J49" s="115"/>
      <c r="K49" s="116"/>
      <c r="L49" s="113"/>
      <c r="M49" s="114"/>
      <c r="N49" s="115"/>
      <c r="O49" s="116"/>
      <c r="P49" s="113"/>
      <c r="Q49" s="114"/>
      <c r="R49" s="115"/>
      <c r="S49" s="116"/>
      <c r="T49" s="113"/>
      <c r="U49" s="114"/>
      <c r="V49" s="115"/>
      <c r="W49" s="116"/>
      <c r="X49" s="113"/>
      <c r="Y49" s="114"/>
      <c r="Z49" s="115"/>
      <c r="AA49" s="116"/>
      <c r="AB49" s="113"/>
      <c r="AC49" s="114"/>
      <c r="AD49" s="115"/>
      <c r="AE49" s="116"/>
      <c r="AF49" s="113"/>
      <c r="AG49" s="114"/>
      <c r="AH49" s="115"/>
      <c r="AI49" s="116"/>
      <c r="AJ49" s="113"/>
      <c r="AK49" s="114"/>
      <c r="AL49" s="115"/>
      <c r="AM49" s="116"/>
      <c r="AN49" s="113"/>
      <c r="AO49" s="114"/>
      <c r="AP49" s="115"/>
      <c r="AQ49" s="116"/>
      <c r="AR49" s="113"/>
      <c r="AS49" s="114"/>
      <c r="AT49" s="115"/>
      <c r="AU49" s="116"/>
      <c r="AV49" s="113"/>
      <c r="AW49" s="114"/>
      <c r="AX49" s="115"/>
      <c r="AZ49" s="134">
        <f t="shared" si="0"/>
        <v>0</v>
      </c>
      <c r="BA49" s="138">
        <v>7746</v>
      </c>
    </row>
    <row r="50" spans="2:53" hidden="1" thickBot="1" x14ac:dyDescent="0.35">
      <c r="B50" s="7">
        <v>7770</v>
      </c>
      <c r="C50" s="15" t="s">
        <v>43</v>
      </c>
      <c r="D50" s="113"/>
      <c r="E50" s="114"/>
      <c r="F50" s="115"/>
      <c r="G50" s="116"/>
      <c r="H50" s="113"/>
      <c r="I50" s="114"/>
      <c r="J50" s="115"/>
      <c r="K50" s="116"/>
      <c r="L50" s="113"/>
      <c r="M50" s="114"/>
      <c r="N50" s="115"/>
      <c r="O50" s="116"/>
      <c r="P50" s="113"/>
      <c r="Q50" s="114"/>
      <c r="R50" s="115"/>
      <c r="S50" s="116"/>
      <c r="T50" s="113"/>
      <c r="U50" s="114"/>
      <c r="V50" s="115"/>
      <c r="W50" s="116"/>
      <c r="X50" s="113"/>
      <c r="Y50" s="114"/>
      <c r="Z50" s="115"/>
      <c r="AA50" s="116"/>
      <c r="AB50" s="113"/>
      <c r="AC50" s="114"/>
      <c r="AD50" s="115"/>
      <c r="AE50" s="116"/>
      <c r="AF50" s="113"/>
      <c r="AG50" s="114"/>
      <c r="AH50" s="115"/>
      <c r="AI50" s="116"/>
      <c r="AJ50" s="113"/>
      <c r="AK50" s="114"/>
      <c r="AL50" s="115"/>
      <c r="AM50" s="116"/>
      <c r="AN50" s="113"/>
      <c r="AO50" s="114"/>
      <c r="AP50" s="115"/>
      <c r="AQ50" s="116"/>
      <c r="AR50" s="113"/>
      <c r="AS50" s="114"/>
      <c r="AT50" s="115"/>
      <c r="AU50" s="116"/>
      <c r="AV50" s="113"/>
      <c r="AW50" s="114"/>
      <c r="AX50" s="115"/>
      <c r="AZ50" s="134">
        <f t="shared" si="0"/>
        <v>0</v>
      </c>
      <c r="BA50" s="138">
        <v>7770</v>
      </c>
    </row>
    <row r="51" spans="2:53" ht="15.75" thickBot="1" x14ac:dyDescent="0.3">
      <c r="B51" s="10">
        <v>7775</v>
      </c>
      <c r="C51" s="16" t="s">
        <v>44</v>
      </c>
      <c r="D51" s="117"/>
      <c r="E51" s="118"/>
      <c r="F51" s="119"/>
      <c r="G51" s="116"/>
      <c r="H51" s="117"/>
      <c r="I51" s="118"/>
      <c r="J51" s="119"/>
      <c r="K51" s="116"/>
      <c r="L51" s="117"/>
      <c r="M51" s="118"/>
      <c r="N51" s="119"/>
      <c r="O51" s="116"/>
      <c r="P51" s="117">
        <f>SUM(913+75)</f>
        <v>988</v>
      </c>
      <c r="Q51" s="118"/>
      <c r="R51" s="119"/>
      <c r="S51" s="116"/>
      <c r="T51" s="117"/>
      <c r="U51" s="118"/>
      <c r="V51" s="119"/>
      <c r="W51" s="116"/>
      <c r="X51" s="117"/>
      <c r="Y51" s="118"/>
      <c r="Z51" s="119"/>
      <c r="AA51" s="116"/>
      <c r="AB51" s="117"/>
      <c r="AC51" s="118"/>
      <c r="AD51" s="119"/>
      <c r="AE51" s="116"/>
      <c r="AF51" s="117"/>
      <c r="AG51" s="118"/>
      <c r="AH51" s="119"/>
      <c r="AI51" s="116"/>
      <c r="AJ51" s="117"/>
      <c r="AK51" s="118"/>
      <c r="AL51" s="119"/>
      <c r="AM51" s="116"/>
      <c r="AN51" s="117"/>
      <c r="AO51" s="118"/>
      <c r="AP51" s="119"/>
      <c r="AQ51" s="116"/>
      <c r="AR51" s="117"/>
      <c r="AS51" s="118"/>
      <c r="AT51" s="119"/>
      <c r="AU51" s="116"/>
      <c r="AV51" s="117"/>
      <c r="AW51" s="118"/>
      <c r="AX51" s="119"/>
      <c r="AZ51" s="134">
        <f t="shared" si="0"/>
        <v>988</v>
      </c>
      <c r="BA51" s="142">
        <v>7775</v>
      </c>
    </row>
    <row r="52" spans="2:53" ht="15.75" thickBot="1" x14ac:dyDescent="0.3">
      <c r="B52" s="32"/>
      <c r="C52" s="33" t="s">
        <v>74</v>
      </c>
      <c r="D52" s="135">
        <f>SUM(D12:D51)</f>
        <v>125206.837892</v>
      </c>
      <c r="E52" s="135"/>
      <c r="F52" s="129">
        <v>120830.6</v>
      </c>
      <c r="G52" s="116"/>
      <c r="H52" s="135">
        <f t="shared" ref="H52:J52" si="10">SUM(H12:H51)</f>
        <v>0</v>
      </c>
      <c r="I52" s="135"/>
      <c r="J52" s="129">
        <f t="shared" si="10"/>
        <v>0</v>
      </c>
      <c r="K52" s="116"/>
      <c r="L52" s="135">
        <f>SUM(L12:L51)</f>
        <v>0</v>
      </c>
      <c r="M52" s="135"/>
      <c r="N52" s="129">
        <f>SUM(N12:N51)</f>
        <v>0</v>
      </c>
      <c r="O52" s="116"/>
      <c r="P52" s="135">
        <f>SUM(P12:P51)</f>
        <v>57041.603999999999</v>
      </c>
      <c r="Q52" s="135"/>
      <c r="R52" s="129">
        <v>82740.039999999994</v>
      </c>
      <c r="S52" s="116"/>
      <c r="T52" s="135">
        <f>SUM(T12:T51)</f>
        <v>41000</v>
      </c>
      <c r="U52" s="135"/>
      <c r="V52" s="129">
        <v>24501.200000000001</v>
      </c>
      <c r="W52" s="116"/>
      <c r="X52" s="135">
        <f>SUM(X12:X51)</f>
        <v>31000</v>
      </c>
      <c r="Y52" s="135"/>
      <c r="Z52" s="129"/>
      <c r="AA52" s="116"/>
      <c r="AB52" s="135">
        <f t="shared" ref="AB52" si="11">SUM(AB12:AB51)</f>
        <v>18000</v>
      </c>
      <c r="AC52" s="135"/>
      <c r="AD52" s="129">
        <v>15328.91</v>
      </c>
      <c r="AE52" s="116"/>
      <c r="AF52" s="135">
        <f t="shared" ref="AF52:AH52" si="12">SUM(AF12:AF51)</f>
        <v>15000</v>
      </c>
      <c r="AG52" s="135"/>
      <c r="AH52" s="129">
        <f t="shared" si="12"/>
        <v>0</v>
      </c>
      <c r="AI52" s="116"/>
      <c r="AJ52" s="135">
        <f t="shared" ref="AJ52:AL52" si="13">SUM(AJ12:AJ51)</f>
        <v>0</v>
      </c>
      <c r="AK52" s="135"/>
      <c r="AL52" s="129">
        <f t="shared" si="13"/>
        <v>0</v>
      </c>
      <c r="AM52" s="116"/>
      <c r="AN52" s="135">
        <f t="shared" ref="AN52" si="14">SUM(AN12:AN51)</f>
        <v>10000</v>
      </c>
      <c r="AO52" s="135"/>
      <c r="AP52" s="129">
        <v>2770</v>
      </c>
      <c r="AQ52" s="116"/>
      <c r="AR52" s="135">
        <f t="shared" ref="AR52" si="15">SUM(AR12:AR51)</f>
        <v>30000</v>
      </c>
      <c r="AS52" s="135"/>
      <c r="AT52" s="129">
        <v>30000</v>
      </c>
      <c r="AU52" s="116"/>
      <c r="AV52" s="135">
        <f>SUM(AV12:AV51)</f>
        <v>0</v>
      </c>
      <c r="AW52" s="135"/>
      <c r="AX52" s="129"/>
      <c r="AY52" s="9"/>
      <c r="AZ52" s="134">
        <f>AV52+AR52+AN52+AJ52+AF52+AB52+T52+P52+L52+H52+D52+X52</f>
        <v>327248.44189199997</v>
      </c>
      <c r="BA52" s="139"/>
    </row>
    <row r="53" spans="2:53" ht="15.75" thickBot="1" x14ac:dyDescent="0.3">
      <c r="C53" s="18" t="s">
        <v>51</v>
      </c>
      <c r="D53" s="129">
        <f>D11-D52</f>
        <v>-125206.837892</v>
      </c>
      <c r="E53" s="129"/>
      <c r="F53" s="129">
        <f t="shared" ref="F53" si="16">F11-F52</f>
        <v>-120830.6</v>
      </c>
      <c r="G53" s="116"/>
      <c r="H53" s="129">
        <f>H11-H52</f>
        <v>0</v>
      </c>
      <c r="I53" s="129"/>
      <c r="J53" s="129">
        <f t="shared" ref="J53" si="17">J11-J52</f>
        <v>0</v>
      </c>
      <c r="K53" s="116"/>
      <c r="L53" s="129">
        <f>L11-L52</f>
        <v>0</v>
      </c>
      <c r="M53" s="129"/>
      <c r="N53" s="129">
        <f>N11-N52</f>
        <v>0</v>
      </c>
      <c r="O53" s="116"/>
      <c r="P53" s="129">
        <f>P11-P52</f>
        <v>-21052.603999999999</v>
      </c>
      <c r="Q53" s="129"/>
      <c r="R53" s="129">
        <f>R11-R52</f>
        <v>-49500.039999999994</v>
      </c>
      <c r="S53" s="116"/>
      <c r="T53" s="129">
        <f>T11-T52</f>
        <v>-41000</v>
      </c>
      <c r="U53" s="129"/>
      <c r="V53" s="129">
        <f>V11-V52</f>
        <v>-24501.200000000001</v>
      </c>
      <c r="W53" s="116"/>
      <c r="X53" s="129">
        <f>X11-X52</f>
        <v>-31000</v>
      </c>
      <c r="Y53" s="129"/>
      <c r="Z53" s="129"/>
      <c r="AA53" s="116"/>
      <c r="AB53" s="129">
        <f>AB11-AB52</f>
        <v>-18000</v>
      </c>
      <c r="AC53" s="129"/>
      <c r="AD53" s="129">
        <f t="shared" ref="AD53" si="18">AD11-AD52</f>
        <v>-15328.91</v>
      </c>
      <c r="AE53" s="116"/>
      <c r="AF53" s="129">
        <f>AF11-AF52</f>
        <v>-15000</v>
      </c>
      <c r="AG53" s="129"/>
      <c r="AH53" s="129">
        <f t="shared" ref="AH53" si="19">AH11-AH52</f>
        <v>0</v>
      </c>
      <c r="AI53" s="116"/>
      <c r="AJ53" s="129">
        <f t="shared" ref="AJ53" si="20">AJ11-AJ52</f>
        <v>0</v>
      </c>
      <c r="AK53" s="129"/>
      <c r="AL53" s="129">
        <f t="shared" ref="AL53:AX53" si="21">AL11-AL52</f>
        <v>0</v>
      </c>
      <c r="AM53" s="116"/>
      <c r="AN53" s="129">
        <f t="shared" ref="AN53" si="22">AN11-AN52</f>
        <v>-10000</v>
      </c>
      <c r="AO53" s="129"/>
      <c r="AP53" s="129">
        <f t="shared" si="21"/>
        <v>-2770</v>
      </c>
      <c r="AQ53" s="116"/>
      <c r="AR53" s="129">
        <f t="shared" ref="AR53" si="23">AR11-AR52</f>
        <v>-30000</v>
      </c>
      <c r="AS53" s="129"/>
      <c r="AT53" s="129">
        <f t="shared" si="21"/>
        <v>-30000</v>
      </c>
      <c r="AU53" s="116"/>
      <c r="AV53" s="129">
        <f t="shared" ref="AV53" si="24">AV11-AV52</f>
        <v>0</v>
      </c>
      <c r="AW53" s="129"/>
      <c r="AX53" s="129">
        <f t="shared" si="21"/>
        <v>0</v>
      </c>
      <c r="AY53" s="116"/>
      <c r="AZ53" s="129">
        <f>AZ11-AZ52</f>
        <v>-291259.44189199997</v>
      </c>
      <c r="BA53" s="143"/>
    </row>
    <row r="54" spans="2:53" x14ac:dyDescent="0.25">
      <c r="D54" s="19"/>
      <c r="E54" s="19"/>
      <c r="F54" s="19"/>
      <c r="G54" s="9"/>
      <c r="H54" s="19"/>
      <c r="I54" s="19"/>
      <c r="J54" s="19"/>
      <c r="K54" s="9"/>
      <c r="L54" s="19"/>
      <c r="M54" s="19"/>
      <c r="N54" s="19"/>
      <c r="O54" s="9"/>
      <c r="P54" s="19"/>
      <c r="Q54" s="19"/>
      <c r="R54" s="19"/>
      <c r="S54" s="9"/>
      <c r="T54" s="19"/>
      <c r="U54" s="19"/>
      <c r="V54" s="19"/>
      <c r="W54" s="9"/>
      <c r="X54" s="19"/>
      <c r="Y54" s="19"/>
      <c r="Z54" s="19"/>
      <c r="AA54" s="9"/>
      <c r="AB54" s="19"/>
      <c r="AC54" s="19"/>
      <c r="AD54" s="19"/>
      <c r="AE54" s="9"/>
      <c r="AF54" s="19"/>
      <c r="AG54" s="19"/>
      <c r="AH54" s="19"/>
      <c r="AI54" s="9"/>
      <c r="AJ54" s="19"/>
      <c r="AK54" s="19"/>
      <c r="AL54" s="19"/>
      <c r="AM54" s="9"/>
      <c r="AN54" s="19"/>
      <c r="AO54" s="19"/>
      <c r="AP54" s="19"/>
      <c r="AQ54" s="9"/>
      <c r="AR54" s="19"/>
      <c r="AS54" s="19"/>
      <c r="AT54" s="19"/>
      <c r="AU54" s="9"/>
      <c r="AV54" s="19"/>
      <c r="AW54" s="19"/>
      <c r="AX54" s="19"/>
    </row>
    <row r="55" spans="2:53" ht="14.45" customHeight="1" x14ac:dyDescent="0.25">
      <c r="H55" s="1" t="s">
        <v>261</v>
      </c>
      <c r="L55" s="1" t="s">
        <v>248</v>
      </c>
      <c r="P55" s="271" t="s">
        <v>272</v>
      </c>
      <c r="Q55" s="271"/>
      <c r="R55" s="271"/>
      <c r="T55" s="272" t="s">
        <v>285</v>
      </c>
      <c r="U55" s="272"/>
      <c r="V55" s="272"/>
      <c r="X55" s="272" t="s">
        <v>285</v>
      </c>
      <c r="Y55" s="272"/>
      <c r="Z55" s="272"/>
      <c r="AB55" s="272" t="s">
        <v>225</v>
      </c>
      <c r="AC55" s="272"/>
      <c r="AD55" s="272"/>
      <c r="AF55" s="271" t="s">
        <v>224</v>
      </c>
      <c r="AG55" s="271"/>
      <c r="AH55" s="271"/>
    </row>
    <row r="56" spans="2:53" x14ac:dyDescent="0.25">
      <c r="P56" s="271"/>
      <c r="Q56" s="271"/>
      <c r="R56" s="271"/>
      <c r="T56" s="272"/>
      <c r="U56" s="272"/>
      <c r="V56" s="272"/>
      <c r="X56" s="272"/>
      <c r="Y56" s="272"/>
      <c r="Z56" s="272"/>
      <c r="AB56" s="272"/>
      <c r="AC56" s="272"/>
      <c r="AD56" s="272"/>
      <c r="AF56" s="271"/>
      <c r="AG56" s="271"/>
      <c r="AH56" s="271"/>
    </row>
    <row r="57" spans="2:53" x14ac:dyDescent="0.25">
      <c r="P57" s="271"/>
      <c r="Q57" s="271"/>
      <c r="R57" s="271"/>
      <c r="T57" s="272"/>
      <c r="U57" s="272"/>
      <c r="V57" s="272"/>
      <c r="X57" s="272"/>
      <c r="Y57" s="272"/>
      <c r="Z57" s="272"/>
      <c r="AB57" s="272"/>
      <c r="AC57" s="272"/>
      <c r="AD57" s="272"/>
      <c r="AF57" s="271"/>
      <c r="AG57" s="271"/>
      <c r="AH57" s="271"/>
    </row>
    <row r="58" spans="2:53" x14ac:dyDescent="0.25">
      <c r="P58" s="271"/>
      <c r="Q58" s="271"/>
      <c r="R58" s="271"/>
      <c r="T58" s="272"/>
      <c r="U58" s="272"/>
      <c r="V58" s="272"/>
      <c r="X58" s="272"/>
      <c r="Y58" s="272"/>
      <c r="Z58" s="272"/>
      <c r="AB58" s="272"/>
      <c r="AC58" s="272"/>
      <c r="AD58" s="272"/>
      <c r="AF58" s="271"/>
      <c r="AG58" s="271"/>
      <c r="AH58" s="271"/>
    </row>
    <row r="59" spans="2:53" x14ac:dyDescent="0.25">
      <c r="P59" s="271"/>
      <c r="Q59" s="271"/>
      <c r="R59" s="271"/>
      <c r="T59" s="272"/>
      <c r="U59" s="272"/>
      <c r="V59" s="272"/>
      <c r="X59" s="272"/>
      <c r="Y59" s="272"/>
      <c r="Z59" s="272"/>
      <c r="AF59" s="271"/>
      <c r="AG59" s="271"/>
      <c r="AH59" s="271"/>
    </row>
    <row r="60" spans="2:53" x14ac:dyDescent="0.25">
      <c r="P60" s="271"/>
      <c r="Q60" s="271"/>
      <c r="R60" s="271"/>
      <c r="T60" s="272"/>
      <c r="U60" s="272"/>
      <c r="V60" s="272"/>
      <c r="X60" s="272"/>
      <c r="Y60" s="272"/>
      <c r="Z60" s="272"/>
      <c r="AF60" s="271"/>
      <c r="AG60" s="271"/>
      <c r="AH60" s="271"/>
    </row>
    <row r="61" spans="2:53" x14ac:dyDescent="0.25">
      <c r="P61" s="271"/>
      <c r="Q61" s="271"/>
      <c r="R61" s="271"/>
      <c r="T61" s="272"/>
      <c r="U61" s="272"/>
      <c r="V61" s="272"/>
      <c r="X61" s="272"/>
      <c r="Y61" s="272"/>
      <c r="Z61" s="272"/>
    </row>
    <row r="62" spans="2:53" x14ac:dyDescent="0.25">
      <c r="P62" s="271"/>
      <c r="Q62" s="271"/>
      <c r="R62" s="271"/>
    </row>
  </sheetData>
  <sheetProtection algorithmName="SHA-512" hashValue="A68H7bTWOrrQyy567QKVV5I/lEiq/Po/44yGnNdAquO2DpEW3gcWHlNXDfOXJUPRPVDZ+OiSJ4Q8D0h6QkD1tw==" saltValue="QYYQv8OeXH1rj23JC6URBA==" spinCount="100000" sheet="1" objects="1" scenarios="1" selectLockedCells="1"/>
  <protectedRanges>
    <protectedRange sqref="D17 H17:I17 L17:M17 AB17:AC17 AF17:AG17 AJ17:AK17 AN17:AO17 AR17:AS17 AV17:AW17 P17:Q17 T17:U17 X17:Y17" name="Område2_2_1"/>
    <protectedRange password="8B3B" sqref="H19:I20 L19:M20 AB19:AC20 AF19:AG20 AJ19:AK20 AN19:AO20 AR19:AS20 AV19:AW20 P19:Q20 T19:U20 X19:Y20" name="Område1_2_1"/>
  </protectedRanges>
  <mergeCells count="19">
    <mergeCell ref="B2:C2"/>
    <mergeCell ref="AK1:AL1"/>
    <mergeCell ref="AO1:AP1"/>
    <mergeCell ref="AS1:AT1"/>
    <mergeCell ref="B1:C1"/>
    <mergeCell ref="M1:N1"/>
    <mergeCell ref="E1:F1"/>
    <mergeCell ref="I1:J1"/>
    <mergeCell ref="AC1:AD1"/>
    <mergeCell ref="AG1:AH1"/>
    <mergeCell ref="Q1:R1"/>
    <mergeCell ref="U1:V1"/>
    <mergeCell ref="AW1:AX1"/>
    <mergeCell ref="P55:R62"/>
    <mergeCell ref="Y1:Z1"/>
    <mergeCell ref="T55:V61"/>
    <mergeCell ref="X55:Z61"/>
    <mergeCell ref="AB55:AD58"/>
    <mergeCell ref="AF55:AH60"/>
  </mergeCells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Overordnet prosjektplan</vt:lpstr>
      <vt:lpstr>Hvor kan penger brukes</vt:lpstr>
      <vt:lpstr>Lønnsmatrise</vt:lpstr>
      <vt:lpstr>Sammendrag Prosjektplan</vt:lpstr>
      <vt:lpstr>Sammendrag Kontoplan</vt:lpstr>
      <vt:lpstr>1 Administrasjon</vt:lpstr>
      <vt:lpstr>2 Ekstern kommunikasjon</vt:lpstr>
      <vt:lpstr>3 Forbundsutvikling</vt:lpstr>
      <vt:lpstr>4. Utvilklingstiltak</vt:lpstr>
      <vt:lpstr>5 Klubbutvikling</vt:lpstr>
      <vt:lpstr>6 Barn og Ungdom</vt:lpstr>
      <vt:lpstr>7 Konkurranse</vt:lpstr>
      <vt:lpstr>8 Eliteaktivitet</vt:lpstr>
      <vt:lpstr>9 Anlegg og infrastruktur</vt:lpstr>
    </vt:vector>
  </TitlesOfParts>
  <Company>NIF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US-SOBA</dc:creator>
  <cp:lastModifiedBy>BC</cp:lastModifiedBy>
  <cp:lastPrinted>2014-11-14T14:39:58Z</cp:lastPrinted>
  <dcterms:created xsi:type="dcterms:W3CDTF">2012-06-05T11:31:12Z</dcterms:created>
  <dcterms:modified xsi:type="dcterms:W3CDTF">2017-03-13T13:54:41Z</dcterms:modified>
  <cp:contentStatus>Endelig</cp:contentStatus>
</cp:coreProperties>
</file>