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2af659dd60247f/Dokumenter/"/>
    </mc:Choice>
  </mc:AlternateContent>
  <xr:revisionPtr revIDLastSave="888" documentId="8_{7AA3231D-BD8F-4076-9572-3990B4BE972D}" xr6:coauthVersionLast="46" xr6:coauthVersionMax="46" xr10:uidLastSave="{6ACB597D-52E2-412E-B73E-20492875CC77}"/>
  <workbookProtection workbookAlgorithmName="SHA-512" workbookHashValue="B9mMbGi9lqQsN+KuhSL/X7UmfPwyBP2luithPPo56Qx0n5ALVGCMMAMFJKuWoVw1BHQgcscAEcJsADhvKG1R8g==" workbookSaltValue="uI+C+Cqz0HtzGIOKR3sMQw==" workbookSpinCount="100000" lockStructure="1"/>
  <bookViews>
    <workbookView xWindow="-25320" yWindow="-120" windowWidth="25440" windowHeight="15390" xr2:uid="{DAFE0112-A54E-4134-83A4-ED4D63F5AAF3}"/>
  </bookViews>
  <sheets>
    <sheet name="Opskrift" sheetId="1" r:id="rId1"/>
    <sheet name="Må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B25" i="3" l="1" a="1"/>
  <c r="B25" i="3" s="1"/>
  <c r="C18" i="1" s="1"/>
  <c r="B24" i="3" a="1"/>
  <c r="B24" i="3" s="1"/>
  <c r="B23" i="3" a="1"/>
  <c r="B23" i="3" s="1"/>
  <c r="B22" i="3" a="1"/>
  <c r="B22" i="3" s="1"/>
  <c r="C19" i="1" s="1"/>
  <c r="D19" i="1" s="1"/>
  <c r="B21" i="3" a="1"/>
  <c r="B21" i="3" s="1"/>
  <c r="B20" i="3" a="1"/>
  <c r="B20" i="3" s="1"/>
  <c r="B19" i="3" a="1"/>
  <c r="B19" i="3" s="1"/>
  <c r="E6" i="3" s="1"/>
  <c r="B18" i="3" a="1"/>
  <c r="B18" i="3" s="1"/>
  <c r="B17" i="3" a="1"/>
  <c r="B17" i="3" s="1"/>
  <c r="B16" i="3" a="1"/>
  <c r="B16" i="3" s="1"/>
  <c r="B15" i="3" a="1"/>
  <c r="B15" i="3" s="1"/>
  <c r="B14" i="3" a="1"/>
  <c r="B14" i="3" s="1"/>
  <c r="B13" i="3" a="1"/>
  <c r="B13" i="3" s="1"/>
  <c r="B11" i="3" a="1"/>
  <c r="B11" i="3" s="1"/>
  <c r="B12" i="3" a="1"/>
  <c r="B12" i="3" s="1"/>
  <c r="E3" i="3" l="1"/>
  <c r="C50" i="1"/>
  <c r="D50" i="1" s="1"/>
  <c r="C58" i="1"/>
  <c r="D58" i="1" s="1"/>
  <c r="C55" i="1"/>
  <c r="D55" i="1" s="1"/>
  <c r="C57" i="1" s="1"/>
  <c r="D57" i="1" s="1"/>
  <c r="C46" i="1"/>
  <c r="D46" i="1" s="1"/>
  <c r="F3" i="3"/>
  <c r="D18" i="1"/>
  <c r="C20" i="1" s="1"/>
  <c r="C23" i="1" l="1"/>
  <c r="D23" i="1" s="1"/>
  <c r="C24" i="1" s="1"/>
  <c r="D24" i="1" s="1"/>
  <c r="C21" i="1" l="1"/>
  <c r="D21" i="1" s="1"/>
  <c r="F4" i="3"/>
  <c r="E5" i="3" l="1"/>
  <c r="F5" i="3" s="1"/>
  <c r="C39" i="1" s="1"/>
  <c r="C53" i="1" s="1"/>
  <c r="D53" i="1" s="1"/>
  <c r="C54" i="1" l="1"/>
  <c r="D54" i="1" s="1"/>
  <c r="C40" i="1"/>
  <c r="D40" i="1" s="1"/>
  <c r="C44" i="1"/>
  <c r="D44" i="1" s="1"/>
  <c r="F6" i="3"/>
  <c r="G13" i="3"/>
  <c r="D39" i="1"/>
  <c r="F14" i="3"/>
  <c r="C43" i="1"/>
  <c r="D43" i="1" s="1"/>
  <c r="C42" i="1"/>
  <c r="D42" i="1" s="1"/>
  <c r="C41" i="1"/>
  <c r="D41" i="1" s="1"/>
  <c r="C45" i="1" l="1"/>
  <c r="D45" i="1" s="1"/>
  <c r="C49" i="1" s="1"/>
  <c r="D49" i="1" s="1"/>
  <c r="C38" i="1"/>
  <c r="D38" i="1" s="1"/>
  <c r="C28" i="1"/>
  <c r="F7" i="3"/>
  <c r="F8" i="3" l="1"/>
  <c r="C29" i="1"/>
  <c r="D28" i="1"/>
  <c r="F9" i="3" l="1"/>
  <c r="F10" i="3" s="1"/>
  <c r="F11" i="3" s="1"/>
  <c r="F12" i="3" s="1"/>
  <c r="F13" i="3" s="1"/>
  <c r="D29" i="1"/>
  <c r="C30" i="1"/>
  <c r="D30" i="1" l="1"/>
  <c r="C31" i="1"/>
  <c r="D31" i="1" s="1"/>
  <c r="C32" i="1" l="1"/>
  <c r="D32" i="1" s="1"/>
  <c r="C33" i="1" s="1"/>
  <c r="D33" i="1" l="1"/>
  <c r="B34" i="1" l="1"/>
  <c r="H35" i="1"/>
  <c r="B35" i="1"/>
  <c r="E33" i="1"/>
  <c r="C35" i="1"/>
  <c r="D35" i="1" s="1"/>
  <c r="C34" i="1"/>
  <c r="D34" i="1" s="1"/>
  <c r="E35" i="1"/>
  <c r="E34" i="1"/>
  <c r="C64" i="3" l="1"/>
  <c r="J10" i="1"/>
  <c r="C31" i="3" s="1"/>
  <c r="C49" i="3"/>
  <c r="C70" i="3" l="1"/>
  <c r="J12" i="1"/>
  <c r="C39" i="3"/>
  <c r="C37" i="3"/>
  <c r="C46" i="3"/>
  <c r="C47" i="3"/>
  <c r="C63" i="3"/>
  <c r="C61" i="3"/>
  <c r="C52" i="3"/>
  <c r="C32" i="3"/>
  <c r="C62" i="3"/>
  <c r="C48" i="3"/>
  <c r="C50" i="3" l="1"/>
  <c r="C45" i="3"/>
  <c r="C51" i="3" l="1"/>
  <c r="C69" i="3"/>
  <c r="L69" i="3"/>
  <c r="C66" i="3"/>
  <c r="C41" i="3" l="1"/>
  <c r="C6" i="3" l="1"/>
  <c r="C5" i="3"/>
  <c r="C3" i="3"/>
  <c r="Z14" i="3" l="1"/>
  <c r="Z16" i="3"/>
  <c r="C65" i="3" l="1"/>
  <c r="N69" i="3" s="1"/>
  <c r="M69" i="3" l="1"/>
  <c r="C56" i="3" s="1"/>
  <c r="C40" i="3" l="1"/>
  <c r="D56" i="3"/>
  <c r="I64" i="3" l="1"/>
  <c r="J64" i="3" l="1"/>
  <c r="C33" i="3"/>
  <c r="C35" i="3" s="1"/>
  <c r="C38" i="3"/>
  <c r="C34" i="3"/>
  <c r="J11" i="1"/>
  <c r="C3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Pernille Bendsen</author>
  </authors>
  <commentList>
    <comment ref="F7" authorId="0" shapeId="0" xr:uid="{F097C91B-808A-45F7-8A7B-5B3C0CE3C5F7}">
      <text>
        <r>
          <rPr>
            <b/>
            <sz val="9"/>
            <color indexed="81"/>
            <rFont val="Tahoma"/>
            <family val="2"/>
          </rPr>
          <t>Pernille Bendsen:</t>
        </r>
        <r>
          <rPr>
            <sz val="9"/>
            <color indexed="81"/>
            <rFont val="Tahoma"/>
            <family val="2"/>
          </rPr>
          <t xml:space="preserve">
Bare for at kunne huske det :-) </t>
        </r>
      </text>
    </comment>
    <comment ref="F9" authorId="0" shapeId="0" xr:uid="{5A35CB76-2416-4461-B4A7-DA3AF45AC64F}">
      <text>
        <r>
          <rPr>
            <b/>
            <sz val="9"/>
            <color indexed="81"/>
            <rFont val="Tahoma"/>
            <family val="2"/>
          </rPr>
          <t>Pernille Bendsen:</t>
        </r>
        <r>
          <rPr>
            <sz val="9"/>
            <color indexed="81"/>
            <rFont val="Tahoma"/>
            <family val="2"/>
          </rPr>
          <t xml:space="preserve">
Bare for at kunne huske det :-)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<sst xmlns="http://schemas.openxmlformats.org/spreadsheetml/2006/main" count="285" uniqueCount="195">
  <si>
    <t>Mål A</t>
  </si>
  <si>
    <t>Masker</t>
  </si>
  <si>
    <t>pinde = 10cm</t>
  </si>
  <si>
    <t>masker = 10cm</t>
  </si>
  <si>
    <t>Strikkefasthed kanter</t>
  </si>
  <si>
    <t>Strikkefasthed mønster</t>
  </si>
  <si>
    <t>Mål B2</t>
  </si>
  <si>
    <t>Mål C</t>
  </si>
  <si>
    <t>Mål D</t>
  </si>
  <si>
    <t>Mål E</t>
  </si>
  <si>
    <t>Mål F</t>
  </si>
  <si>
    <t>Mål G</t>
  </si>
  <si>
    <t>Mål H</t>
  </si>
  <si>
    <t>Mål I</t>
  </si>
  <si>
    <t>Mål J</t>
  </si>
  <si>
    <t>Mål K</t>
  </si>
  <si>
    <t>Mål L</t>
  </si>
  <si>
    <t>Brede af nederste kant</t>
  </si>
  <si>
    <t>Brede af nederst på mønster</t>
  </si>
  <si>
    <t>Brede bluse lige inden ærmegab</t>
  </si>
  <si>
    <t>Fra øverst på kant til ærmegab</t>
  </si>
  <si>
    <t>Brede af skulderstykke</t>
  </si>
  <si>
    <t>Brede af skrå halsstykke</t>
  </si>
  <si>
    <t>Lige stykke midt på hals</t>
  </si>
  <si>
    <t>højde af skrå halsstykke</t>
  </si>
  <si>
    <t>Kontrol masketælling</t>
  </si>
  <si>
    <t>Mål a</t>
  </si>
  <si>
    <t>Mål b</t>
  </si>
  <si>
    <t>Brede af nederste kant ærme</t>
  </si>
  <si>
    <t>Brede af nederst ærme mønster</t>
  </si>
  <si>
    <t>Mål c</t>
  </si>
  <si>
    <t>Brede af ærme inden ærmegab</t>
  </si>
  <si>
    <t>længde af ærme fra øverst på kant til ærmegab</t>
  </si>
  <si>
    <t>Mål d</t>
  </si>
  <si>
    <t>Mål e</t>
  </si>
  <si>
    <t>Mål f</t>
  </si>
  <si>
    <t>Mål g</t>
  </si>
  <si>
    <t>Total længde af ærme</t>
  </si>
  <si>
    <t>Udfra afrundede masketal</t>
  </si>
  <si>
    <t>Kontrol måling af ærmegab</t>
  </si>
  <si>
    <t>Mål a1</t>
  </si>
  <si>
    <t>Længe af ærmekant</t>
  </si>
  <si>
    <t>L13&gt;0</t>
  </si>
  <si>
    <t>L13=0</t>
  </si>
  <si>
    <t>Mønsteret er perfekt</t>
  </si>
  <si>
    <t>L13&lt;0</t>
  </si>
  <si>
    <t>Højde nederste kant</t>
  </si>
  <si>
    <t>Mål i cm</t>
  </si>
  <si>
    <t>Mål C1</t>
  </si>
  <si>
    <t>Udfra afrundede masketal (max variation 1cm)</t>
  </si>
  <si>
    <t>Beregnet (max variation 1cm)</t>
  </si>
  <si>
    <t>Kontrol, skal være mindre end B1</t>
  </si>
  <si>
    <t>Kontrol, skal være ca. = B1 (max variation 1cm)</t>
  </si>
  <si>
    <t>Step 1</t>
  </si>
  <si>
    <t>Step 2</t>
  </si>
  <si>
    <t>Mål M</t>
  </si>
  <si>
    <t>Højde af hele ærmegab</t>
  </si>
  <si>
    <t>Lige lukning til ærmegab (kan godt være 0)</t>
  </si>
  <si>
    <t>Højde af skulderstykke (kan godt være 0)</t>
  </si>
  <si>
    <t>Step 3</t>
  </si>
  <si>
    <t>brede af skrå del af ærmegab (kan godt være 0)</t>
  </si>
  <si>
    <t>højde af skrå del af ærmegab (kan godt være 0)</t>
  </si>
  <si>
    <t>Mål h</t>
  </si>
  <si>
    <t>masker for lidt i mønsteret over hals og skulder som skal fordeles, det kan være på den lige del af halsstykket hvis det er vigtigt at hals uskæringen er bred eller på skulder aflukningen</t>
  </si>
  <si>
    <t>masker for meget i mønsteret over hals og skulder som skal fordeles, det kan være på den lige del af halsstykket hvis det er vigtigt at hals uskæringen er bred eller på skulder aflukningen</t>
  </si>
  <si>
    <t xml:space="preserve">Pernille Bendsen Strikkeopskrift - © pernillesstrik.dk </t>
  </si>
  <si>
    <t>Antal masker nederst krop</t>
  </si>
  <si>
    <t>Antal masker nederst ærme</t>
  </si>
  <si>
    <t>cm er ærmeskulders omkreds større end ærmegab, ca. 2 cm kan justeres når du syr blusen sammen. 
Er der større forkel skal du overveje dine mål eller om der er en slags læg på skulderen.</t>
  </si>
  <si>
    <t>cm er ærmeskulders omkreds mindre end ærmegab, ikke mere end 2 cm kan justeres når du syr blusen sammen. 
Overvej at gøre ærmet lidt bredere eller ærmegabet lidt mindre højt.</t>
  </si>
  <si>
    <t>Vælg størrelse</t>
  </si>
  <si>
    <t>Her er de vigtigste mål du skal tjekke:</t>
  </si>
  <si>
    <t>Her er alle mål og nogle kontrol beregninger:</t>
  </si>
  <si>
    <t>Begynder du at justerer mål skal du tjekker alle kontolfelter</t>
  </si>
  <si>
    <t>Du skal vælge den rigtige størrelse og tjekke de 3 vigtigste mål. 
Alle mål er fleksible og kan justeres, hvis du har specifikke ønsker.</t>
  </si>
  <si>
    <t>strik</t>
  </si>
  <si>
    <t>Du skal måle din strikkefasthed for den kantstik (blå felt) og det mønster (grøn felt) du ønsker at strikke.</t>
  </si>
  <si>
    <t>Begynder du at justerer mål skal du tjekke kontolfelterne</t>
  </si>
  <si>
    <t>Total mål til hals starter</t>
  </si>
  <si>
    <t>Total mål til højeste punkt til skulder</t>
  </si>
  <si>
    <t>Brede af skrå del af ærmegab (er 0 ved instiks ærmegab)</t>
  </si>
  <si>
    <t>Højde af skrå del af ærmegab (er 0 ved instiks ærmegab)</t>
  </si>
  <si>
    <t>A</t>
  </si>
  <si>
    <t>C</t>
  </si>
  <si>
    <t>D</t>
  </si>
  <si>
    <t>Back length -  measured from shoulderpoint</t>
  </si>
  <si>
    <t>E</t>
  </si>
  <si>
    <t>G</t>
  </si>
  <si>
    <t>H</t>
  </si>
  <si>
    <t>E+F+G</t>
  </si>
  <si>
    <t>I</t>
  </si>
  <si>
    <t>J</t>
  </si>
  <si>
    <t>½ Upper sleeve width - straight measure</t>
  </si>
  <si>
    <t>K</t>
  </si>
  <si>
    <t>Bottom sleeve rib height  1x1</t>
  </si>
  <si>
    <t xml:space="preserve"> </t>
  </si>
  <si>
    <t>3 år</t>
  </si>
  <si>
    <t>4 år</t>
  </si>
  <si>
    <t>5 år</t>
  </si>
  <si>
    <t>6 år</t>
  </si>
  <si>
    <t>7 år</t>
  </si>
  <si>
    <t>8 år</t>
  </si>
  <si>
    <t>9 år</t>
  </si>
  <si>
    <t>10 år</t>
  </si>
  <si>
    <t>12 år</t>
  </si>
  <si>
    <t>14 år</t>
  </si>
  <si>
    <r>
      <t xml:space="preserve">masker </t>
    </r>
    <r>
      <rPr>
        <b/>
        <sz val="11"/>
        <color rgb="FF7030A0"/>
        <rFont val="Calibri"/>
        <family val="2"/>
        <scheme val="minor"/>
      </rPr>
      <t>ud</t>
    </r>
    <r>
      <rPr>
        <sz val="11"/>
        <color theme="1"/>
        <rFont val="Calibri"/>
        <family val="2"/>
        <scheme val="minor"/>
      </rPr>
      <t xml:space="preserve"> på første pind</t>
    </r>
  </si>
  <si>
    <r>
      <t xml:space="preserve">masker </t>
    </r>
    <r>
      <rPr>
        <b/>
        <sz val="11"/>
        <color rgb="FF7030A0"/>
        <rFont val="Calibri"/>
        <family val="2"/>
        <scheme val="minor"/>
      </rPr>
      <t>ind</t>
    </r>
    <r>
      <rPr>
        <sz val="11"/>
        <color theme="1"/>
        <rFont val="Calibri"/>
        <family val="2"/>
        <scheme val="minor"/>
      </rPr>
      <t xml:space="preserve"> på første pind</t>
    </r>
  </si>
  <si>
    <t>gentag dette</t>
  </si>
  <si>
    <t>Neckdrop back - HPS to seam</t>
  </si>
  <si>
    <t>Neckdrop front - HPS to seam</t>
  </si>
  <si>
    <t>1/2 Chest</t>
  </si>
  <si>
    <t>½ Bottom width</t>
  </si>
  <si>
    <t>½ Neck width - HPS to HPS</t>
  </si>
  <si>
    <t>Sleeve length incl.sleeve rib, excl neck rib.</t>
  </si>
  <si>
    <t>Armhole height - fr. HPS</t>
  </si>
  <si>
    <t xml:space="preserve">½ Bottom sleeve width </t>
  </si>
  <si>
    <t>Neck rib height</t>
  </si>
  <si>
    <t>Bottom sleeve rib height  2x2</t>
  </si>
  <si>
    <t>Bottom rib height 2x2</t>
  </si>
  <si>
    <t>H1</t>
  </si>
  <si>
    <t>Neck width stretched</t>
  </si>
  <si>
    <t>Opskriften starter fra hals med</t>
  </si>
  <si>
    <t>strik rib, en ret en vrang rundt</t>
  </si>
  <si>
    <t>cm eller ønsket længde, strik med lille rundpind eller med magic loops</t>
  </si>
  <si>
    <t>Nu skal arbejdes deles til krop og ærmer:</t>
  </si>
  <si>
    <t xml:space="preserve">sæt </t>
  </si>
  <si>
    <t>sæt de næste</t>
  </si>
  <si>
    <t>slå</t>
  </si>
  <si>
    <t>masker op i ærmegabet, med enkelt tråds opslag</t>
  </si>
  <si>
    <t xml:space="preserve">masker til ryg på samme pind som forstykke igen startende og sluttende med 3 af de 5 masker hvor udtagningen laves </t>
  </si>
  <si>
    <t xml:space="preserve">Nu strikkes kroppens i alt </t>
  </si>
  <si>
    <t>masker rundt til</t>
  </si>
  <si>
    <t xml:space="preserve">stykket måler </t>
  </si>
  <si>
    <t>Strik</t>
  </si>
  <si>
    <t>Gentag næste ærme.</t>
  </si>
  <si>
    <t>Hæft derefter ender og blusen er klar.</t>
  </si>
  <si>
    <t>masker med Italiensk maske opslag</t>
  </si>
  <si>
    <t>masker jævnt fordelt ud til</t>
  </si>
  <si>
    <t>masker ret sæt en markør, en maske vrang</t>
  </si>
  <si>
    <t>Masker til ærmer og krop</t>
  </si>
  <si>
    <t>Masker efter udtagninger efter hals</t>
  </si>
  <si>
    <t>Antal masker der skal udtages</t>
  </si>
  <si>
    <t>Pinde til udtagninger</t>
  </si>
  <si>
    <t>hver udtagningsomgang. De nye retmasker laves drejet ret.</t>
  </si>
  <si>
    <t xml:space="preserve">efter hver vrang maske. Svarende til 20 udtagninger på </t>
  </si>
  <si>
    <t xml:space="preserve">Nu skal der tages 2 masker ud ved hver af de 10 vrang </t>
  </si>
  <si>
    <t>masker, der laves en ny ret maske en ret før og en ret maske</t>
  </si>
  <si>
    <t>Første udtagnings omgang ligger på</t>
  </si>
  <si>
    <t>omgang</t>
  </si>
  <si>
    <t>Strik nu</t>
  </si>
  <si>
    <t>Her har du så din personlige strikkeopskrift. Hvis du justerer i antal masker farves feltet blå så du ved du har justeret</t>
  </si>
  <si>
    <t>Antal masker</t>
  </si>
  <si>
    <t>at strikke krop.</t>
  </si>
  <si>
    <t>antal masker til under ærme</t>
  </si>
  <si>
    <t>masker efter første vrang</t>
  </si>
  <si>
    <t xml:space="preserve">masker til forstykke </t>
  </si>
  <si>
    <t>strik de næste</t>
  </si>
  <si>
    <t xml:space="preserve">masker på holder til 2. ærme </t>
  </si>
  <si>
    <t>masker på holder til 1. ærme, der skal være et panel mellem to vrang masker centreret på ærmet</t>
  </si>
  <si>
    <t>masker på ryg</t>
  </si>
  <si>
    <t>Pinde størrelse</t>
  </si>
  <si>
    <t>omgange. Du er nu klar til at skille bærestykket i krop og ærmer for sig.</t>
  </si>
  <si>
    <t>omgange og antallet af masker er:</t>
  </si>
  <si>
    <t>omgange efter hver udtagning</t>
  </si>
  <si>
    <t xml:space="preserve"> til du har strikket i alt</t>
  </si>
  <si>
    <t xml:space="preserve"> antallet af omgange mellem udtagningerne øges med</t>
  </si>
  <si>
    <t>omgange. Du fortsætter herefter udtagningerne, samtidigt med</t>
  </si>
  <si>
    <t>Bottom rib height 1x1</t>
  </si>
  <si>
    <t>Nu strikkes hver ærme for sig:</t>
  </si>
  <si>
    <t>cm fra start på hals rib.</t>
  </si>
  <si>
    <t xml:space="preserve">gange. </t>
  </si>
  <si>
    <t>Tag igen ud</t>
  </si>
  <si>
    <t>omgange efter sidste udtagningsomgang.</t>
  </si>
  <si>
    <t>cm fra ærmegab.</t>
  </si>
  <si>
    <t>Næste pind udtages</t>
  </si>
  <si>
    <t>masker.</t>
  </si>
  <si>
    <t>cm og luk ribkanten løst af med Italiens aflukning</t>
  </si>
  <si>
    <t>Strik de</t>
  </si>
  <si>
    <t xml:space="preserve">masker til ærme 1 fra holder, </t>
  </si>
  <si>
    <t>maske op i de opslåede masker til krop under ærmet. Husk at blive ved med at strikke de 2 enkelte masker vrang.</t>
  </si>
  <si>
    <t>Skift til kant pinde og strik rib,</t>
  </si>
  <si>
    <t>tilpasset så de enkeltstående vrangmasker ender i en vrang maske i ribben.</t>
  </si>
  <si>
    <t xml:space="preserve"> Du kan tilpasse antallet af masker ved at strikke max</t>
  </si>
  <si>
    <t>masker sammen.</t>
  </si>
  <si>
    <t>cm og luk ribkanten af med Italiensk aflukning.</t>
  </si>
  <si>
    <t>plus de masker der skal samles</t>
  </si>
  <si>
    <t>Strik til ærmet måler</t>
  </si>
  <si>
    <t>På næste pind indtages</t>
  </si>
  <si>
    <t>masker, tilpasset så de enkeltstående vrangmasker ender i en vrang maske i ribben.</t>
  </si>
  <si>
    <t>Strik ribkant</t>
  </si>
  <si>
    <t>Mål fra nederste kant til højeste punkt til skulder</t>
  </si>
  <si>
    <t xml:space="preserve">Skift til den pindestørrelse der skal bruges til </t>
  </si>
  <si>
    <t>½ Chest</t>
  </si>
  <si>
    <t>Strik 1 maske som er vrang i ribben vrang strik derefter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</si>
</sst>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rgb="FF7030A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2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0" borderId="0" applyNumberFormat="0" applyFill="0" applyBorder="0" applyAlignment="0" applyProtection="0"/>
    <xf numFmtId="0" fontId="9" fillId="22" borderId="25" applyNumberFormat="0" applyFont="0" applyAlignment="0" applyProtection="0"/>
    <xf numFmtId="0" fontId="17" fillId="23" borderId="26" applyNumberFormat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24" borderId="27" applyNumberFormat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9" fillId="0" borderId="0"/>
    <xf numFmtId="0" fontId="21" fillId="0" borderId="28" applyNumberFormat="0" applyFill="0" applyAlignment="0" applyProtection="0"/>
    <xf numFmtId="0" fontId="22" fillId="0" borderId="29" applyNumberFormat="0" applyFill="0" applyAlignment="0" applyProtection="0"/>
    <xf numFmtId="0" fontId="23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0" applyNumberFormat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Font="1" applyAlignment="1">
      <alignment horizontal="right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6" fillId="0" borderId="0" xfId="0" applyFont="1"/>
    <xf numFmtId="1" fontId="0" fillId="0" borderId="0" xfId="0" applyNumberFormat="1"/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Alignment="1" applyProtection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Border="1" applyAlignment="1">
      <alignment horizontal="left" vertical="top" wrapText="1"/>
    </xf>
    <xf numFmtId="164" fontId="0" fillId="0" borderId="0" xfId="0" applyNumberFormat="1" applyBorder="1" applyAlignment="1">
      <alignment vertical="top" wrapText="1"/>
    </xf>
    <xf numFmtId="0" fontId="1" fillId="0" borderId="0" xfId="0" applyFont="1"/>
    <xf numFmtId="0" fontId="7" fillId="0" borderId="0" xfId="0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0" borderId="0" xfId="0" applyBorder="1" applyAlignment="1">
      <alignment horizontal="right"/>
    </xf>
    <xf numFmtId="0" fontId="5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" fontId="0" fillId="0" borderId="0" xfId="0" applyNumberFormat="1" applyFill="1" applyBorder="1" applyAlignment="1"/>
    <xf numFmtId="0" fontId="0" fillId="3" borderId="1" xfId="0" applyFill="1" applyBorder="1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10" fillId="6" borderId="1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2" fontId="9" fillId="7" borderId="13" xfId="0" applyNumberFormat="1" applyFont="1" applyFill="1" applyBorder="1" applyAlignment="1">
      <alignment horizontal="right"/>
    </xf>
    <xf numFmtId="2" fontId="9" fillId="7" borderId="14" xfId="0" applyNumberFormat="1" applyFont="1" applyFill="1" applyBorder="1"/>
    <xf numFmtId="2" fontId="9" fillId="7" borderId="16" xfId="0" applyNumberFormat="1" applyFont="1" applyFill="1" applyBorder="1"/>
    <xf numFmtId="2" fontId="0" fillId="7" borderId="16" xfId="0" applyNumberFormat="1" applyFill="1" applyBorder="1"/>
    <xf numFmtId="2" fontId="9" fillId="7" borderId="16" xfId="0" applyNumberFormat="1" applyFont="1" applyFill="1" applyBorder="1" applyAlignment="1">
      <alignment horizontal="right"/>
    </xf>
    <xf numFmtId="1" fontId="11" fillId="6" borderId="2" xfId="0" applyNumberFormat="1" applyFont="1" applyFill="1" applyBorder="1" applyAlignment="1">
      <alignment horizontal="center"/>
    </xf>
    <xf numFmtId="1" fontId="10" fillId="6" borderId="11" xfId="0" applyNumberFormat="1" applyFont="1" applyFill="1" applyBorder="1" applyAlignment="1">
      <alignment horizontal="center"/>
    </xf>
    <xf numFmtId="1" fontId="11" fillId="6" borderId="12" xfId="0" applyNumberFormat="1" applyFont="1" applyFill="1" applyBorder="1" applyAlignment="1">
      <alignment horizontal="center"/>
    </xf>
    <xf numFmtId="1" fontId="11" fillId="6" borderId="11" xfId="0" applyNumberFormat="1" applyFont="1" applyFill="1" applyBorder="1" applyAlignment="1">
      <alignment horizontal="center"/>
    </xf>
    <xf numFmtId="0" fontId="0" fillId="4" borderId="2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164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</xf>
    <xf numFmtId="0" fontId="7" fillId="0" borderId="0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9" fillId="7" borderId="17" xfId="0" applyNumberFormat="1" applyFont="1" applyFill="1" applyBorder="1"/>
    <xf numFmtId="2" fontId="9" fillId="7" borderId="18" xfId="0" applyNumberFormat="1" applyFont="1" applyFill="1" applyBorder="1"/>
    <xf numFmtId="2" fontId="9" fillId="7" borderId="9" xfId="0" applyNumberFormat="1" applyFont="1" applyFill="1" applyBorder="1"/>
    <xf numFmtId="2" fontId="9" fillId="7" borderId="19" xfId="0" applyNumberFormat="1" applyFont="1" applyFill="1" applyBorder="1"/>
    <xf numFmtId="2" fontId="12" fillId="7" borderId="20" xfId="0" applyNumberFormat="1" applyFont="1" applyFill="1" applyBorder="1"/>
    <xf numFmtId="2" fontId="12" fillId="7" borderId="21" xfId="0" applyNumberFormat="1" applyFont="1" applyFill="1" applyBorder="1"/>
    <xf numFmtId="2" fontId="12" fillId="7" borderId="22" xfId="0" applyNumberFormat="1" applyFont="1" applyFill="1" applyBorder="1"/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23" xfId="0" applyBorder="1" applyAlignment="1"/>
    <xf numFmtId="0" fontId="8" fillId="0" borderId="0" xfId="0" applyFont="1" applyBorder="1" applyAlignment="1">
      <alignment horizontal="right"/>
    </xf>
    <xf numFmtId="2" fontId="0" fillId="0" borderId="0" xfId="0" applyNumberFormat="1"/>
    <xf numFmtId="2" fontId="9" fillId="6" borderId="10" xfId="2" applyNumberFormat="1" applyFont="1" applyFill="1" applyBorder="1"/>
    <xf numFmtId="2" fontId="9" fillId="6" borderId="14" xfId="2" applyNumberFormat="1" applyFont="1" applyFill="1" applyBorder="1"/>
    <xf numFmtId="2" fontId="9" fillId="6" borderId="8" xfId="2" applyNumberFormat="1" applyFont="1" applyFill="1" applyBorder="1"/>
    <xf numFmtId="2" fontId="9" fillId="6" borderId="16" xfId="2" applyNumberFormat="1" applyFont="1" applyFill="1" applyBorder="1"/>
    <xf numFmtId="2" fontId="9" fillId="6" borderId="8" xfId="2" applyNumberFormat="1" applyFont="1" applyFill="1" applyBorder="1" applyAlignment="1">
      <alignment horizontal="right"/>
    </xf>
    <xf numFmtId="2" fontId="9" fillId="6" borderId="16" xfId="2" applyNumberFormat="1" applyFont="1" applyFill="1" applyBorder="1" applyAlignment="1">
      <alignment horizontal="right"/>
    </xf>
    <xf numFmtId="2" fontId="9" fillId="6" borderId="16" xfId="2" applyNumberFormat="1" applyFill="1" applyBorder="1"/>
    <xf numFmtId="2" fontId="9" fillId="6" borderId="8" xfId="2" applyNumberFormat="1" applyFill="1" applyBorder="1"/>
    <xf numFmtId="2" fontId="9" fillId="6" borderId="10" xfId="2" applyNumberFormat="1" applyFont="1" applyFill="1" applyBorder="1" applyAlignment="1">
      <alignment horizontal="right"/>
    </xf>
    <xf numFmtId="2" fontId="9" fillId="6" borderId="15" xfId="2" applyNumberFormat="1" applyFont="1" applyFill="1" applyBorder="1" applyAlignment="1">
      <alignment horizontal="right"/>
    </xf>
    <xf numFmtId="2" fontId="9" fillId="6" borderId="15" xfId="2" applyNumberFormat="1" applyFont="1" applyFill="1" applyBorder="1"/>
    <xf numFmtId="2" fontId="9" fillId="6" borderId="33" xfId="2" applyNumberFormat="1" applyFont="1" applyFill="1" applyBorder="1"/>
    <xf numFmtId="2" fontId="9" fillId="6" borderId="34" xfId="2" applyNumberFormat="1" applyFont="1" applyFill="1" applyBorder="1"/>
    <xf numFmtId="2" fontId="9" fillId="6" borderId="33" xfId="2" applyNumberFormat="1" applyFont="1" applyFill="1" applyBorder="1" applyAlignment="1">
      <alignment horizontal="right"/>
    </xf>
    <xf numFmtId="2" fontId="9" fillId="6" borderId="33" xfId="2" applyNumberFormat="1" applyFill="1" applyBorder="1"/>
    <xf numFmtId="2" fontId="9" fillId="29" borderId="32" xfId="2" applyNumberFormat="1" applyFont="1" applyFill="1" applyBorder="1"/>
    <xf numFmtId="2" fontId="12" fillId="29" borderId="24" xfId="2" applyNumberFormat="1" applyFont="1" applyFill="1" applyBorder="1"/>
    <xf numFmtId="2" fontId="9" fillId="29" borderId="24" xfId="2" applyNumberFormat="1" applyFont="1" applyFill="1" applyBorder="1" applyAlignment="1">
      <alignment horizontal="right"/>
    </xf>
    <xf numFmtId="2" fontId="12" fillId="29" borderId="24" xfId="2" applyNumberFormat="1" applyFont="1" applyFill="1" applyBorder="1" applyAlignment="1">
      <alignment horizontal="right"/>
    </xf>
    <xf numFmtId="2" fontId="9" fillId="29" borderId="24" xfId="2" applyNumberFormat="1" applyFont="1" applyFill="1" applyBorder="1"/>
    <xf numFmtId="0" fontId="0" fillId="0" borderId="8" xfId="0" applyBorder="1"/>
    <xf numFmtId="0" fontId="0" fillId="0" borderId="34" xfId="0" applyBorder="1" applyAlignment="1"/>
    <xf numFmtId="0" fontId="0" fillId="0" borderId="33" xfId="0" applyBorder="1" applyAlignment="1"/>
    <xf numFmtId="0" fontId="0" fillId="0" borderId="33" xfId="0" applyBorder="1"/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65" fontId="3" fillId="0" borderId="0" xfId="0" applyNumberFormat="1" applyFont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44">
    <cellStyle name="20 % - Markeringsfarve1" xfId="6" xr:uid="{0673212E-CDFA-47A2-8A34-1373F54F8881}"/>
    <cellStyle name="20 % - Markeringsfarve2" xfId="7" xr:uid="{20F3E6D0-B8D3-4D8F-A3FE-E59BF2DD40D7}"/>
    <cellStyle name="20 % - Markeringsfarve3" xfId="8" xr:uid="{F8CE67F3-A9E3-4453-BE7C-6E9455FFA7F0}"/>
    <cellStyle name="20 % - Markeringsfarve4" xfId="9" xr:uid="{B01C8411-4112-4409-9CE3-001E697F4590}"/>
    <cellStyle name="20 % - Markeringsfarve5" xfId="10" xr:uid="{E19A3547-B124-4973-BC85-A708AF2DFDD8}"/>
    <cellStyle name="20 % - Markeringsfarve6" xfId="11" xr:uid="{B8419B74-BF14-4765-803C-D0864C0EE38C}"/>
    <cellStyle name="40 % - Markeringsfarve1" xfId="12" xr:uid="{5C9F7427-4B0B-4D6B-9A66-6965F56BB0D2}"/>
    <cellStyle name="40 % - Markeringsfarve2" xfId="13" xr:uid="{484980A7-4DAC-4538-AE1C-8D20B41D65C9}"/>
    <cellStyle name="40 % - Markeringsfarve3" xfId="14" xr:uid="{0F7A055C-8F59-4E89-A8A3-9EA427A5F757}"/>
    <cellStyle name="40 % - Markeringsfarve4" xfId="15" xr:uid="{EDD299BD-A1B5-464C-862F-B2DE35A902B9}"/>
    <cellStyle name="40 % - Markeringsfarve5" xfId="16" xr:uid="{61CE4EB0-57CB-4FBC-A02E-D096B9B821CD}"/>
    <cellStyle name="40 % - Markeringsfarve6" xfId="17" xr:uid="{87FB800F-817F-4B3F-B736-20CD7A50A94F}"/>
    <cellStyle name="60 % - Markeringsfarve1" xfId="18" xr:uid="{3F9178C0-DCF9-4FF1-B9EB-27B061DB3D0E}"/>
    <cellStyle name="60 % - Markeringsfarve2" xfId="19" xr:uid="{1DDDE2ED-5EB2-48C6-AE06-5E381B6F6ABF}"/>
    <cellStyle name="60 % - Markeringsfarve3" xfId="20" xr:uid="{290F825E-0B83-4CCC-8C6F-057C380B98C6}"/>
    <cellStyle name="60 % - Markeringsfarve4" xfId="21" xr:uid="{2C7EE209-26C7-4DD0-87DF-06B899475CD6}"/>
    <cellStyle name="60 % - Markeringsfarve5" xfId="22" xr:uid="{6FB2E609-EC6B-43A0-9B02-29B0FE749A50}"/>
    <cellStyle name="60 % - Markeringsfarve6" xfId="23" xr:uid="{0058D6BC-A145-4F5A-85FB-4AE4A40FCA79}"/>
    <cellStyle name="Advarselstekst 2" xfId="24" xr:uid="{E7260FCC-52C0-4206-BDE9-6F7F09FDE4A1}"/>
    <cellStyle name="Bemærk! 2" xfId="25" xr:uid="{B8CEF6AB-FC3B-47A9-9B53-EA625E362DC9}"/>
    <cellStyle name="Beregning 2" xfId="26" xr:uid="{DC53C969-B992-48CB-B81E-92EED92196E7}"/>
    <cellStyle name="Forklarende tekst 2" xfId="27" xr:uid="{BBB08AE3-075A-477C-B188-B945AC3AC59B}"/>
    <cellStyle name="God 2" xfId="28" xr:uid="{3252CCD8-26A8-4E1B-819B-3230A8D1EEE1}"/>
    <cellStyle name="Kontroller celle" xfId="29" xr:uid="{4425136C-F22F-4E10-8267-9B4196568E1A}"/>
    <cellStyle name="Markeringsfarve1" xfId="30" xr:uid="{33565BBE-FF1B-4EDD-BC13-27DE1CFF68C5}"/>
    <cellStyle name="Markeringsfarve2" xfId="31" xr:uid="{DE2C7F0C-8C0F-4F0B-AE5C-B6A5FCE60694}"/>
    <cellStyle name="Markeringsfarve3" xfId="32" xr:uid="{B079AFBC-9E88-48F0-A542-DD13FE067B75}"/>
    <cellStyle name="Markeringsfarve4" xfId="33" xr:uid="{32AE8EAF-D660-41B2-A5B2-530C589E1A17}"/>
    <cellStyle name="Markeringsfarve5" xfId="34" xr:uid="{62E19319-B11B-4024-B0B0-D6E969123E32}"/>
    <cellStyle name="Markeringsfarve6" xfId="35" xr:uid="{A536C7D7-1133-4975-BB48-0A18715D1973}"/>
    <cellStyle name="Normal" xfId="0" builtinId="0"/>
    <cellStyle name="Normal 2" xfId="2" xr:uid="{B15C8086-07E7-4751-85C7-13F1491462C2}"/>
    <cellStyle name="Normal 2 2" xfId="3" xr:uid="{E218B62B-0448-45E1-AB52-A456EC7CFA14}"/>
    <cellStyle name="Normal 2_442 MELANGE COTTON collection M-list - boy" xfId="4" xr:uid="{719A1B0D-85DB-4B45-9CC4-32C5B91ABE2C}"/>
    <cellStyle name="Normal 3" xfId="5" xr:uid="{4594A403-3956-4280-8618-34C84B4CB3DF}"/>
    <cellStyle name="Normal 4" xfId="36" xr:uid="{061785E5-43BA-4FC5-B85C-1DFB3EEC6DC8}"/>
    <cellStyle name="Normal 5" xfId="1" xr:uid="{8DEF4513-39B4-4B22-8008-FE1DFC653FC3}"/>
    <cellStyle name="Overskrift 1 2" xfId="37" xr:uid="{C455EEDC-9362-4D6B-8EB8-24DBBA85FD0C}"/>
    <cellStyle name="Overskrift 2 2" xfId="38" xr:uid="{E80B1644-4CB7-411D-92EB-7DFB269FCA4D}"/>
    <cellStyle name="Overskrift 3 2" xfId="39" xr:uid="{D1CE12CC-593D-486C-9567-E0D7905D5DA1}"/>
    <cellStyle name="Overskrift 4 2" xfId="40" xr:uid="{BC7C401E-05CA-4D67-A25A-15B433D82E00}"/>
    <cellStyle name="Sammenkædet celle 2" xfId="41" xr:uid="{89E85515-63E5-4760-A5DD-EF07B6E12FAF}"/>
    <cellStyle name="Titel 2" xfId="42" xr:uid="{A28BB44E-33F9-4F94-BEFE-C7F6A723916C}"/>
    <cellStyle name="Ugyldig 2" xfId="43" xr:uid="{F6A6D824-ACB3-40E2-BB9B-B2991537C6F4}"/>
  </cellStyles>
  <dxfs count="33">
    <dxf>
      <fill>
        <patternFill>
          <bgColor rgb="FFEBB4A9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  <dxf>
      <font>
        <color auto="1"/>
      </font>
      <fill>
        <patternFill>
          <bgColor rgb="FFEBB4A9"/>
        </patternFill>
      </fill>
    </dxf>
    <dxf>
      <font>
        <color auto="1"/>
      </font>
      <fill>
        <patternFill>
          <bgColor rgb="FFEBB4A9"/>
        </patternFill>
      </fill>
    </dxf>
    <dxf>
      <font>
        <color auto="1"/>
      </font>
      <fill>
        <patternFill>
          <bgColor rgb="FFC6E0B4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EBB4A9"/>
      <color rgb="FFC6E0B4"/>
      <color rgb="FFFF7C80"/>
      <color rgb="FFE4BBB0"/>
      <color rgb="FF721C3B"/>
      <color rgb="FF4ED054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1628775</xdr:colOff>
      <xdr:row>0</xdr:row>
      <xdr:rowOff>123825</xdr:rowOff>
    </xdr:from>
    <xdr:to>
      <xdr:col>1</xdr:col>
      <xdr:colOff>133350</xdr:colOff>
      <xdr:row>4</xdr:row>
      <xdr:rowOff>104775</xdr:rowOff>
    </xdr:to>
    <xdr:pic>
      <xdr:nvPicPr>
        <xdr:cNvPr id="5" name="Grafik 4" descr="Badge 1 med massiv udfyldning">
          <a:extLst>
            <a:ext uri="{FF2B5EF4-FFF2-40B4-BE49-F238E27FC236}">
              <a16:creationId xmlns:a16="http://schemas.microsoft.com/office/drawing/2014/main" id="{15E13911-B955-4E90-8E1B-7C2E0E3F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28775" y="123825"/>
          <a:ext cx="981075" cy="904875"/>
        </a:xfrm>
        <a:prstGeom prst="rect">
          <a:avLst/>
        </a:prstGeom>
      </xdr:spPr>
    </xdr:pic>
    <xdr:clientData/>
  </xdr:twoCellAnchor>
  <xdr:twoCellAnchor editAs="oneCell">
    <xdr:from>
      <xdr:col>8</xdr:col>
      <xdr:colOff>466725</xdr:colOff>
      <xdr:row>0</xdr:row>
      <xdr:rowOff>0</xdr:rowOff>
    </xdr:from>
    <xdr:to>
      <xdr:col>9</xdr:col>
      <xdr:colOff>85724</xdr:colOff>
      <xdr:row>3</xdr:row>
      <xdr:rowOff>352425</xdr:rowOff>
    </xdr:to>
    <xdr:pic>
      <xdr:nvPicPr>
        <xdr:cNvPr id="8" name="Grafik 7" descr="Badge med massiv udfyldning">
          <a:extLst>
            <a:ext uri="{FF2B5EF4-FFF2-40B4-BE49-F238E27FC236}">
              <a16:creationId xmlns:a16="http://schemas.microsoft.com/office/drawing/2014/main" id="{80AE98E8-CF6B-4745-AD5F-2A4AA781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781800" y="0"/>
          <a:ext cx="990599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1552575</xdr:colOff>
      <xdr:row>10</xdr:row>
      <xdr:rowOff>104775</xdr:rowOff>
    </xdr:from>
    <xdr:to>
      <xdr:col>1</xdr:col>
      <xdr:colOff>66675</xdr:colOff>
      <xdr:row>14</xdr:row>
      <xdr:rowOff>142875</xdr:rowOff>
    </xdr:to>
    <xdr:pic>
      <xdr:nvPicPr>
        <xdr:cNvPr id="10" name="Grafik 9" descr="Badge 3 med massiv udfyldning">
          <a:extLst>
            <a:ext uri="{FF2B5EF4-FFF2-40B4-BE49-F238E27FC236}">
              <a16:creationId xmlns:a16="http://schemas.microsoft.com/office/drawing/2014/main" id="{8034DC92-F213-4C52-9D4A-C0192C17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552575" y="2686050"/>
          <a:ext cx="990600" cy="89535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295276</xdr:colOff>
      <xdr:row>1</xdr:row>
      <xdr:rowOff>142875</xdr:rowOff>
    </xdr:from>
    <xdr:to>
      <xdr:col>20</xdr:col>
      <xdr:colOff>771526</xdr:colOff>
      <xdr:row>14</xdr:row>
      <xdr:rowOff>542933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3E938E1E-EBDD-45CF-AC2A-298AB285F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601451" y="323850"/>
          <a:ext cx="4514850" cy="3657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DEF6-E380-47CD-A7EC-FE9B17AB7592}">
  <sheetPr>
    <pageSetUpPr fitToPage="1"/>
  </sheetPr>
  <dimension ref="A1:AB65"/>
  <sheetViews>
    <sheetView showGridLines="0" tabSelected="1" zoomScaleNormal="100" workbookViewId="0">
      <selection activeCell="D19" sqref="D19"/>
    </sheetView>
  </sheetViews>
  <sheetFormatPr defaultRowHeight="14.25" x14ac:dyDescent="0.45"/>
  <cols>
    <col min="1" max="1" width="34.59765625" customWidth="1"/>
    <col min="2" max="2" width="11.06640625" customWidth="1"/>
    <col min="3" max="3" width="14" hidden="1" customWidth="1"/>
    <col min="4" max="4" width="7.06640625" customWidth="1"/>
    <col min="5" max="5" width="6.59765625" customWidth="1"/>
    <col min="6" max="6" width="6.46484375" customWidth="1"/>
    <col min="7" max="7" width="6.06640625" customWidth="1"/>
    <col min="8" max="8" width="16.19921875" customWidth="1"/>
    <col min="9" max="9" width="19.1328125" customWidth="1"/>
    <col min="10" max="10" width="6.6640625" customWidth="1"/>
    <col min="11" max="11" width="36.86328125" customWidth="1"/>
    <col min="12" max="13" width="7" customWidth="1"/>
    <col min="14" max="14" width="7" style="1" customWidth="1"/>
    <col min="15" max="15" width="7" style="11" customWidth="1"/>
    <col min="16" max="16" width="7" style="19" customWidth="1"/>
    <col min="17" max="20" width="7" customWidth="1"/>
    <col min="21" max="21" width="22.3984375" style="1" bestFit="1" customWidth="1"/>
    <col min="22" max="22" width="4.73046875" customWidth="1"/>
    <col min="23" max="23" width="13.265625" bestFit="1" customWidth="1"/>
    <col min="25" max="25" width="23.86328125" customWidth="1"/>
    <col min="32" max="33" width="9.1328125" customWidth="1"/>
    <col min="34" max="34" width="25.59765625" customWidth="1"/>
    <col min="35" max="38" width="9.1328125" customWidth="1"/>
    <col min="39" max="64" width="9.06640625" customWidth="1"/>
  </cols>
  <sheetData>
    <row r="1" spans="1:26" x14ac:dyDescent="0.45">
      <c r="A1" s="15" t="s">
        <v>65</v>
      </c>
    </row>
    <row r="4" spans="1:26" ht="30" customHeight="1" thickBot="1" x14ac:dyDescent="0.75">
      <c r="B4" s="6" t="s">
        <v>53</v>
      </c>
      <c r="J4" s="6" t="s">
        <v>54</v>
      </c>
    </row>
    <row r="5" spans="1:26" ht="53.35" customHeight="1" thickBot="1" x14ac:dyDescent="0.5">
      <c r="B5" s="120" t="s">
        <v>76</v>
      </c>
      <c r="C5" s="121"/>
      <c r="D5" s="121"/>
      <c r="E5" s="121"/>
      <c r="F5" s="121"/>
      <c r="G5" s="121"/>
      <c r="H5" s="122"/>
      <c r="J5" s="114" t="s">
        <v>74</v>
      </c>
      <c r="K5" s="115"/>
      <c r="L5" s="116"/>
    </row>
    <row r="6" spans="1:26" ht="14.65" thickBot="1" x14ac:dyDescent="0.5"/>
    <row r="7" spans="1:26" ht="15.75" customHeight="1" thickBot="1" x14ac:dyDescent="0.5">
      <c r="A7" s="2" t="s">
        <v>4</v>
      </c>
      <c r="B7" s="69"/>
      <c r="D7" t="s">
        <v>3</v>
      </c>
      <c r="F7" s="28"/>
      <c r="G7" t="s">
        <v>161</v>
      </c>
      <c r="I7" s="2" t="s">
        <v>70</v>
      </c>
      <c r="J7" s="28" t="s">
        <v>97</v>
      </c>
    </row>
    <row r="8" spans="1:26" ht="14.65" thickBot="1" x14ac:dyDescent="0.5">
      <c r="A8" s="1"/>
      <c r="B8" s="18"/>
      <c r="F8" s="3"/>
    </row>
    <row r="9" spans="1:26" ht="16.149999999999999" thickBot="1" x14ac:dyDescent="0.55000000000000004">
      <c r="A9" s="2" t="s">
        <v>5</v>
      </c>
      <c r="B9" s="70"/>
      <c r="D9" t="s">
        <v>3</v>
      </c>
      <c r="F9" s="28"/>
      <c r="G9" t="s">
        <v>161</v>
      </c>
      <c r="J9" s="33" t="s">
        <v>71</v>
      </c>
    </row>
    <row r="10" spans="1:26" ht="14.65" thickBot="1" x14ac:dyDescent="0.5">
      <c r="B10" s="71"/>
      <c r="D10" t="s">
        <v>2</v>
      </c>
      <c r="I10" s="2" t="s">
        <v>0</v>
      </c>
      <c r="J10" s="60">
        <f>Mål!B13</f>
        <v>33</v>
      </c>
      <c r="K10" t="s">
        <v>19</v>
      </c>
    </row>
    <row r="11" spans="1:26" x14ac:dyDescent="0.45">
      <c r="B11" s="1"/>
      <c r="I11" s="2" t="s">
        <v>8</v>
      </c>
      <c r="J11" s="61">
        <f>Mål!B15</f>
        <v>41.5</v>
      </c>
      <c r="K11" t="s">
        <v>191</v>
      </c>
    </row>
    <row r="12" spans="1:26" ht="14.65" thickBot="1" x14ac:dyDescent="0.5">
      <c r="B12" s="1"/>
      <c r="I12" s="2" t="s">
        <v>11</v>
      </c>
      <c r="J12" s="62">
        <f>Mål!B18</f>
        <v>51.5</v>
      </c>
      <c r="K12" t="s">
        <v>37</v>
      </c>
      <c r="Z12" s="18"/>
    </row>
    <row r="13" spans="1:26" x14ac:dyDescent="0.45">
      <c r="B13" s="1"/>
    </row>
    <row r="14" spans="1:26" ht="23.65" thickBot="1" x14ac:dyDescent="0.75">
      <c r="B14" s="6" t="s">
        <v>59</v>
      </c>
      <c r="C14" s="9"/>
      <c r="D14" s="19"/>
      <c r="J14" s="33"/>
      <c r="K14" s="33"/>
      <c r="L14" s="33"/>
    </row>
    <row r="15" spans="1:26" ht="43.5" customHeight="1" thickBot="1" x14ac:dyDescent="0.5">
      <c r="B15" s="114" t="s">
        <v>151</v>
      </c>
      <c r="C15" s="115"/>
      <c r="D15" s="115"/>
      <c r="E15" s="115"/>
      <c r="F15" s="115"/>
      <c r="G15" s="115"/>
      <c r="H15" s="116"/>
      <c r="J15" s="31"/>
      <c r="K15" s="31"/>
      <c r="L15" s="31"/>
    </row>
    <row r="16" spans="1:26" x14ac:dyDescent="0.45">
      <c r="B16" s="17"/>
      <c r="C16" s="11"/>
      <c r="D16" s="19"/>
      <c r="J16" s="3"/>
      <c r="K16" s="31"/>
      <c r="L16" s="31"/>
    </row>
    <row r="17" spans="2:28" ht="14.75" customHeight="1" thickBot="1" x14ac:dyDescent="0.5">
      <c r="B17" s="1"/>
      <c r="C17" s="10" t="s">
        <v>1</v>
      </c>
      <c r="D17" s="80" t="s">
        <v>152</v>
      </c>
      <c r="N17"/>
      <c r="O17"/>
      <c r="P17" s="1"/>
      <c r="Q17" s="1"/>
      <c r="R17" s="1"/>
      <c r="S17" s="1"/>
      <c r="T17" s="1"/>
    </row>
    <row r="18" spans="2:28" ht="14.65" thickBot="1" x14ac:dyDescent="0.5">
      <c r="B18" s="2" t="s">
        <v>122</v>
      </c>
      <c r="C18" s="12">
        <f>(Mål!B25*0.7)*B7/10</f>
        <v>0</v>
      </c>
      <c r="D18" s="108">
        <f>MROUND(C18,2)</f>
        <v>0</v>
      </c>
      <c r="E18" s="80" t="s">
        <v>137</v>
      </c>
      <c r="F18" s="80"/>
      <c r="G18" s="80"/>
      <c r="L18" s="47" t="s">
        <v>96</v>
      </c>
      <c r="M18" s="48" t="s">
        <v>97</v>
      </c>
      <c r="N18" s="47" t="s">
        <v>98</v>
      </c>
      <c r="O18" s="49" t="s">
        <v>99</v>
      </c>
      <c r="P18" s="49" t="s">
        <v>100</v>
      </c>
      <c r="Q18" s="50" t="s">
        <v>101</v>
      </c>
      <c r="R18" s="47" t="s">
        <v>102</v>
      </c>
      <c r="S18" s="48" t="s">
        <v>103</v>
      </c>
      <c r="T18" s="50" t="s">
        <v>104</v>
      </c>
    </row>
    <row r="19" spans="2:28" ht="14.65" thickBot="1" x14ac:dyDescent="0.5">
      <c r="B19" s="1" t="s">
        <v>123</v>
      </c>
      <c r="C19" s="11">
        <f>Mål!B22</f>
        <v>3</v>
      </c>
      <c r="D19" s="68">
        <f>C19</f>
        <v>3</v>
      </c>
      <c r="E19" t="s">
        <v>124</v>
      </c>
      <c r="L19" s="56">
        <v>98</v>
      </c>
      <c r="M19" s="56">
        <v>104</v>
      </c>
      <c r="N19" s="58">
        <v>110</v>
      </c>
      <c r="O19" s="58">
        <v>116</v>
      </c>
      <c r="P19" s="58">
        <v>122</v>
      </c>
      <c r="Q19" s="56">
        <v>128</v>
      </c>
      <c r="R19" s="56">
        <v>134</v>
      </c>
      <c r="S19" s="59">
        <v>140</v>
      </c>
      <c r="T19" s="56">
        <v>152</v>
      </c>
    </row>
    <row r="20" spans="2:28" ht="14.65" thickBot="1" x14ac:dyDescent="0.5">
      <c r="B20" s="1" t="s">
        <v>192</v>
      </c>
      <c r="C20" s="11">
        <f>CEILING(D18,20)</f>
        <v>0</v>
      </c>
      <c r="D20" t="s">
        <v>153</v>
      </c>
      <c r="J20" s="40" t="s">
        <v>82</v>
      </c>
      <c r="K20" s="81" t="s">
        <v>193</v>
      </c>
      <c r="L20" s="51">
        <v>32</v>
      </c>
      <c r="M20" s="51">
        <v>33</v>
      </c>
      <c r="N20" s="51">
        <v>34</v>
      </c>
      <c r="O20" s="51">
        <v>35</v>
      </c>
      <c r="P20" s="51">
        <v>36</v>
      </c>
      <c r="Q20" s="51">
        <v>37</v>
      </c>
      <c r="R20" s="51">
        <v>38</v>
      </c>
      <c r="S20" s="51">
        <v>40</v>
      </c>
      <c r="T20" s="51">
        <v>42</v>
      </c>
      <c r="Y20" s="117"/>
      <c r="Z20" s="117"/>
      <c r="AA20" s="117"/>
      <c r="AB20" s="117"/>
    </row>
    <row r="21" spans="2:28" ht="14.65" thickBot="1" x14ac:dyDescent="0.5">
      <c r="B21" s="1" t="s">
        <v>194</v>
      </c>
      <c r="C21" s="11">
        <f>D24/10-1</f>
        <v>-1</v>
      </c>
      <c r="D21" s="110" t="e">
        <f>MROUND(C21,1)</f>
        <v>#NUM!</v>
      </c>
      <c r="E21" t="s">
        <v>139</v>
      </c>
      <c r="J21" s="40" t="s">
        <v>83</v>
      </c>
      <c r="K21" s="81" t="s">
        <v>112</v>
      </c>
      <c r="L21" s="51">
        <v>32</v>
      </c>
      <c r="M21" s="51">
        <v>33</v>
      </c>
      <c r="N21" s="51">
        <v>34</v>
      </c>
      <c r="O21" s="51">
        <v>35</v>
      </c>
      <c r="P21" s="51">
        <v>36</v>
      </c>
      <c r="Q21" s="51">
        <v>37</v>
      </c>
      <c r="R21" s="51">
        <v>38</v>
      </c>
      <c r="S21" s="51">
        <v>40</v>
      </c>
      <c r="T21" s="51">
        <v>42</v>
      </c>
      <c r="W21" s="1"/>
      <c r="Y21" s="1"/>
    </row>
    <row r="22" spans="2:28" ht="14.65" thickBot="1" x14ac:dyDescent="0.5">
      <c r="B22" s="1" t="s">
        <v>108</v>
      </c>
      <c r="C22" s="11">
        <v>9</v>
      </c>
      <c r="D22" s="110">
        <f>MROUND(C22,2)</f>
        <v>10</v>
      </c>
      <c r="E22" t="s">
        <v>171</v>
      </c>
      <c r="J22" s="40" t="s">
        <v>84</v>
      </c>
      <c r="K22" s="81" t="s">
        <v>85</v>
      </c>
      <c r="L22" s="51">
        <v>40</v>
      </c>
      <c r="M22" s="51">
        <v>41.5</v>
      </c>
      <c r="N22" s="51">
        <v>43</v>
      </c>
      <c r="O22" s="51">
        <v>45</v>
      </c>
      <c r="P22" s="51">
        <v>47</v>
      </c>
      <c r="Q22" s="51">
        <v>49</v>
      </c>
      <c r="R22" s="51">
        <v>51</v>
      </c>
      <c r="S22" s="51">
        <v>54</v>
      </c>
      <c r="T22" s="51">
        <v>57</v>
      </c>
      <c r="W22" s="1"/>
      <c r="Y22" s="1"/>
    </row>
    <row r="23" spans="2:28" ht="14.65" thickBot="1" x14ac:dyDescent="0.5">
      <c r="B23" s="1" t="s">
        <v>175</v>
      </c>
      <c r="C23" s="14">
        <f>C20-D18</f>
        <v>0</v>
      </c>
      <c r="D23" s="110">
        <f>MROUND(C23,1)</f>
        <v>0</v>
      </c>
      <c r="E23" t="s">
        <v>138</v>
      </c>
      <c r="J23" s="40" t="s">
        <v>86</v>
      </c>
      <c r="K23" s="81" t="s">
        <v>113</v>
      </c>
      <c r="L23" s="51">
        <v>7.5</v>
      </c>
      <c r="M23" s="51">
        <v>7.5</v>
      </c>
      <c r="N23" s="51">
        <v>7.5</v>
      </c>
      <c r="O23" s="51">
        <v>7.75</v>
      </c>
      <c r="P23" s="51">
        <v>8</v>
      </c>
      <c r="Q23" s="51">
        <v>8.25</v>
      </c>
      <c r="R23" s="51">
        <v>8.5</v>
      </c>
      <c r="S23" s="51">
        <v>8.75</v>
      </c>
      <c r="T23" s="51">
        <v>9</v>
      </c>
      <c r="W23" s="1"/>
      <c r="Y23" s="1"/>
    </row>
    <row r="24" spans="2:28" ht="14.65" thickBot="1" x14ac:dyDescent="0.5">
      <c r="C24" s="14">
        <f>D18+D23</f>
        <v>0</v>
      </c>
      <c r="D24" s="110">
        <f>MROUND(C24,1)</f>
        <v>0</v>
      </c>
      <c r="E24" t="s">
        <v>176</v>
      </c>
      <c r="J24" s="40" t="s">
        <v>87</v>
      </c>
      <c r="K24" s="81" t="s">
        <v>114</v>
      </c>
      <c r="L24" s="51">
        <v>41.5</v>
      </c>
      <c r="M24" s="51">
        <v>44</v>
      </c>
      <c r="N24" s="51">
        <v>46.5</v>
      </c>
      <c r="O24" s="51">
        <v>49</v>
      </c>
      <c r="P24" s="51">
        <v>51.5</v>
      </c>
      <c r="Q24" s="51">
        <v>54</v>
      </c>
      <c r="R24" s="51">
        <v>56.5</v>
      </c>
      <c r="S24" s="51">
        <v>59</v>
      </c>
      <c r="T24" s="51">
        <v>64</v>
      </c>
      <c r="W24" s="1"/>
      <c r="Y24" s="1"/>
    </row>
    <row r="25" spans="2:28" ht="14.65" thickBot="1" x14ac:dyDescent="0.5">
      <c r="J25" s="40" t="s">
        <v>88</v>
      </c>
      <c r="K25" s="81" t="s">
        <v>89</v>
      </c>
      <c r="L25" s="51">
        <v>49</v>
      </c>
      <c r="M25" s="51">
        <v>51.5</v>
      </c>
      <c r="N25" s="51">
        <v>54</v>
      </c>
      <c r="O25" s="51">
        <v>56.75</v>
      </c>
      <c r="P25" s="51">
        <v>59.5</v>
      </c>
      <c r="Q25" s="51">
        <v>62.25</v>
      </c>
      <c r="R25" s="51">
        <v>65</v>
      </c>
      <c r="S25" s="51">
        <v>67.75</v>
      </c>
      <c r="T25" s="51">
        <v>73</v>
      </c>
      <c r="W25" s="1"/>
      <c r="Y25" s="1"/>
    </row>
    <row r="26" spans="2:28" ht="14.65" thickBot="1" x14ac:dyDescent="0.5">
      <c r="B26" s="1" t="s">
        <v>146</v>
      </c>
      <c r="D26" s="29" t="s">
        <v>147</v>
      </c>
      <c r="J26" s="40" t="s">
        <v>90</v>
      </c>
      <c r="K26" s="81" t="s">
        <v>115</v>
      </c>
      <c r="L26" s="51">
        <v>14.5</v>
      </c>
      <c r="M26" s="51">
        <v>15</v>
      </c>
      <c r="N26" s="51">
        <v>15.5</v>
      </c>
      <c r="O26" s="51">
        <v>16</v>
      </c>
      <c r="P26" s="51">
        <v>16.5</v>
      </c>
      <c r="Q26" s="51">
        <v>17</v>
      </c>
      <c r="R26" s="51">
        <v>17.5</v>
      </c>
      <c r="S26" s="51">
        <v>18</v>
      </c>
      <c r="T26" s="51">
        <v>18.5</v>
      </c>
      <c r="W26" s="1"/>
      <c r="Y26" s="1"/>
    </row>
    <row r="27" spans="2:28" ht="14.65" thickBot="1" x14ac:dyDescent="0.5">
      <c r="B27" s="1" t="s">
        <v>145</v>
      </c>
      <c r="C27" s="11"/>
      <c r="D27" t="s">
        <v>144</v>
      </c>
      <c r="J27" s="40" t="s">
        <v>91</v>
      </c>
      <c r="K27" s="81" t="s">
        <v>92</v>
      </c>
      <c r="L27" s="51">
        <v>12</v>
      </c>
      <c r="M27" s="51">
        <v>12.5</v>
      </c>
      <c r="N27" s="51">
        <v>13</v>
      </c>
      <c r="O27" s="51">
        <v>13.5</v>
      </c>
      <c r="P27" s="51">
        <v>14</v>
      </c>
      <c r="Q27" s="51">
        <v>14.5</v>
      </c>
      <c r="R27" s="51">
        <v>15</v>
      </c>
      <c r="S27" s="51">
        <v>15.5</v>
      </c>
      <c r="T27" s="51">
        <v>16</v>
      </c>
      <c r="W27" s="1"/>
      <c r="Y27" s="1"/>
    </row>
    <row r="28" spans="2:28" ht="14.65" thickBot="1" x14ac:dyDescent="0.5">
      <c r="B28" s="1" t="s">
        <v>148</v>
      </c>
      <c r="C28" s="13" t="e">
        <f>Mål!F6</f>
        <v>#DIV/0!</v>
      </c>
      <c r="D28" s="110" t="e">
        <f t="shared" ref="D28:D35" si="0">MROUND(C28,1)</f>
        <v>#DIV/0!</v>
      </c>
      <c r="E28" t="s">
        <v>149</v>
      </c>
      <c r="J28" s="40" t="s">
        <v>93</v>
      </c>
      <c r="K28" s="81" t="s">
        <v>116</v>
      </c>
      <c r="L28" s="51">
        <v>6</v>
      </c>
      <c r="M28" s="51">
        <v>6.25</v>
      </c>
      <c r="N28" s="51">
        <v>6.5</v>
      </c>
      <c r="O28" s="51">
        <v>6.5</v>
      </c>
      <c r="P28" s="51">
        <v>6.5</v>
      </c>
      <c r="Q28" s="51">
        <v>6.5</v>
      </c>
      <c r="R28" s="51">
        <v>7</v>
      </c>
      <c r="S28" s="51">
        <v>7</v>
      </c>
      <c r="T28" s="51">
        <v>7</v>
      </c>
      <c r="W28" s="1"/>
      <c r="Y28" s="1"/>
    </row>
    <row r="29" spans="2:28" ht="14.65" thickBot="1" x14ac:dyDescent="0.5">
      <c r="B29" s="1" t="s">
        <v>172</v>
      </c>
      <c r="C29" s="13" t="e">
        <f>Opskrift!C28+Opskrift!C28</f>
        <v>#DIV/0!</v>
      </c>
      <c r="D29" s="110" t="e">
        <f t="shared" si="0"/>
        <v>#DIV/0!</v>
      </c>
      <c r="E29" t="s">
        <v>173</v>
      </c>
      <c r="K29" s="81" t="s">
        <v>117</v>
      </c>
      <c r="L29" s="51">
        <v>3</v>
      </c>
      <c r="M29" s="51">
        <v>3</v>
      </c>
      <c r="N29" s="51">
        <v>3</v>
      </c>
      <c r="O29" s="51">
        <v>3.5</v>
      </c>
      <c r="P29" s="51">
        <v>3.5</v>
      </c>
      <c r="Q29" s="51">
        <v>4</v>
      </c>
      <c r="R29" s="51">
        <v>4</v>
      </c>
      <c r="S29" s="51">
        <v>4</v>
      </c>
      <c r="T29" s="51">
        <v>4</v>
      </c>
    </row>
    <row r="30" spans="2:28" ht="14.65" thickBot="1" x14ac:dyDescent="0.5">
      <c r="B30" s="1" t="s">
        <v>172</v>
      </c>
      <c r="C30" s="13" t="e">
        <f>Opskrift!C29+C28</f>
        <v>#DIV/0!</v>
      </c>
      <c r="D30" s="110" t="e">
        <f t="shared" si="0"/>
        <v>#DIV/0!</v>
      </c>
      <c r="E30" t="s">
        <v>173</v>
      </c>
      <c r="K30" s="81" t="s">
        <v>94</v>
      </c>
      <c r="L30" s="51">
        <v>3</v>
      </c>
      <c r="M30" s="51">
        <v>3</v>
      </c>
      <c r="N30" s="51">
        <v>3</v>
      </c>
      <c r="O30" s="51">
        <v>3.5</v>
      </c>
      <c r="P30" s="51">
        <v>3.5</v>
      </c>
      <c r="Q30" s="51">
        <v>4</v>
      </c>
      <c r="R30" s="51">
        <v>4</v>
      </c>
      <c r="S30" s="51">
        <v>4</v>
      </c>
      <c r="T30" s="51">
        <v>4</v>
      </c>
    </row>
    <row r="31" spans="2:28" ht="14.65" thickBot="1" x14ac:dyDescent="0.5">
      <c r="B31" s="1" t="s">
        <v>172</v>
      </c>
      <c r="C31" s="13" t="e">
        <f>Opskrift!C30+C28</f>
        <v>#DIV/0!</v>
      </c>
      <c r="D31" s="110" t="e">
        <f t="shared" si="0"/>
        <v>#DIV/0!</v>
      </c>
      <c r="E31" t="s">
        <v>173</v>
      </c>
      <c r="I31" s="1"/>
      <c r="J31" s="40"/>
      <c r="K31" s="81" t="s">
        <v>168</v>
      </c>
      <c r="L31" s="51">
        <v>3</v>
      </c>
      <c r="M31" s="51">
        <v>3</v>
      </c>
      <c r="N31" s="51">
        <v>3</v>
      </c>
      <c r="O31" s="51">
        <v>3.5</v>
      </c>
      <c r="P31" s="51">
        <v>3.5</v>
      </c>
      <c r="Q31" s="51">
        <v>4</v>
      </c>
      <c r="R31" s="51">
        <v>4</v>
      </c>
      <c r="S31" s="51">
        <v>4</v>
      </c>
      <c r="T31" s="51">
        <v>4</v>
      </c>
    </row>
    <row r="32" spans="2:28" x14ac:dyDescent="0.45">
      <c r="B32" s="1" t="s">
        <v>172</v>
      </c>
      <c r="C32" s="13" t="e">
        <f>IF((SUM(D28:D31)+D31+D28)&gt;Mål!$E$6,Mål!E6-SUM(D28:D31),C31+D28)</f>
        <v>#DIV/0!</v>
      </c>
      <c r="D32" s="110" t="e">
        <f t="shared" si="0"/>
        <v>#DIV/0!</v>
      </c>
      <c r="E32" t="s">
        <v>173</v>
      </c>
      <c r="I32" s="1"/>
      <c r="J32" s="40" t="s">
        <v>120</v>
      </c>
      <c r="K32" s="81" t="s">
        <v>121</v>
      </c>
      <c r="L32" s="51">
        <v>51.5</v>
      </c>
      <c r="M32" s="51">
        <v>52</v>
      </c>
      <c r="N32" s="51">
        <v>52.5</v>
      </c>
      <c r="O32" s="51">
        <v>53</v>
      </c>
      <c r="P32" s="51">
        <v>53.5</v>
      </c>
      <c r="Q32" s="51">
        <v>54</v>
      </c>
      <c r="R32" s="51">
        <v>54.5</v>
      </c>
      <c r="S32" s="51">
        <v>55</v>
      </c>
      <c r="T32" s="51">
        <v>55.5</v>
      </c>
    </row>
    <row r="33" spans="2:25" ht="15.4" x14ac:dyDescent="0.45">
      <c r="B33" s="1" t="s">
        <v>150</v>
      </c>
      <c r="C33" s="13" t="e">
        <f>IF((SUM(D28:D32)+D32+D28)&gt;Mål!$E$6,ABS(Mål!$E$6-(SUM(D28:D32))),Opskrift!C32+Opskrift!D28)</f>
        <v>#DIV/0!</v>
      </c>
      <c r="D33" s="110" t="e">
        <f t="shared" si="0"/>
        <v>#DIV/0!</v>
      </c>
      <c r="E33" t="e">
        <f>IF(SUM(D28:D33)&gt;Mål!E6,Mål!J3,Mål!J4)</f>
        <v>#DIV/0!</v>
      </c>
      <c r="I33" s="1"/>
      <c r="J33" s="82"/>
      <c r="S33" s="11"/>
      <c r="T33" s="21"/>
      <c r="U33"/>
    </row>
    <row r="34" spans="2:25" x14ac:dyDescent="0.45">
      <c r="B34" s="1" t="e">
        <f>IF(SUM(D28:D33)&gt;Mål!E6,Mål!J3,Mål!J5)</f>
        <v>#DIV/0!</v>
      </c>
      <c r="C34" s="111" t="e">
        <f>IF(SUM(D27:D33)&gt;Mål!E6,Mål!J2,C28)</f>
        <v>#DIV/0!</v>
      </c>
      <c r="D34" s="110" t="e">
        <f t="shared" si="0"/>
        <v>#DIV/0!</v>
      </c>
      <c r="E34" t="e">
        <f>IF(SUM(D27:D33)&gt;Mål!E6,Mål!J2,Mål!J6)</f>
        <v>#DIV/0!</v>
      </c>
      <c r="I34" s="1"/>
      <c r="K34" s="1"/>
      <c r="L34" s="1"/>
      <c r="M34" s="1"/>
      <c r="O34" s="1"/>
      <c r="P34" s="1"/>
      <c r="Q34" s="1"/>
      <c r="R34" s="1"/>
      <c r="S34" s="1"/>
      <c r="T34" s="1"/>
    </row>
    <row r="35" spans="2:25" ht="15.4" x14ac:dyDescent="0.45">
      <c r="B35" s="1" t="e">
        <f>IF(SUM(D27:D33)&gt;Mål!E6,Mål!J2,Mål!J7)</f>
        <v>#DIV/0!</v>
      </c>
      <c r="C35" s="13" t="e">
        <f>IF(SUM(D27:D33)&gt;Mål!E6,Mål!J2,Mål!E6)</f>
        <v>#DIV/0!</v>
      </c>
      <c r="D35" s="110" t="e">
        <f t="shared" si="0"/>
        <v>#DIV/0!</v>
      </c>
      <c r="E35" t="e">
        <f>IF(SUM(D27:D33)&gt;Mål!E6,Mål!J2,Mål!J8)</f>
        <v>#DIV/0!</v>
      </c>
      <c r="H35" s="109" t="e">
        <f>IF(SUM(D27:D33)&gt;Mål!E6,Mål!J2,Mål!F3)</f>
        <v>#DIV/0!</v>
      </c>
      <c r="J35" s="82"/>
      <c r="K35" s="1"/>
      <c r="L35" s="1"/>
      <c r="M35" s="1"/>
      <c r="O35" s="1"/>
      <c r="P35" s="1"/>
      <c r="Q35" s="1"/>
      <c r="R35" s="1"/>
      <c r="S35" s="1"/>
      <c r="T35" s="1"/>
      <c r="Y35" s="1"/>
    </row>
    <row r="36" spans="2:25" ht="14.65" customHeight="1" x14ac:dyDescent="0.45">
      <c r="B36" s="1"/>
      <c r="C36" s="13"/>
      <c r="D36" s="110"/>
      <c r="H36" s="109"/>
      <c r="J36" s="82"/>
      <c r="K36" s="1"/>
      <c r="L36" s="1"/>
      <c r="M36" s="1"/>
      <c r="O36" s="1"/>
      <c r="P36" s="1"/>
      <c r="Q36" s="1"/>
      <c r="R36" s="1"/>
      <c r="S36" s="1"/>
      <c r="T36" s="1"/>
      <c r="Y36" s="1"/>
    </row>
    <row r="37" spans="2:25" x14ac:dyDescent="0.45">
      <c r="B37" s="2" t="s">
        <v>125</v>
      </c>
      <c r="C37" s="111"/>
      <c r="D37" s="110"/>
      <c r="K37" s="1"/>
      <c r="L37" s="1"/>
      <c r="M37" s="1"/>
      <c r="O37" s="1"/>
      <c r="P37" s="1"/>
      <c r="Q37" s="1"/>
      <c r="R37" s="1"/>
      <c r="S37" s="1"/>
      <c r="T37" s="1"/>
      <c r="Y37" s="1"/>
    </row>
    <row r="38" spans="2:25" x14ac:dyDescent="0.45">
      <c r="B38" s="1" t="s">
        <v>134</v>
      </c>
      <c r="C38" s="13">
        <f>((3*((Mål!F4+Mål!F5*20)/10))-C39-1)/2</f>
        <v>-0.5</v>
      </c>
      <c r="D38" s="110" t="e">
        <f t="shared" ref="D38:D41" si="1">MROUND(C38,1)</f>
        <v>#NUM!</v>
      </c>
      <c r="E38" t="s">
        <v>155</v>
      </c>
      <c r="K38" s="1"/>
      <c r="L38" s="1"/>
      <c r="M38" s="1"/>
      <c r="O38" s="1"/>
      <c r="P38" s="1"/>
      <c r="Q38" s="1"/>
      <c r="R38" s="1"/>
      <c r="S38" s="1"/>
      <c r="T38" s="1"/>
    </row>
    <row r="39" spans="2:25" x14ac:dyDescent="0.45">
      <c r="B39" s="1" t="s">
        <v>126</v>
      </c>
      <c r="C39" s="13">
        <f>(Mål!B20*2*Opskrift!B9/10)-((MROUND(Mål!F3-Mål!F4-(Mål!F5*20),4))/4)</f>
        <v>0</v>
      </c>
      <c r="D39" s="110">
        <f t="shared" si="1"/>
        <v>0</v>
      </c>
      <c r="E39" t="s">
        <v>159</v>
      </c>
      <c r="K39" s="1"/>
      <c r="L39" s="1"/>
      <c r="M39" s="1"/>
      <c r="O39" s="1"/>
      <c r="P39" s="1"/>
      <c r="Q39" s="1"/>
      <c r="R39" s="1"/>
      <c r="S39" s="1"/>
      <c r="T39" s="1"/>
    </row>
    <row r="40" spans="2:25" ht="14.65" customHeight="1" x14ac:dyDescent="0.45">
      <c r="B40" s="1" t="s">
        <v>128</v>
      </c>
      <c r="C40" s="11">
        <f>((MROUND(Mål!F3-(Mål!F4+(Mål!F5*20)),4))/4)</f>
        <v>0</v>
      </c>
      <c r="D40" s="110">
        <f>MROUND(C40,1)</f>
        <v>0</v>
      </c>
      <c r="E40" t="s">
        <v>129</v>
      </c>
      <c r="K40" s="1"/>
      <c r="L40" s="1"/>
      <c r="M40" s="1"/>
      <c r="O40" s="1"/>
      <c r="P40" s="1"/>
      <c r="Q40" s="1"/>
      <c r="R40" s="1"/>
      <c r="S40" s="1"/>
      <c r="T40" s="1"/>
    </row>
    <row r="41" spans="2:25" ht="15" customHeight="1" x14ac:dyDescent="0.45">
      <c r="B41" s="1" t="s">
        <v>157</v>
      </c>
      <c r="C41" s="11">
        <f>(Mål!B13*Opskrift!B9/10)-((MROUND(Mål!F3-Mål!F4-(Mål!F5*20),4))/4)</f>
        <v>0</v>
      </c>
      <c r="D41" s="110">
        <f t="shared" si="1"/>
        <v>0</v>
      </c>
      <c r="E41" t="s">
        <v>156</v>
      </c>
      <c r="K41" s="1"/>
      <c r="L41" s="1"/>
      <c r="M41" s="1"/>
      <c r="O41" s="1"/>
      <c r="P41" s="1"/>
      <c r="Q41" s="1"/>
      <c r="R41" s="1"/>
      <c r="S41" s="1"/>
      <c r="T41" s="1"/>
    </row>
    <row r="42" spans="2:25" x14ac:dyDescent="0.45">
      <c r="B42" s="1" t="s">
        <v>127</v>
      </c>
      <c r="C42" s="11">
        <f>(Mål!B20*2*Opskrift!B9/10)-((MROUND(Mål!F3-Mål!F4-(Mål!F5*20),4))/4)</f>
        <v>0</v>
      </c>
      <c r="D42" s="110">
        <f>MROUND(C42,1)</f>
        <v>0</v>
      </c>
      <c r="E42" t="s">
        <v>158</v>
      </c>
      <c r="K42" s="1"/>
      <c r="L42" s="1"/>
      <c r="M42" s="1"/>
      <c r="O42" s="1"/>
      <c r="P42" s="1"/>
      <c r="Q42" s="1"/>
      <c r="R42" s="1"/>
      <c r="S42" s="1"/>
      <c r="T42" s="1"/>
    </row>
    <row r="43" spans="2:25" x14ac:dyDescent="0.45">
      <c r="B43" s="1" t="s">
        <v>128</v>
      </c>
      <c r="C43" s="11">
        <f>((MROUND(Mål!F3-(Mål!F4+(Mål!F5*20)),4))/4)</f>
        <v>0</v>
      </c>
      <c r="D43" s="110">
        <f>MROUND(C43,1)</f>
        <v>0</v>
      </c>
      <c r="E43" t="s">
        <v>130</v>
      </c>
      <c r="K43" s="1"/>
      <c r="L43" s="1"/>
      <c r="M43" s="1"/>
      <c r="O43" s="1"/>
      <c r="P43" s="1"/>
      <c r="U43"/>
    </row>
    <row r="44" spans="2:25" x14ac:dyDescent="0.45">
      <c r="B44" s="1" t="s">
        <v>75</v>
      </c>
      <c r="C44" s="11">
        <f>(Mål!B13*Opskrift!B9/10)-((MROUND(Mål!F3-Mål!F4-(Mål!F5*20),4))/4)</f>
        <v>0</v>
      </c>
      <c r="D44" s="110">
        <f>MROUND(C44,1)</f>
        <v>0</v>
      </c>
      <c r="E44" t="s">
        <v>160</v>
      </c>
      <c r="I44" s="1"/>
      <c r="K44" s="1"/>
      <c r="L44" s="1"/>
      <c r="M44" s="1"/>
      <c r="O44" s="1"/>
      <c r="P44" s="1"/>
      <c r="Q44" s="1"/>
      <c r="R44" s="1"/>
      <c r="S44" s="1"/>
      <c r="T44" s="1"/>
    </row>
    <row r="45" spans="2:25" x14ac:dyDescent="0.45">
      <c r="B45" s="2" t="s">
        <v>131</v>
      </c>
      <c r="C45" s="14">
        <f>D41+D40+D43+D44</f>
        <v>0</v>
      </c>
      <c r="D45" s="110">
        <f>MROUND(C45,1)</f>
        <v>0</v>
      </c>
      <c r="E45" t="s">
        <v>132</v>
      </c>
      <c r="J45" s="1"/>
      <c r="K45" s="1"/>
      <c r="L45" s="1"/>
      <c r="M45" s="1"/>
      <c r="O45" s="1"/>
      <c r="P45" s="1"/>
      <c r="Q45" s="1"/>
      <c r="R45" s="1"/>
      <c r="S45" s="1"/>
      <c r="T45" s="1"/>
    </row>
    <row r="46" spans="2:25" x14ac:dyDescent="0.45">
      <c r="B46" s="1" t="s">
        <v>133</v>
      </c>
      <c r="C46" s="13">
        <f>Mål!B15-(Mål!B19+Mål!B23)</f>
        <v>23.5</v>
      </c>
      <c r="D46" s="119">
        <f>C46</f>
        <v>23.5</v>
      </c>
      <c r="E46" t="s">
        <v>174</v>
      </c>
      <c r="K46" s="1"/>
      <c r="L46" s="1"/>
      <c r="M46" s="1"/>
      <c r="O46" s="1"/>
      <c r="P46" s="1"/>
      <c r="Q46" s="1"/>
      <c r="R46" s="1"/>
      <c r="S46" s="1"/>
      <c r="T46" s="1"/>
    </row>
    <row r="47" spans="2:25" x14ac:dyDescent="0.45">
      <c r="B47" s="2"/>
      <c r="C47" s="12"/>
      <c r="D47" s="110"/>
      <c r="K47" s="1"/>
      <c r="L47" s="1"/>
      <c r="M47" s="1"/>
      <c r="O47" s="1"/>
      <c r="P47" s="1"/>
      <c r="Q47" s="1"/>
      <c r="U47"/>
    </row>
    <row r="48" spans="2:25" ht="14.65" customHeight="1" x14ac:dyDescent="0.45">
      <c r="B48" s="1" t="s">
        <v>181</v>
      </c>
      <c r="D48" t="s">
        <v>182</v>
      </c>
      <c r="I48" s="1"/>
      <c r="J48" s="1"/>
      <c r="K48" s="1"/>
      <c r="L48" s="1"/>
      <c r="M48" s="1"/>
      <c r="O48" s="1"/>
      <c r="P48" s="1"/>
      <c r="Q48" s="1"/>
      <c r="R48" s="1"/>
      <c r="S48" s="1"/>
      <c r="T48" s="1"/>
    </row>
    <row r="49" spans="2:21" ht="14.65" customHeight="1" x14ac:dyDescent="0.45">
      <c r="B49" s="1" t="s">
        <v>183</v>
      </c>
      <c r="C49" s="11">
        <f>MROUND(D45-Mål!B14*2*B7/10,10)</f>
        <v>0</v>
      </c>
      <c r="D49" s="110">
        <f>MROUND(C49,1)</f>
        <v>0</v>
      </c>
      <c r="E49" t="s">
        <v>184</v>
      </c>
      <c r="I49" s="1"/>
      <c r="J49" s="1"/>
      <c r="K49" s="1"/>
      <c r="L49" s="1"/>
      <c r="M49" s="1"/>
      <c r="O49" s="1"/>
      <c r="P49" s="1"/>
      <c r="Q49" s="1"/>
      <c r="R49" s="1"/>
      <c r="S49" s="1"/>
      <c r="T49" s="1"/>
    </row>
    <row r="50" spans="2:21" x14ac:dyDescent="0.45">
      <c r="B50" s="1" t="s">
        <v>150</v>
      </c>
      <c r="C50" s="11">
        <f>Mål!B24</f>
        <v>3</v>
      </c>
      <c r="D50" s="118">
        <f>MROUND(C50,1)</f>
        <v>3</v>
      </c>
      <c r="E50" t="s">
        <v>185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/>
    </row>
    <row r="51" spans="2:21" x14ac:dyDescent="0.45">
      <c r="B51" s="1"/>
      <c r="C51" s="11"/>
      <c r="D51" s="110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/>
    </row>
    <row r="52" spans="2:21" x14ac:dyDescent="0.45">
      <c r="B52" s="2" t="s">
        <v>169</v>
      </c>
      <c r="C52" s="11"/>
      <c r="D52" s="109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</row>
    <row r="53" spans="2:21" x14ac:dyDescent="0.45">
      <c r="B53" s="1" t="s">
        <v>178</v>
      </c>
      <c r="C53" s="13">
        <f>C39</f>
        <v>0</v>
      </c>
      <c r="D53" s="110">
        <f t="shared" ref="D53:D54" si="2">MROUND(C53,1)</f>
        <v>0</v>
      </c>
      <c r="E53" t="s">
        <v>179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</row>
    <row r="54" spans="2:21" x14ac:dyDescent="0.45">
      <c r="B54" s="1" t="s">
        <v>186</v>
      </c>
      <c r="C54" s="13">
        <f>((MROUND(Mål!F3-(Mål!F4+(Mål!F5*20)),4))/4)</f>
        <v>0</v>
      </c>
      <c r="D54" s="110">
        <f t="shared" si="2"/>
        <v>0</v>
      </c>
      <c r="E54" t="s">
        <v>180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</row>
    <row r="55" spans="2:21" ht="15.75" customHeight="1" x14ac:dyDescent="0.45">
      <c r="B55" s="1" t="s">
        <v>187</v>
      </c>
      <c r="C55" s="11">
        <f>Mål!B17-Mål!B23+Mål!B22</f>
        <v>44</v>
      </c>
      <c r="D55" s="68">
        <f>MROUND(C55,1)</f>
        <v>44</v>
      </c>
      <c r="E55" t="s">
        <v>170</v>
      </c>
      <c r="J55" s="83"/>
      <c r="L55" s="83"/>
      <c r="M55" s="83"/>
      <c r="N55" s="83"/>
      <c r="O55" s="83"/>
      <c r="P55" s="83"/>
      <c r="Q55" s="83"/>
      <c r="R55" s="83"/>
      <c r="S55" s="83"/>
      <c r="T55" s="83"/>
    </row>
    <row r="56" spans="2:21" ht="14.65" customHeight="1" x14ac:dyDescent="0.45">
      <c r="B56" s="1"/>
      <c r="C56" s="11"/>
      <c r="D56" s="109"/>
      <c r="J56" s="83"/>
      <c r="L56" s="83"/>
      <c r="M56" s="83"/>
      <c r="N56" s="83"/>
      <c r="O56" s="83"/>
      <c r="P56" s="83"/>
      <c r="Q56" s="83"/>
      <c r="R56" s="83"/>
      <c r="S56" s="83"/>
      <c r="T56" s="83"/>
    </row>
    <row r="57" spans="2:21" x14ac:dyDescent="0.45">
      <c r="B57" s="1" t="s">
        <v>188</v>
      </c>
      <c r="C57" s="11">
        <f>D55-Mål!B21*2*B7/10</f>
        <v>44</v>
      </c>
      <c r="D57" s="110">
        <f>MROUND(C57,2)</f>
        <v>44</v>
      </c>
      <c r="E57" t="s">
        <v>189</v>
      </c>
      <c r="H57" s="29"/>
      <c r="L57" s="83"/>
      <c r="M57" s="83"/>
      <c r="N57" s="83"/>
      <c r="O57" s="83"/>
      <c r="P57" s="83"/>
      <c r="Q57" s="83"/>
      <c r="R57" s="83"/>
      <c r="S57" s="83"/>
      <c r="T57" s="83"/>
      <c r="U57"/>
    </row>
    <row r="58" spans="2:21" x14ac:dyDescent="0.45">
      <c r="B58" s="1" t="s">
        <v>190</v>
      </c>
      <c r="C58" s="11">
        <f>Mål!B24</f>
        <v>3</v>
      </c>
      <c r="D58" s="4">
        <f>C58</f>
        <v>3</v>
      </c>
      <c r="E58" t="s">
        <v>177</v>
      </c>
      <c r="L58" s="83"/>
      <c r="M58" s="83"/>
      <c r="N58" s="83"/>
      <c r="O58" s="83"/>
      <c r="P58" s="83"/>
      <c r="Q58" s="83"/>
      <c r="R58" s="83"/>
      <c r="S58" s="83"/>
      <c r="T58" s="83"/>
      <c r="U58"/>
    </row>
    <row r="59" spans="2:21" x14ac:dyDescent="0.45">
      <c r="B59" s="1"/>
      <c r="C59" s="11"/>
      <c r="D59" s="29" t="s">
        <v>135</v>
      </c>
      <c r="U59"/>
    </row>
    <row r="60" spans="2:21" x14ac:dyDescent="0.45">
      <c r="B60" s="1"/>
      <c r="C60" s="10"/>
      <c r="D60" t="s">
        <v>136</v>
      </c>
      <c r="U60"/>
    </row>
    <row r="61" spans="2:21" x14ac:dyDescent="0.45">
      <c r="N61" s="11"/>
      <c r="O61" s="3"/>
      <c r="P61" s="43"/>
    </row>
    <row r="62" spans="2:21" x14ac:dyDescent="0.45">
      <c r="N62" s="11"/>
      <c r="O62" s="3"/>
      <c r="P62" s="43"/>
    </row>
    <row r="63" spans="2:21" x14ac:dyDescent="0.45">
      <c r="N63" s="11"/>
      <c r="O63" s="3"/>
      <c r="P63" s="43"/>
    </row>
    <row r="64" spans="2:21" x14ac:dyDescent="0.45">
      <c r="N64" s="11"/>
      <c r="O64" s="3"/>
      <c r="P64" s="43"/>
    </row>
    <row r="65" spans="14:16" x14ac:dyDescent="0.45">
      <c r="N65" s="11"/>
      <c r="O65" s="3"/>
      <c r="P65" s="43"/>
    </row>
  </sheetData>
  <sheetProtection algorithmName="SHA-512" hashValue="lFuBUdR4zV8yRrUyevGL5Ml/+9PUk3HwPozoIvQ1us3CNFaYyXEg+XDaC3wies1IQZX92Mw6Lua9NETA3eRbHA==" saltValue="4WVVQ9pQqt/2ctOaAl4BOA==" spinCount="100000" sheet="1" objects="1" scenarios="1"/>
  <protectedRanges>
    <protectedRange sqref="L20:T32" name="Område2_2"/>
    <protectedRange sqref="D18:D24 D28:D35 D38:D46 D49:D50 D53:D58" name="Område2_1"/>
    <protectedRange sqref="B7 B9:B10 J7 J10:J12" name="Område1"/>
  </protectedRanges>
  <mergeCells count="4">
    <mergeCell ref="Y20:AB20"/>
    <mergeCell ref="J5:L5"/>
    <mergeCell ref="B5:H5"/>
    <mergeCell ref="B15:H15"/>
  </mergeCells>
  <phoneticPr fontId="2" type="noConversion"/>
  <conditionalFormatting sqref="D50:D51 D36">
    <cfRule type="cellIs" dxfId="32" priority="33" operator="notEqual">
      <formula>MROUND(C36,1)</formula>
    </cfRule>
  </conditionalFormatting>
  <conditionalFormatting sqref="D18">
    <cfRule type="cellIs" dxfId="31" priority="32" operator="notEqual">
      <formula>MROUND(C18,2)</formula>
    </cfRule>
  </conditionalFormatting>
  <conditionalFormatting sqref="D19">
    <cfRule type="cellIs" dxfId="30" priority="31" operator="notEqual">
      <formula>C19</formula>
    </cfRule>
  </conditionalFormatting>
  <conditionalFormatting sqref="D23">
    <cfRule type="cellIs" dxfId="29" priority="29" operator="notEqual">
      <formula>MROUND(C23,1)</formula>
    </cfRule>
  </conditionalFormatting>
  <conditionalFormatting sqref="D24">
    <cfRule type="cellIs" dxfId="28" priority="28" operator="notEqual">
      <formula>MROUND(C24,1)</formula>
    </cfRule>
  </conditionalFormatting>
  <conditionalFormatting sqref="D21">
    <cfRule type="cellIs" dxfId="27" priority="27" operator="notEqual">
      <formula>MROUND(C21,1)</formula>
    </cfRule>
  </conditionalFormatting>
  <conditionalFormatting sqref="D29:D33">
    <cfRule type="cellIs" dxfId="26" priority="22" operator="notEqual">
      <formula>MROUND(C29,1)</formula>
    </cfRule>
  </conditionalFormatting>
  <conditionalFormatting sqref="D28">
    <cfRule type="cellIs" dxfId="25" priority="21" operator="notEqual">
      <formula>MROUND(C28,1)</formula>
    </cfRule>
  </conditionalFormatting>
  <conditionalFormatting sqref="D34">
    <cfRule type="cellIs" dxfId="24" priority="6" operator="notEqual">
      <formula>MROUND(C34,1)</formula>
    </cfRule>
  </conditionalFormatting>
  <conditionalFormatting sqref="D35">
    <cfRule type="cellIs" dxfId="23" priority="5" operator="notEqual">
      <formula>MROUND(C35,1)</formula>
    </cfRule>
  </conditionalFormatting>
  <conditionalFormatting sqref="H35:H36">
    <cfRule type="cellIs" dxfId="22" priority="4" operator="notEqual">
      <formula>MROUND(E35,1)</formula>
    </cfRule>
  </conditionalFormatting>
  <conditionalFormatting sqref="L20:T32">
    <cfRule type="expression" dxfId="21" priority="79">
      <formula>L$18=$J$7</formula>
    </cfRule>
  </conditionalFormatting>
  <conditionalFormatting sqref="D49">
    <cfRule type="cellIs" dxfId="19" priority="2" operator="notEqual">
      <formula>MROUND(C49,1)</formula>
    </cfRule>
  </conditionalFormatting>
  <conditionalFormatting sqref="D55">
    <cfRule type="cellIs" dxfId="18" priority="1" operator="notEqual">
      <formula>C55</formula>
    </cfRule>
  </conditionalFormatting>
  <dataValidations count="1">
    <dataValidation type="list" allowBlank="1" showInputMessage="1" showErrorMessage="1" sqref="J7" xr:uid="{45EE65E7-3649-43A8-AE9A-F85F315CD35B}">
      <formula1>$L$18:$T$18</formula1>
    </dataValidation>
  </dataValidations>
  <pageMargins left="0.25" right="0.25" top="0.75" bottom="0.75" header="0.3" footer="0.3"/>
  <pageSetup paperSize="9" scale="23" fitToHeight="0" orientation="portrait" horizontalDpi="4294967293" verticalDpi="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8" id="{6BFCA33D-CD11-4430-906E-45040705B1A0}">
            <xm:f>L20&lt;&gt;Mål!K15</xm:f>
            <x14:dxf>
              <fill>
                <patternFill>
                  <bgColor theme="4" tint="0.79998168889431442"/>
                </patternFill>
              </fill>
            </x14:dxf>
          </x14:cfRule>
          <xm:sqref>L20:T32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92D3-1651-4F8C-B62A-57EB3A7DF2A0}">
  <dimension ref="A1:AP95"/>
  <sheetViews>
    <sheetView showGridLines="0" topLeftCell="AK1" zoomScaleNormal="100" workbookViewId="0">
      <selection sqref="A1:AJ1048576"/>
    </sheetView>
  </sheetViews>
  <sheetFormatPr defaultRowHeight="14.25" x14ac:dyDescent="0.45"/>
  <cols>
    <col min="1" max="1" width="14.86328125" hidden="1" customWidth="1"/>
    <col min="2" max="2" width="10.1328125" hidden="1" customWidth="1"/>
    <col min="3" max="3" width="11.59765625" hidden="1" customWidth="1"/>
    <col min="4" max="4" width="28.9296875" hidden="1" customWidth="1"/>
    <col min="5" max="5" width="13.3984375" hidden="1" customWidth="1"/>
    <col min="6" max="6" width="9.59765625" hidden="1" customWidth="1"/>
    <col min="7" max="7" width="16" hidden="1" customWidth="1"/>
    <col min="8" max="9" width="6.265625" hidden="1" customWidth="1"/>
    <col min="10" max="10" width="31.73046875" hidden="1" customWidth="1"/>
    <col min="11" max="16" width="5.265625" hidden="1" customWidth="1"/>
    <col min="17" max="19" width="5.265625" style="1" hidden="1" customWidth="1"/>
    <col min="20" max="21" width="5.3984375" style="1" hidden="1" customWidth="1"/>
    <col min="22" max="22" width="5.3984375" style="11" hidden="1" customWidth="1"/>
    <col min="23" max="23" width="5.3984375" style="3" hidden="1" customWidth="1"/>
    <col min="24" max="28" width="5.3984375" hidden="1" customWidth="1"/>
    <col min="29" max="29" width="22.3984375" style="1" hidden="1" customWidth="1"/>
    <col min="30" max="30" width="4.73046875" hidden="1" customWidth="1"/>
    <col min="31" max="31" width="13.265625" hidden="1" customWidth="1"/>
    <col min="32" max="32" width="9.06640625" hidden="1" customWidth="1"/>
    <col min="33" max="33" width="23.86328125" hidden="1" customWidth="1"/>
    <col min="34" max="36" width="9.06640625" hidden="1" customWidth="1"/>
    <col min="37" max="39" width="9.06640625" customWidth="1"/>
    <col min="40" max="41" width="9.1328125" customWidth="1"/>
    <col min="42" max="42" width="25.59765625" customWidth="1"/>
    <col min="43" max="46" width="9.1328125" customWidth="1"/>
    <col min="47" max="72" width="9.06640625" customWidth="1"/>
  </cols>
  <sheetData>
    <row r="1" spans="1:42" x14ac:dyDescent="0.45">
      <c r="A1" s="15" t="s">
        <v>65</v>
      </c>
    </row>
    <row r="2" spans="1:42" ht="14.65" thickBot="1" x14ac:dyDescent="0.5">
      <c r="J2" t="s">
        <v>95</v>
      </c>
      <c r="P2" s="26"/>
      <c r="Q2" s="17"/>
      <c r="R2" s="17"/>
      <c r="S2" s="17"/>
      <c r="T2" s="17"/>
      <c r="U2" s="17"/>
      <c r="V2" s="37"/>
      <c r="W2" s="38"/>
      <c r="X2" s="26"/>
    </row>
    <row r="3" spans="1:42" ht="15.75" customHeight="1" thickBot="1" x14ac:dyDescent="0.55000000000000004">
      <c r="B3" s="2" t="s">
        <v>4</v>
      </c>
      <c r="C3" s="42">
        <f>Opskrift!B7</f>
        <v>0</v>
      </c>
      <c r="D3" t="s">
        <v>3</v>
      </c>
      <c r="E3">
        <f>Mål!B13*2*Opskrift!B9/10</f>
        <v>0</v>
      </c>
      <c r="F3">
        <f>(Mål!B13*2+Mål!B20*4)*Opskrift!B9/10</f>
        <v>0</v>
      </c>
      <c r="G3" t="s">
        <v>140</v>
      </c>
      <c r="J3" t="s">
        <v>162</v>
      </c>
      <c r="M3" s="33"/>
      <c r="N3" s="33"/>
      <c r="P3" s="26"/>
      <c r="Q3" s="36"/>
      <c r="R3" s="36"/>
      <c r="S3" s="36"/>
      <c r="T3" s="36"/>
      <c r="U3" s="36"/>
      <c r="V3" s="27"/>
      <c r="W3" s="39"/>
      <c r="X3" s="26"/>
      <c r="AP3" t="s">
        <v>25</v>
      </c>
    </row>
    <row r="4" spans="1:42" ht="14.65" customHeight="1" thickBot="1" x14ac:dyDescent="0.5">
      <c r="B4" s="1"/>
      <c r="F4" s="16">
        <f>Opskrift!D24</f>
        <v>0</v>
      </c>
      <c r="G4" t="s">
        <v>141</v>
      </c>
      <c r="J4" t="s">
        <v>167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42" x14ac:dyDescent="0.45">
      <c r="B5" s="2" t="s">
        <v>5</v>
      </c>
      <c r="C5" s="34">
        <f>Opskrift!B9</f>
        <v>0</v>
      </c>
      <c r="D5" t="s">
        <v>3</v>
      </c>
      <c r="E5" s="16">
        <f>F3-F4</f>
        <v>0</v>
      </c>
      <c r="F5">
        <f>(_xlfn.FLOOR.MATH(E5,20)/20)</f>
        <v>0</v>
      </c>
      <c r="G5" t="s">
        <v>142</v>
      </c>
      <c r="J5" t="s">
        <v>166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42" ht="14.65" thickBot="1" x14ac:dyDescent="0.5">
      <c r="B6" s="1"/>
      <c r="C6" s="35">
        <f>Opskrift!B10</f>
        <v>0</v>
      </c>
      <c r="D6" t="s">
        <v>2</v>
      </c>
      <c r="E6">
        <f>(B19*Opskrift!B10/10)</f>
        <v>0</v>
      </c>
      <c r="F6" t="e">
        <f>E6/(F5*((F5/2)+0.5))</f>
        <v>#DIV/0!</v>
      </c>
      <c r="G6" t="s">
        <v>143</v>
      </c>
      <c r="J6" t="s">
        <v>164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42" x14ac:dyDescent="0.45">
      <c r="B7" s="1"/>
      <c r="F7" s="79" t="e">
        <f>F6+F6</f>
        <v>#DIV/0!</v>
      </c>
      <c r="J7" t="s">
        <v>165</v>
      </c>
    </row>
    <row r="8" spans="1:42" x14ac:dyDescent="0.45">
      <c r="B8" s="32" t="s">
        <v>72</v>
      </c>
      <c r="F8" s="79" t="e">
        <f>F7+F6</f>
        <v>#DIV/0!</v>
      </c>
      <c r="J8" t="s">
        <v>163</v>
      </c>
    </row>
    <row r="9" spans="1:42" x14ac:dyDescent="0.45">
      <c r="B9" t="s">
        <v>73</v>
      </c>
      <c r="F9" s="79" t="e">
        <f>F8+F6</f>
        <v>#DIV/0!</v>
      </c>
    </row>
    <row r="10" spans="1:42" ht="14.65" thickBot="1" x14ac:dyDescent="0.5">
      <c r="B10" t="s">
        <v>47</v>
      </c>
      <c r="F10" s="79" t="e">
        <f>F9+F6</f>
        <v>#DIV/0!</v>
      </c>
    </row>
    <row r="11" spans="1:42" ht="14.65" thickBot="1" x14ac:dyDescent="0.5">
      <c r="A11" s="104"/>
      <c r="B11" s="112" t="e" cm="1">
        <f t="array" ref="B11">_xlfn.IFS(Opskrift!$J$7=Opskrift!$M$18,Opskrift!#REF!,Opskrift!$J$7=Opskrift!$N$18,Opskrift!#REF!,Opskrift!$J$7=Opskrift!$O$18,Opskrift!#REF!,Opskrift!$J$7=Opskrift!$P$18,Opskrift!#REF!,Opskrift!$J$7=Opskrift!$L$18,Opskrift!#REF!,Opskrift!$J$7=Opskrift!$Q$18,Opskrift!#REF!,Opskrift!$J$7=Opskrift!$R$18,Opskrift!#REF!,Opskrift!$J$7=Opskrift!$S$18,Opskrift!#REF!,Opskrift!$J$7=Opskrift!$T$18,Opskrift!#REF!)</f>
        <v>#REF!</v>
      </c>
      <c r="C11" s="112" t="s">
        <v>109</v>
      </c>
      <c r="D11" s="104"/>
      <c r="F11" s="79" t="e">
        <f>F10+F6</f>
        <v>#DIV/0!</v>
      </c>
      <c r="I11" s="47"/>
      <c r="J11" s="47"/>
      <c r="K11" s="47" t="s">
        <v>96</v>
      </c>
      <c r="L11" s="48" t="s">
        <v>97</v>
      </c>
      <c r="M11" s="47" t="s">
        <v>98</v>
      </c>
      <c r="N11" s="49" t="s">
        <v>99</v>
      </c>
      <c r="O11" s="49" t="s">
        <v>100</v>
      </c>
      <c r="P11" s="50" t="s">
        <v>101</v>
      </c>
      <c r="Q11" s="47" t="s">
        <v>102</v>
      </c>
      <c r="R11" s="48" t="s">
        <v>103</v>
      </c>
      <c r="S11" s="50" t="s">
        <v>104</v>
      </c>
      <c r="T11" s="50" t="s">
        <v>105</v>
      </c>
    </row>
    <row r="12" spans="1:42" ht="14.65" thickBot="1" x14ac:dyDescent="0.5">
      <c r="A12" s="104"/>
      <c r="B12" s="112" t="e" cm="1">
        <f t="array" ref="B12">_xlfn.IFS(Opskrift!$J$7=Opskrift!$M$18,Opskrift!#REF!,Opskrift!$J$7=Opskrift!$N$18,Opskrift!#REF!,Opskrift!$J$7=Opskrift!$O$18,Opskrift!#REF!,Opskrift!$J$7=Opskrift!$P$18,Opskrift!#REF!,Opskrift!$J$7=Opskrift!$L$18,Opskrift!#REF!,Opskrift!$J$7=Opskrift!$Q$18,Opskrift!#REF!,Opskrift!$J$7=Opskrift!$R$18,Opskrift!#REF!,Opskrift!$J$7=Opskrift!$S$18,Opskrift!#REF!,Opskrift!$J$7=Opskrift!$T$18,Opskrift!#REF!)</f>
        <v>#REF!</v>
      </c>
      <c r="C12" s="112" t="s">
        <v>110</v>
      </c>
      <c r="D12" s="104"/>
      <c r="F12" s="79" t="e">
        <f>F11+F6</f>
        <v>#DIV/0!</v>
      </c>
      <c r="I12" s="56"/>
      <c r="J12" s="56"/>
      <c r="K12" s="56">
        <v>98</v>
      </c>
      <c r="L12" s="56">
        <v>104</v>
      </c>
      <c r="M12" s="57">
        <v>110</v>
      </c>
      <c r="N12" s="58">
        <v>116</v>
      </c>
      <c r="O12" s="58">
        <v>122</v>
      </c>
      <c r="P12" s="56">
        <v>128</v>
      </c>
      <c r="Q12" s="56">
        <v>134</v>
      </c>
      <c r="R12" s="59">
        <v>140</v>
      </c>
      <c r="S12" s="56">
        <v>152</v>
      </c>
      <c r="T12" s="56">
        <v>164</v>
      </c>
    </row>
    <row r="13" spans="1:42" ht="15.4" x14ac:dyDescent="0.45">
      <c r="A13" s="113" t="s">
        <v>82</v>
      </c>
      <c r="B13" s="112" cm="1">
        <f t="array" ref="B13">_xlfn.IFS(Opskrift!$J$7=Opskrift!$M$18,Opskrift!M20,Opskrift!$J$7=Opskrift!$N$18,Opskrift!N20,Opskrift!$J$7=Opskrift!$O$18,Opskrift!O20,Opskrift!$J$7=Opskrift!$P$18,Opskrift!P20,Opskrift!$J$7=Opskrift!$L$18,Opskrift!L20,Opskrift!$J$7=Opskrift!$Q$18,Opskrift!Q20,Opskrift!$J$7=Opskrift!$R$18,Opskrift!R20,Opskrift!$J$7=Opskrift!$S$18,Opskrift!S20,Opskrift!$J$7=Opskrift!$T$18,Opskrift!T20)</f>
        <v>33</v>
      </c>
      <c r="C13" s="104" t="s">
        <v>111</v>
      </c>
      <c r="D13" s="104"/>
      <c r="F13" s="79" t="e">
        <f>SUM(F6:F12)</f>
        <v>#DIV/0!</v>
      </c>
      <c r="G13">
        <f>F5*20+F4</f>
        <v>0</v>
      </c>
      <c r="I13" s="82"/>
      <c r="J13" s="105" t="s">
        <v>109</v>
      </c>
      <c r="K13" s="92">
        <v>1.5</v>
      </c>
      <c r="L13" s="92">
        <v>1.5</v>
      </c>
      <c r="M13" s="99">
        <v>1.5</v>
      </c>
      <c r="N13" s="96">
        <v>1.5</v>
      </c>
      <c r="O13" s="84">
        <v>1.5</v>
      </c>
      <c r="P13" s="84">
        <v>1.5</v>
      </c>
      <c r="Q13" s="84">
        <v>1.5</v>
      </c>
      <c r="R13" s="84">
        <v>1.5</v>
      </c>
      <c r="S13" s="85">
        <v>1.5</v>
      </c>
      <c r="T13" s="52"/>
    </row>
    <row r="14" spans="1:42" ht="15.4" x14ac:dyDescent="0.45">
      <c r="A14" s="113" t="s">
        <v>83</v>
      </c>
      <c r="B14" s="112" cm="1">
        <f t="array" ref="B14">_xlfn.IFS(Opskrift!$J$7=Opskrift!$M$18,Opskrift!M21,Opskrift!$J$7=Opskrift!$N$18,Opskrift!N21,Opskrift!$J$7=Opskrift!$O$18,Opskrift!O21,Opskrift!$J$7=Opskrift!$P$18,Opskrift!P21,Opskrift!$J$7=Opskrift!$L$18,Opskrift!L21,Opskrift!$J$7=Opskrift!$Q$18,Opskrift!Q21,Opskrift!$J$7=Opskrift!$R$18,Opskrift!R21,Opskrift!$J$7=Opskrift!$S$18,Opskrift!S21,Opskrift!$J$7=Opskrift!$T$18,Opskrift!T21)</f>
        <v>33</v>
      </c>
      <c r="C14" s="104" t="s">
        <v>112</v>
      </c>
      <c r="D14" s="104"/>
      <c r="F14">
        <f>MROUND(F3-F4-(F5*20),4)</f>
        <v>0</v>
      </c>
      <c r="G14" t="s">
        <v>154</v>
      </c>
      <c r="I14" s="82"/>
      <c r="J14" s="106" t="s">
        <v>110</v>
      </c>
      <c r="K14" s="93">
        <v>6</v>
      </c>
      <c r="L14" s="88">
        <v>6.25</v>
      </c>
      <c r="M14" s="100">
        <v>6.5</v>
      </c>
      <c r="N14" s="95">
        <v>6.75</v>
      </c>
      <c r="O14" s="86">
        <v>6.75</v>
      </c>
      <c r="P14" s="86">
        <v>7</v>
      </c>
      <c r="Q14" s="86">
        <v>7</v>
      </c>
      <c r="R14" s="86">
        <v>7.25</v>
      </c>
      <c r="S14" s="87">
        <v>7.5</v>
      </c>
      <c r="T14" s="53"/>
      <c r="W14" s="20"/>
      <c r="Y14" t="s">
        <v>66</v>
      </c>
      <c r="Z14">
        <f>Opskrift!B9*Mål!C37/10</f>
        <v>0</v>
      </c>
      <c r="AC14"/>
    </row>
    <row r="15" spans="1:42" ht="15.4" x14ac:dyDescent="0.45">
      <c r="A15" s="113" t="s">
        <v>84</v>
      </c>
      <c r="B15" s="112" cm="1">
        <f t="array" ref="B15">_xlfn.IFS(Opskrift!$J$7=Opskrift!$M$18,Opskrift!M22,Opskrift!$J$7=Opskrift!$N$18,Opskrift!N22,Opskrift!$J$7=Opskrift!$O$18,Opskrift!O22,Opskrift!$J$7=Opskrift!$P$18,Opskrift!P22,Opskrift!$J$7=Opskrift!$L$18,Opskrift!L22,Opskrift!$J$7=Opskrift!$Q$18,Opskrift!Q22,Opskrift!$J$7=Opskrift!$R$18,Opskrift!R22,Opskrift!$J$7=Opskrift!$S$18,Opskrift!S22,Opskrift!$J$7=Opskrift!$T$18,Opskrift!T22)</f>
        <v>41.5</v>
      </c>
      <c r="C15" s="104" t="s">
        <v>85</v>
      </c>
      <c r="D15" s="104"/>
      <c r="I15" s="82" t="s">
        <v>82</v>
      </c>
      <c r="J15" s="106" t="s">
        <v>111</v>
      </c>
      <c r="K15" s="93">
        <v>32</v>
      </c>
      <c r="L15" s="88">
        <v>33</v>
      </c>
      <c r="M15" s="101">
        <v>34</v>
      </c>
      <c r="N15" s="95">
        <v>35</v>
      </c>
      <c r="O15" s="86">
        <v>36</v>
      </c>
      <c r="P15" s="86">
        <v>37</v>
      </c>
      <c r="Q15" s="86">
        <v>38</v>
      </c>
      <c r="R15" s="86">
        <v>40</v>
      </c>
      <c r="S15" s="87">
        <v>42</v>
      </c>
      <c r="T15" s="54"/>
      <c r="W15" s="19"/>
      <c r="AC15"/>
    </row>
    <row r="16" spans="1:42" ht="15.4" x14ac:dyDescent="0.45">
      <c r="A16" s="113" t="s">
        <v>86</v>
      </c>
      <c r="B16" s="112" cm="1">
        <f t="array" ref="B16">_xlfn.IFS(Opskrift!$J$7=Opskrift!$M$18,Opskrift!M23,Opskrift!$J$7=Opskrift!$N$18,Opskrift!N23,Opskrift!$J$7=Opskrift!$O$18,Opskrift!O23,Opskrift!$J$7=Opskrift!$P$18,Opskrift!P23,Opskrift!$J$7=Opskrift!$L$18,Opskrift!L23,Opskrift!$J$7=Opskrift!$Q$18,Opskrift!Q23,Opskrift!$J$7=Opskrift!$R$18,Opskrift!R23,Opskrift!$J$7=Opskrift!$S$18,Opskrift!S23,Opskrift!$J$7=Opskrift!$T$18,Opskrift!T23)</f>
        <v>7.5</v>
      </c>
      <c r="C16" s="104" t="s">
        <v>113</v>
      </c>
      <c r="D16" s="104"/>
      <c r="I16" s="82" t="s">
        <v>83</v>
      </c>
      <c r="J16" s="81" t="s">
        <v>112</v>
      </c>
      <c r="K16" s="93">
        <v>32</v>
      </c>
      <c r="L16" s="88">
        <v>33</v>
      </c>
      <c r="M16" s="101">
        <v>34</v>
      </c>
      <c r="N16" s="95">
        <v>35</v>
      </c>
      <c r="O16" s="86">
        <v>36</v>
      </c>
      <c r="P16" s="86">
        <v>37</v>
      </c>
      <c r="Q16" s="86">
        <v>38</v>
      </c>
      <c r="R16" s="86">
        <v>40</v>
      </c>
      <c r="S16" s="87">
        <v>42</v>
      </c>
      <c r="T16" s="54"/>
      <c r="W16" s="19"/>
      <c r="Y16" t="s">
        <v>67</v>
      </c>
      <c r="Z16">
        <f>Opskrift!B9*Mål!C63/10</f>
        <v>0</v>
      </c>
      <c r="AC16"/>
    </row>
    <row r="17" spans="1:29" ht="15.4" x14ac:dyDescent="0.45">
      <c r="A17" s="113" t="s">
        <v>87</v>
      </c>
      <c r="B17" s="112" cm="1">
        <f t="array" ref="B17">_xlfn.IFS(Opskrift!$J$7=Opskrift!$M$18,Opskrift!M24,Opskrift!$J$7=Opskrift!$N$18,Opskrift!N24,Opskrift!$J$7=Opskrift!$O$18,Opskrift!O24,Opskrift!$J$7=Opskrift!$P$18,Opskrift!P24,Opskrift!$J$7=Opskrift!$L$18,Opskrift!L24,Opskrift!$J$7=Opskrift!$Q$18,Opskrift!Q24,Opskrift!$J$7=Opskrift!$R$18,Opskrift!R24,Opskrift!$J$7=Opskrift!$S$18,Opskrift!S24,Opskrift!$J$7=Opskrift!$T$18,Opskrift!T24)</f>
        <v>44</v>
      </c>
      <c r="C17" s="104" t="s">
        <v>114</v>
      </c>
      <c r="D17" s="104"/>
      <c r="I17" s="82" t="s">
        <v>84</v>
      </c>
      <c r="J17" s="107" t="s">
        <v>85</v>
      </c>
      <c r="K17" s="93">
        <v>40</v>
      </c>
      <c r="L17" s="88">
        <v>41.5</v>
      </c>
      <c r="M17" s="101">
        <v>43</v>
      </c>
      <c r="N17" s="97">
        <v>45</v>
      </c>
      <c r="O17" s="88">
        <v>47</v>
      </c>
      <c r="P17" s="88">
        <v>49</v>
      </c>
      <c r="Q17" s="88">
        <v>51</v>
      </c>
      <c r="R17" s="88">
        <v>54</v>
      </c>
      <c r="S17" s="89">
        <v>57</v>
      </c>
      <c r="T17" s="55"/>
      <c r="W17" s="19"/>
      <c r="AC17"/>
    </row>
    <row r="18" spans="1:29" ht="15.4" x14ac:dyDescent="0.45">
      <c r="A18" s="113" t="s">
        <v>88</v>
      </c>
      <c r="B18" s="112" cm="1">
        <f t="array" ref="B18">_xlfn.IFS(Opskrift!$J$7=Opskrift!$M$18,Opskrift!M25,Opskrift!$J$7=Opskrift!$N$18,Opskrift!N25,Opskrift!$J$7=Opskrift!$O$18,Opskrift!O25,Opskrift!$J$7=Opskrift!$P$18,Opskrift!P25,Opskrift!$J$7=Opskrift!$L$18,Opskrift!L25,Opskrift!$J$7=Opskrift!$Q$18,Opskrift!Q25,Opskrift!$J$7=Opskrift!$R$18,Opskrift!R25,Opskrift!$J$7=Opskrift!$S$18,Opskrift!S25,Opskrift!$J$7=Opskrift!$T$18,Opskrift!T25)</f>
        <v>51.5</v>
      </c>
      <c r="C18" s="104" t="s">
        <v>89</v>
      </c>
      <c r="D18" s="104"/>
      <c r="I18" s="82" t="s">
        <v>86</v>
      </c>
      <c r="J18" s="106" t="s">
        <v>113</v>
      </c>
      <c r="K18" s="94">
        <v>7.5</v>
      </c>
      <c r="L18" s="86">
        <v>7.5</v>
      </c>
      <c r="M18" s="100">
        <v>7.5</v>
      </c>
      <c r="N18" s="95">
        <v>7.75</v>
      </c>
      <c r="O18" s="86">
        <v>8</v>
      </c>
      <c r="P18" s="86">
        <v>8.25</v>
      </c>
      <c r="Q18" s="86">
        <v>8.5</v>
      </c>
      <c r="R18" s="86">
        <v>8.75</v>
      </c>
      <c r="S18" s="87">
        <v>9</v>
      </c>
      <c r="T18" s="53"/>
      <c r="W18" s="19"/>
      <c r="AC18"/>
    </row>
    <row r="19" spans="1:29" ht="15.4" x14ac:dyDescent="0.45">
      <c r="A19" s="113" t="s">
        <v>90</v>
      </c>
      <c r="B19" s="112" cm="1">
        <f t="array" ref="B19">_xlfn.IFS(Opskrift!$J$7=Opskrift!$M$18,Opskrift!M26,Opskrift!$J$7=Opskrift!$N$18,Opskrift!N26,Opskrift!$J$7=Opskrift!$O$18,Opskrift!O26,Opskrift!$J$7=Opskrift!$P$18,Opskrift!P26,Opskrift!$J$7=Opskrift!$L$18,Opskrift!L26,Opskrift!$J$7=Opskrift!$Q$18,Opskrift!Q26,Opskrift!$J$7=Opskrift!$R$18,Opskrift!R26,Opskrift!$J$7=Opskrift!$S$18,Opskrift!S26,Opskrift!$J$7=Opskrift!$T$18,Opskrift!T26)</f>
        <v>15</v>
      </c>
      <c r="C19" s="104" t="s">
        <v>115</v>
      </c>
      <c r="D19" s="104"/>
      <c r="I19" s="82" t="s">
        <v>87</v>
      </c>
      <c r="J19" s="107" t="s">
        <v>114</v>
      </c>
      <c r="K19" s="93">
        <v>41.5</v>
      </c>
      <c r="L19" s="88">
        <v>44</v>
      </c>
      <c r="M19" s="102">
        <v>46.5</v>
      </c>
      <c r="N19" s="97">
        <v>49</v>
      </c>
      <c r="O19" s="88">
        <v>51.5</v>
      </c>
      <c r="P19" s="88">
        <v>54</v>
      </c>
      <c r="Q19" s="88">
        <v>56.5</v>
      </c>
      <c r="R19" s="88">
        <v>59</v>
      </c>
      <c r="S19" s="89">
        <v>64</v>
      </c>
      <c r="T19" s="53"/>
      <c r="W19" s="19"/>
      <c r="Z19" s="22" t="s">
        <v>68</v>
      </c>
      <c r="AC19"/>
    </row>
    <row r="20" spans="1:29" ht="15.4" x14ac:dyDescent="0.45">
      <c r="A20" s="113" t="s">
        <v>91</v>
      </c>
      <c r="B20" s="112" cm="1">
        <f t="array" ref="B20">_xlfn.IFS(Opskrift!$J$7=Opskrift!$M$18,Opskrift!M27,Opskrift!$J$7=Opskrift!$N$18,Opskrift!N27,Opskrift!$J$7=Opskrift!$O$18,Opskrift!O27,Opskrift!$J$7=Opskrift!$P$18,Opskrift!P27,Opskrift!$J$7=Opskrift!$L$18,Opskrift!L27,Opskrift!$J$7=Opskrift!$Q$18,Opskrift!Q27,Opskrift!$J$7=Opskrift!$R$18,Opskrift!R27,Opskrift!$J$7=Opskrift!$S$18,Opskrift!S27,Opskrift!$J$7=Opskrift!$T$18,Opskrift!T27)</f>
        <v>12.5</v>
      </c>
      <c r="C20" s="104" t="s">
        <v>92</v>
      </c>
      <c r="D20" s="104"/>
      <c r="I20" s="82" t="s">
        <v>88</v>
      </c>
      <c r="J20" s="81" t="s">
        <v>89</v>
      </c>
      <c r="K20" s="93">
        <v>49</v>
      </c>
      <c r="L20" s="88">
        <v>51.5</v>
      </c>
      <c r="M20" s="101">
        <v>54</v>
      </c>
      <c r="N20" s="97">
        <v>56.75</v>
      </c>
      <c r="O20" s="88">
        <v>59.5</v>
      </c>
      <c r="P20" s="88">
        <v>62.25</v>
      </c>
      <c r="Q20" s="88">
        <v>65</v>
      </c>
      <c r="R20" s="88">
        <v>67.75</v>
      </c>
      <c r="S20" s="89">
        <v>73</v>
      </c>
      <c r="T20" s="55"/>
      <c r="W20" s="19"/>
      <c r="Z20" s="22" t="s">
        <v>69</v>
      </c>
      <c r="AC20"/>
    </row>
    <row r="21" spans="1:29" ht="15.4" x14ac:dyDescent="0.45">
      <c r="A21" s="113" t="s">
        <v>93</v>
      </c>
      <c r="B21" s="112" cm="1">
        <f t="array" ref="B21">_xlfn.IFS(Opskrift!$J$7=Opskrift!$M$18,Opskrift!M28,Opskrift!$J$7=Opskrift!$N$18,Opskrift!N28,Opskrift!$J$7=Opskrift!$O$18,Opskrift!O28,Opskrift!$J$7=Opskrift!$P$18,Opskrift!P28,Opskrift!$J$7=Opskrift!$L$18,Opskrift!L28,Opskrift!$J$7=Opskrift!$Q$18,Opskrift!Q28,Opskrift!$J$7=Opskrift!$R$18,Opskrift!R28,Opskrift!$J$7=Opskrift!$S$18,Opskrift!S28,Opskrift!$J$7=Opskrift!$T$18,Opskrift!T28)</f>
        <v>6.25</v>
      </c>
      <c r="C21" s="104" t="s">
        <v>116</v>
      </c>
      <c r="D21" s="104"/>
      <c r="I21" s="82" t="s">
        <v>90</v>
      </c>
      <c r="J21" s="81" t="s">
        <v>115</v>
      </c>
      <c r="K21" s="93">
        <v>14.5</v>
      </c>
      <c r="L21" s="88">
        <v>15</v>
      </c>
      <c r="M21" s="101">
        <v>15.5</v>
      </c>
      <c r="N21" s="95">
        <v>16</v>
      </c>
      <c r="O21" s="86">
        <v>16.5</v>
      </c>
      <c r="P21" s="86">
        <v>17</v>
      </c>
      <c r="Q21" s="86">
        <v>17.5</v>
      </c>
      <c r="R21" s="86">
        <v>18</v>
      </c>
      <c r="S21" s="87">
        <v>18.5</v>
      </c>
      <c r="T21" s="55"/>
      <c r="AC21"/>
    </row>
    <row r="22" spans="1:29" ht="15.4" x14ac:dyDescent="0.45">
      <c r="A22" s="113"/>
      <c r="B22" s="112" cm="1">
        <f t="array" ref="B22">_xlfn.IFS(Opskrift!$J$7=Opskrift!$M$18,Opskrift!M29,Opskrift!$J$7=Opskrift!$N$18,Opskrift!N29,Opskrift!$J$7=Opskrift!$O$18,Opskrift!O29,Opskrift!$J$7=Opskrift!$P$18,Opskrift!P29,Opskrift!$J$7=Opskrift!$L$18,Opskrift!L29,Opskrift!$J$7=Opskrift!$Q$18,Opskrift!Q29,Opskrift!$J$7=Opskrift!$R$18,Opskrift!R29,Opskrift!$J$7=Opskrift!$S$18,Opskrift!S29,Opskrift!$J$7=Opskrift!$T$18,Opskrift!T29)</f>
        <v>3</v>
      </c>
      <c r="C22" s="104" t="s">
        <v>117</v>
      </c>
      <c r="D22" s="104"/>
      <c r="I22" s="82" t="s">
        <v>91</v>
      </c>
      <c r="J22" s="107" t="s">
        <v>92</v>
      </c>
      <c r="K22" s="93">
        <v>12</v>
      </c>
      <c r="L22" s="88">
        <v>12.5</v>
      </c>
      <c r="M22" s="101">
        <v>13</v>
      </c>
      <c r="N22" s="95">
        <v>13.5</v>
      </c>
      <c r="O22" s="86">
        <v>14</v>
      </c>
      <c r="P22" s="86">
        <v>14.5</v>
      </c>
      <c r="Q22" s="86">
        <v>15</v>
      </c>
      <c r="R22" s="86">
        <v>15.5</v>
      </c>
      <c r="S22" s="87">
        <v>16</v>
      </c>
      <c r="T22" s="53"/>
      <c r="Z22" t="s">
        <v>106</v>
      </c>
    </row>
    <row r="23" spans="1:29" ht="15.4" x14ac:dyDescent="0.45">
      <c r="A23" s="113"/>
      <c r="B23" s="112" cm="1">
        <f t="array" ref="B23">_xlfn.IFS(Opskrift!$J$7=Opskrift!$M$18,Opskrift!M30,Opskrift!$J$7=Opskrift!$N$18,Opskrift!N30,Opskrift!$J$7=Opskrift!$O$18,Opskrift!O30,Opskrift!$J$7=Opskrift!$P$18,Opskrift!P30,Opskrift!$J$7=Opskrift!$L$18,Opskrift!L30,Opskrift!$J$7=Opskrift!$Q$18,Opskrift!Q30,Opskrift!$J$7=Opskrift!$R$18,Opskrift!R30,Opskrift!$J$7=Opskrift!$S$18,Opskrift!S30,Opskrift!$J$7=Opskrift!$T$18,Opskrift!T30)</f>
        <v>3</v>
      </c>
      <c r="C23" s="104" t="s">
        <v>118</v>
      </c>
      <c r="D23" s="104"/>
      <c r="I23" s="82" t="s">
        <v>93</v>
      </c>
      <c r="J23" s="81" t="s">
        <v>116</v>
      </c>
      <c r="K23" s="93">
        <v>6</v>
      </c>
      <c r="L23" s="88">
        <v>6.25</v>
      </c>
      <c r="M23" s="101">
        <v>6.5</v>
      </c>
      <c r="N23" s="97">
        <v>6.5</v>
      </c>
      <c r="O23" s="88">
        <v>6.5</v>
      </c>
      <c r="P23" s="88">
        <v>6.5</v>
      </c>
      <c r="Q23" s="88">
        <v>7</v>
      </c>
      <c r="R23" s="88">
        <v>7</v>
      </c>
      <c r="S23" s="89">
        <v>7</v>
      </c>
      <c r="T23" s="53"/>
      <c r="Z23" t="s">
        <v>107</v>
      </c>
    </row>
    <row r="24" spans="1:29" ht="14.65" customHeight="1" x14ac:dyDescent="0.45">
      <c r="A24" s="113"/>
      <c r="B24" s="112" cm="1">
        <f t="array" ref="B24">_xlfn.IFS(Opskrift!$J$7=Opskrift!$M$18,Opskrift!M31,Opskrift!$J$7=Opskrift!$N$18,Opskrift!N31,Opskrift!$J$7=Opskrift!$O$18,Opskrift!O31,Opskrift!$J$7=Opskrift!$P$18,Opskrift!P31,Opskrift!$J$7=Opskrift!$L$18,Opskrift!L31,Opskrift!$J$7=Opskrift!$Q$18,Opskrift!Q31,Opskrift!$J$7=Opskrift!$R$18,Opskrift!R31,Opskrift!$J$7=Opskrift!$S$18,Opskrift!S31,Opskrift!$J$7=Opskrift!$T$18,Opskrift!T31)</f>
        <v>3</v>
      </c>
      <c r="C24" s="104" t="s">
        <v>119</v>
      </c>
      <c r="D24" s="104"/>
      <c r="I24" s="82"/>
      <c r="J24" s="106" t="s">
        <v>117</v>
      </c>
      <c r="K24" s="94">
        <v>3</v>
      </c>
      <c r="L24" s="94">
        <v>3</v>
      </c>
      <c r="M24" s="94">
        <v>3</v>
      </c>
      <c r="N24" s="94">
        <v>3.5</v>
      </c>
      <c r="O24" s="94">
        <v>3.5</v>
      </c>
      <c r="P24" s="94">
        <v>4</v>
      </c>
      <c r="Q24" s="94">
        <v>4</v>
      </c>
      <c r="R24" s="94">
        <v>4</v>
      </c>
      <c r="S24" s="94">
        <v>4</v>
      </c>
      <c r="T24" s="55"/>
    </row>
    <row r="25" spans="1:29" ht="15.4" x14ac:dyDescent="0.45">
      <c r="A25" s="113" t="s">
        <v>120</v>
      </c>
      <c r="B25" s="112" cm="1">
        <f t="array" ref="B25">_xlfn.IFS(Opskrift!$J$7=Opskrift!$M$18,Opskrift!M32,Opskrift!$J$7=Opskrift!$N$18,Opskrift!N32,Opskrift!$J$7=Opskrift!$O$18,Opskrift!O32,Opskrift!$J$7=Opskrift!$P$18,Opskrift!P32,Opskrift!$J$7=Opskrift!$L$18,Opskrift!L32,Opskrift!$J$7=Opskrift!$Q$18,Opskrift!Q32,Opskrift!$J$7=Opskrift!$R$18,Opskrift!R32,Opskrift!$J$7=Opskrift!$S$18,Opskrift!S32,Opskrift!$J$7=Opskrift!$T$18,Opskrift!T32)</f>
        <v>52</v>
      </c>
      <c r="C25" s="104" t="s">
        <v>121</v>
      </c>
      <c r="D25" s="104"/>
      <c r="I25" s="82"/>
      <c r="J25" s="106" t="s">
        <v>118</v>
      </c>
      <c r="K25" s="94">
        <v>3</v>
      </c>
      <c r="L25" s="86">
        <v>3</v>
      </c>
      <c r="M25" s="103">
        <v>3</v>
      </c>
      <c r="N25" s="95">
        <v>3.5</v>
      </c>
      <c r="O25" s="86">
        <v>3.5</v>
      </c>
      <c r="P25" s="86">
        <v>4</v>
      </c>
      <c r="Q25" s="86">
        <v>4</v>
      </c>
      <c r="R25" s="86">
        <v>4</v>
      </c>
      <c r="S25" s="87">
        <v>4</v>
      </c>
      <c r="T25" s="53"/>
    </row>
    <row r="26" spans="1:29" ht="15.4" x14ac:dyDescent="0.45">
      <c r="B26" s="23"/>
      <c r="C26" s="30"/>
      <c r="I26" s="82"/>
      <c r="J26" s="106" t="s">
        <v>119</v>
      </c>
      <c r="K26" s="94">
        <v>3</v>
      </c>
      <c r="L26" s="86">
        <v>3</v>
      </c>
      <c r="M26" s="103">
        <v>3</v>
      </c>
      <c r="N26" s="95">
        <v>3.5</v>
      </c>
      <c r="O26" s="86">
        <v>3.5</v>
      </c>
      <c r="P26" s="86">
        <v>4</v>
      </c>
      <c r="Q26" s="86">
        <v>4</v>
      </c>
      <c r="R26" s="86">
        <v>4</v>
      </c>
      <c r="S26" s="87">
        <v>4</v>
      </c>
      <c r="T26" s="53"/>
    </row>
    <row r="27" spans="1:29" ht="15.75" thickBot="1" x14ac:dyDescent="0.5">
      <c r="A27" s="2"/>
      <c r="B27" s="46"/>
      <c r="C27" s="46"/>
      <c r="I27" s="82" t="s">
        <v>120</v>
      </c>
      <c r="J27" s="106" t="s">
        <v>121</v>
      </c>
      <c r="K27" s="93">
        <v>51.5</v>
      </c>
      <c r="L27" s="88">
        <v>52</v>
      </c>
      <c r="M27" s="103">
        <v>52.5</v>
      </c>
      <c r="N27" s="98">
        <v>53</v>
      </c>
      <c r="O27" s="91">
        <v>53.5</v>
      </c>
      <c r="P27" s="91">
        <v>54</v>
      </c>
      <c r="Q27" s="91">
        <v>54.5</v>
      </c>
      <c r="R27" s="91">
        <v>55</v>
      </c>
      <c r="S27" s="90">
        <v>55.5</v>
      </c>
      <c r="T27" s="72"/>
    </row>
    <row r="28" spans="1:29" ht="14.65" customHeight="1" thickBot="1" x14ac:dyDescent="0.5">
      <c r="C28" s="44" t="s">
        <v>72</v>
      </c>
      <c r="D28" s="30"/>
      <c r="E28" s="46"/>
      <c r="F28" s="46"/>
      <c r="I28" s="76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8"/>
      <c r="U28" s="46"/>
    </row>
    <row r="29" spans="1:29" ht="15" customHeight="1" thickBot="1" x14ac:dyDescent="0.5">
      <c r="A29" s="2"/>
      <c r="C29" s="3" t="s">
        <v>77</v>
      </c>
      <c r="E29" s="46"/>
      <c r="F29" s="46"/>
      <c r="I29" s="73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5"/>
      <c r="U29" s="46"/>
    </row>
    <row r="30" spans="1:29" ht="14.65" thickBot="1" x14ac:dyDescent="0.5">
      <c r="A30" s="2"/>
      <c r="C30" s="44" t="s">
        <v>47</v>
      </c>
      <c r="E30" s="30"/>
      <c r="F30" s="30"/>
      <c r="I30" s="30"/>
      <c r="J30" s="30"/>
      <c r="K30" s="30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1:29" x14ac:dyDescent="0.45">
      <c r="A31" s="2"/>
      <c r="B31" s="2" t="s">
        <v>7</v>
      </c>
      <c r="C31" s="60">
        <f>Mål!B14</f>
        <v>33</v>
      </c>
      <c r="D31" t="s">
        <v>17</v>
      </c>
      <c r="L31" s="46"/>
      <c r="M31" s="46"/>
      <c r="N31" s="46"/>
      <c r="O31" s="46"/>
      <c r="P31" s="46"/>
      <c r="Q31" s="46"/>
      <c r="R31" s="46"/>
      <c r="S31" s="46"/>
      <c r="T31" s="46"/>
      <c r="U31" s="46"/>
    </row>
    <row r="32" spans="1:29" x14ac:dyDescent="0.45">
      <c r="A32" s="2"/>
      <c r="B32" s="2" t="s">
        <v>26</v>
      </c>
      <c r="C32" s="61">
        <f>Mål!B25</f>
        <v>52</v>
      </c>
      <c r="D32" t="s">
        <v>46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</row>
    <row r="33" spans="1:21" x14ac:dyDescent="0.45">
      <c r="A33" s="2"/>
      <c r="B33" s="2" t="s">
        <v>27</v>
      </c>
      <c r="C33" s="61" t="e">
        <f>Mål!B15-Mål!B12</f>
        <v>#REF!</v>
      </c>
      <c r="D33" t="s">
        <v>78</v>
      </c>
      <c r="L33" s="46"/>
      <c r="M33" s="46"/>
      <c r="N33" s="46"/>
      <c r="O33" s="46"/>
      <c r="P33" s="46"/>
      <c r="Q33" s="46"/>
      <c r="R33" s="46"/>
      <c r="S33" s="46"/>
      <c r="T33" s="46"/>
      <c r="U33" s="46"/>
    </row>
    <row r="34" spans="1:21" ht="14.65" thickBot="1" x14ac:dyDescent="0.5">
      <c r="A34" s="7"/>
      <c r="B34" s="2" t="s">
        <v>8</v>
      </c>
      <c r="C34" s="62">
        <f>Mål!B15</f>
        <v>41.5</v>
      </c>
      <c r="D34" t="s">
        <v>79</v>
      </c>
      <c r="L34" s="46"/>
      <c r="M34" s="46"/>
      <c r="N34" s="46"/>
      <c r="O34" s="46"/>
      <c r="P34" s="46"/>
      <c r="Q34" s="46"/>
      <c r="R34" s="46"/>
      <c r="S34" s="46"/>
      <c r="T34" s="46"/>
      <c r="U34" s="46"/>
    </row>
    <row r="35" spans="1:21" ht="14.65" thickBot="1" x14ac:dyDescent="0.5">
      <c r="A35" s="7"/>
      <c r="B35" s="5" t="s">
        <v>6</v>
      </c>
      <c r="C35" s="63" t="e">
        <f>Opskrift!#REF!+(10*Opskrift!#REF!*2/Opskrift!B10)</f>
        <v>#REF!</v>
      </c>
      <c r="D35" t="s">
        <v>51</v>
      </c>
      <c r="L35" s="46"/>
      <c r="M35" s="46"/>
      <c r="N35" s="46"/>
      <c r="O35" s="46"/>
      <c r="P35" s="46"/>
      <c r="Q35" s="46"/>
      <c r="R35" s="46"/>
      <c r="S35" s="46"/>
      <c r="T35" s="46"/>
      <c r="U35" s="46"/>
    </row>
    <row r="36" spans="1:21" ht="14.65" thickBot="1" x14ac:dyDescent="0.5">
      <c r="A36" s="7"/>
      <c r="B36" s="5" t="s">
        <v>6</v>
      </c>
      <c r="C36" s="64" t="e">
        <f>C32+C38+Opskrift!D23+C49</f>
        <v>#REF!</v>
      </c>
      <c r="D36" t="s">
        <v>52</v>
      </c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1:21" x14ac:dyDescent="0.45">
      <c r="A37" s="2"/>
      <c r="B37" s="2" t="s">
        <v>7</v>
      </c>
      <c r="C37" s="60">
        <f>Mål!B13</f>
        <v>33</v>
      </c>
      <c r="D37" t="s">
        <v>18</v>
      </c>
      <c r="L37" s="46"/>
      <c r="M37" s="46"/>
      <c r="N37" s="46"/>
      <c r="O37" s="46"/>
      <c r="P37" s="46"/>
      <c r="Q37" s="46"/>
      <c r="R37" s="46"/>
      <c r="S37" s="46"/>
      <c r="T37" s="46"/>
      <c r="U37" s="2"/>
    </row>
    <row r="38" spans="1:21" x14ac:dyDescent="0.45">
      <c r="B38" s="2" t="s">
        <v>33</v>
      </c>
      <c r="C38" s="61" t="e">
        <f>Mål!B15-(Mål!B11+Mål!B20+Mål!B25)</f>
        <v>#REF!</v>
      </c>
      <c r="D38" t="s">
        <v>20</v>
      </c>
      <c r="L38" s="46"/>
      <c r="M38" s="46"/>
      <c r="N38" s="46"/>
      <c r="O38" s="46"/>
      <c r="P38" s="46"/>
      <c r="Q38" s="46"/>
      <c r="R38" s="46"/>
      <c r="S38" s="46"/>
      <c r="T38" s="46"/>
    </row>
    <row r="39" spans="1:21" ht="14.65" thickBot="1" x14ac:dyDescent="0.5">
      <c r="B39" s="2" t="s">
        <v>48</v>
      </c>
      <c r="C39" s="62">
        <f>Mål!B13</f>
        <v>33</v>
      </c>
      <c r="D39" t="s">
        <v>19</v>
      </c>
      <c r="L39" s="46"/>
      <c r="M39" s="46"/>
      <c r="N39" s="46"/>
      <c r="O39" s="46"/>
      <c r="P39" s="46"/>
      <c r="Q39" s="46"/>
      <c r="R39" s="46"/>
      <c r="S39" s="46"/>
      <c r="T39" s="46"/>
    </row>
    <row r="40" spans="1:21" ht="14.65" thickBot="1" x14ac:dyDescent="0.5">
      <c r="B40" s="5" t="s">
        <v>48</v>
      </c>
      <c r="C40" s="63" t="e">
        <f>10*Opskrift!#REF!/Opskrift!B9</f>
        <v>#REF!</v>
      </c>
      <c r="D40" t="s">
        <v>49</v>
      </c>
      <c r="L40" s="46"/>
      <c r="M40" s="46"/>
      <c r="N40" s="46"/>
      <c r="O40" s="46"/>
      <c r="P40" s="46"/>
      <c r="Q40" s="46"/>
      <c r="R40" s="46"/>
      <c r="S40" s="46"/>
      <c r="T40" s="46"/>
    </row>
    <row r="41" spans="1:21" ht="14.65" thickBot="1" x14ac:dyDescent="0.5">
      <c r="B41" s="5" t="s">
        <v>48</v>
      </c>
      <c r="C41" s="65" t="e">
        <f>C44*2+C45*2+C48*2+C51*2+C50</f>
        <v>#REF!</v>
      </c>
      <c r="D41" t="s">
        <v>50</v>
      </c>
      <c r="L41" s="46"/>
      <c r="M41" s="46"/>
      <c r="N41" s="46"/>
      <c r="O41" s="46"/>
      <c r="P41" s="46"/>
      <c r="Q41" s="46"/>
      <c r="R41" s="46"/>
      <c r="S41" s="46"/>
      <c r="T41" s="46"/>
    </row>
    <row r="42" spans="1:21" x14ac:dyDescent="0.45">
      <c r="C42" s="3"/>
      <c r="L42" s="46"/>
      <c r="M42" s="46"/>
      <c r="N42" s="46"/>
      <c r="O42" s="46"/>
      <c r="P42" s="46"/>
      <c r="Q42" s="46"/>
      <c r="R42" s="46"/>
      <c r="S42" s="46"/>
      <c r="T42" s="46"/>
    </row>
    <row r="43" spans="1:21" ht="14.65" thickBot="1" x14ac:dyDescent="0.5">
      <c r="C43" s="44" t="s">
        <v>47</v>
      </c>
      <c r="L43" s="46"/>
      <c r="M43" s="46"/>
      <c r="N43" s="46"/>
      <c r="O43" s="46"/>
      <c r="P43" s="46"/>
      <c r="Q43" s="46"/>
      <c r="R43" s="46"/>
      <c r="S43" s="46"/>
      <c r="T43" s="46"/>
    </row>
    <row r="44" spans="1:21" x14ac:dyDescent="0.45">
      <c r="B44" s="7" t="s">
        <v>9</v>
      </c>
      <c r="C44" s="60">
        <v>0</v>
      </c>
      <c r="D44" t="s">
        <v>57</v>
      </c>
      <c r="L44" s="46"/>
      <c r="M44" s="46"/>
      <c r="N44" s="46"/>
      <c r="O44" s="46"/>
      <c r="P44" s="46"/>
      <c r="Q44" s="46"/>
      <c r="R44" s="46"/>
      <c r="S44" s="46"/>
      <c r="T44" s="46"/>
    </row>
    <row r="45" spans="1:21" x14ac:dyDescent="0.45">
      <c r="B45" s="7" t="s">
        <v>10</v>
      </c>
      <c r="C45" s="61" t="e">
        <f>(Mål!B13-Mål!#REF!)/2</f>
        <v>#REF!</v>
      </c>
      <c r="D45" t="s">
        <v>80</v>
      </c>
      <c r="L45" s="46"/>
      <c r="M45" s="46"/>
      <c r="N45" s="46"/>
      <c r="O45" s="46"/>
      <c r="P45" s="46"/>
      <c r="Q45" s="46"/>
      <c r="R45" s="46"/>
      <c r="S45" s="46"/>
      <c r="T45" s="46"/>
    </row>
    <row r="46" spans="1:21" x14ac:dyDescent="0.45">
      <c r="B46" s="7" t="s">
        <v>11</v>
      </c>
      <c r="C46" s="61">
        <f>Mål!B20/2</f>
        <v>6.25</v>
      </c>
      <c r="D46" t="s">
        <v>81</v>
      </c>
      <c r="L46" s="46"/>
      <c r="M46" s="46"/>
      <c r="N46" s="46"/>
      <c r="O46" s="46"/>
      <c r="P46" s="46"/>
      <c r="Q46" s="46"/>
      <c r="R46" s="46"/>
      <c r="S46" s="46"/>
      <c r="T46" s="46"/>
    </row>
    <row r="47" spans="1:21" x14ac:dyDescent="0.45">
      <c r="B47" s="2" t="s">
        <v>12</v>
      </c>
      <c r="C47" s="61">
        <f>Mål!B20</f>
        <v>12.5</v>
      </c>
      <c r="D47" t="s">
        <v>56</v>
      </c>
      <c r="L47" s="46"/>
      <c r="M47" s="46"/>
      <c r="N47" s="46"/>
      <c r="O47" s="46"/>
      <c r="P47" s="46"/>
      <c r="Q47" s="46"/>
      <c r="R47" s="46"/>
      <c r="S47" s="46"/>
      <c r="T47" s="46"/>
    </row>
    <row r="48" spans="1:21" ht="14.65" customHeight="1" x14ac:dyDescent="0.45">
      <c r="B48" s="2" t="s">
        <v>13</v>
      </c>
      <c r="C48" s="61" t="e">
        <f>(Mål!#REF!-(Mål!B16+2*B23))/2</f>
        <v>#REF!</v>
      </c>
      <c r="D48" t="s">
        <v>21</v>
      </c>
      <c r="L48" s="46"/>
      <c r="M48" s="46"/>
      <c r="N48" s="46"/>
      <c r="O48" s="46"/>
      <c r="P48" s="46"/>
      <c r="Q48" s="46"/>
      <c r="R48" s="46"/>
      <c r="S48" s="46"/>
      <c r="T48" s="46"/>
    </row>
    <row r="49" spans="2:29" x14ac:dyDescent="0.45">
      <c r="B49" s="7" t="s">
        <v>14</v>
      </c>
      <c r="C49" s="61" t="e">
        <f>Mål!B11</f>
        <v>#REF!</v>
      </c>
      <c r="D49" t="s">
        <v>58</v>
      </c>
    </row>
    <row r="50" spans="2:29" x14ac:dyDescent="0.45">
      <c r="B50" s="2" t="s">
        <v>15</v>
      </c>
      <c r="C50" s="66">
        <f>(Mål!B16*2+2*B23)/3</f>
        <v>7</v>
      </c>
      <c r="D50" t="s">
        <v>23</v>
      </c>
      <c r="V50" s="3"/>
      <c r="W50"/>
    </row>
    <row r="51" spans="2:29" x14ac:dyDescent="0.45">
      <c r="B51" s="2" t="s">
        <v>16</v>
      </c>
      <c r="C51" s="66">
        <f>C50</f>
        <v>7</v>
      </c>
      <c r="D51" t="s">
        <v>22</v>
      </c>
      <c r="V51" s="3"/>
      <c r="W51"/>
    </row>
    <row r="52" spans="2:29" ht="14.65" thickBot="1" x14ac:dyDescent="0.5">
      <c r="B52" s="2" t="s">
        <v>55</v>
      </c>
      <c r="C52" s="62" t="e">
        <f>Mål!B12-Mål!B11</f>
        <v>#REF!</v>
      </c>
      <c r="D52" t="s">
        <v>24</v>
      </c>
      <c r="V52" s="3"/>
      <c r="W52"/>
    </row>
    <row r="53" spans="2:29" x14ac:dyDescent="0.45">
      <c r="C53" s="3"/>
      <c r="V53" s="3"/>
      <c r="W53"/>
      <c r="AC53"/>
    </row>
    <row r="54" spans="2:29" x14ac:dyDescent="0.45">
      <c r="B54" s="5"/>
      <c r="C54" s="3"/>
      <c r="J54" s="31"/>
      <c r="K54" s="31"/>
      <c r="V54" s="3"/>
      <c r="W54"/>
      <c r="AC54"/>
    </row>
    <row r="55" spans="2:29" ht="16.149999999999999" thickBot="1" x14ac:dyDescent="0.55000000000000004">
      <c r="C55" s="67" t="s">
        <v>39</v>
      </c>
      <c r="D55" s="24"/>
      <c r="V55" s="3"/>
      <c r="W55"/>
      <c r="AC55"/>
    </row>
    <row r="56" spans="2:29" ht="14.65" thickBot="1" x14ac:dyDescent="0.5">
      <c r="C56" s="8" t="e">
        <f>ABS(Mål!L69-Mål!M69)</f>
        <v>#REF!</v>
      </c>
      <c r="D56" s="45" t="e">
        <f>IF((Mål!L69-Mål!M69)&gt;0,Mål!Z20,Mål!Z19)</f>
        <v>#REF!</v>
      </c>
      <c r="V56" s="3"/>
      <c r="W56"/>
      <c r="AC56"/>
    </row>
    <row r="57" spans="2:29" x14ac:dyDescent="0.45">
      <c r="C57" s="3"/>
      <c r="D57" s="45"/>
      <c r="V57" s="3"/>
      <c r="W57"/>
      <c r="AC57"/>
    </row>
    <row r="58" spans="2:29" x14ac:dyDescent="0.45">
      <c r="C58" s="3"/>
      <c r="D58" s="45"/>
      <c r="E58" s="45"/>
      <c r="F58" s="45"/>
      <c r="G58" s="45"/>
      <c r="H58" s="45"/>
      <c r="I58" s="45"/>
      <c r="J58" s="45"/>
      <c r="K58" s="45"/>
      <c r="V58" s="3"/>
      <c r="W58"/>
      <c r="AC58"/>
    </row>
    <row r="59" spans="2:29" x14ac:dyDescent="0.45">
      <c r="C59" s="3"/>
      <c r="D59" s="45"/>
      <c r="E59" s="45"/>
      <c r="F59" s="45"/>
      <c r="G59" s="45"/>
      <c r="H59" s="45"/>
      <c r="I59" s="45"/>
      <c r="J59" s="45"/>
      <c r="K59" s="45"/>
      <c r="V59" s="3"/>
      <c r="W59"/>
      <c r="AC59"/>
    </row>
    <row r="60" spans="2:29" ht="14.65" thickBot="1" x14ac:dyDescent="0.5">
      <c r="C60" s="44" t="s">
        <v>47</v>
      </c>
      <c r="E60" s="45"/>
      <c r="F60" s="45"/>
      <c r="G60" s="45"/>
      <c r="H60" s="45"/>
      <c r="I60" s="45"/>
      <c r="J60" s="45"/>
      <c r="K60" s="45"/>
      <c r="V60" s="3"/>
      <c r="W60"/>
      <c r="AC60"/>
    </row>
    <row r="61" spans="2:29" x14ac:dyDescent="0.45">
      <c r="B61" s="2" t="s">
        <v>26</v>
      </c>
      <c r="C61" s="60">
        <f>Mål!B22*2</f>
        <v>6</v>
      </c>
      <c r="D61" t="s">
        <v>28</v>
      </c>
      <c r="E61" s="45"/>
      <c r="F61" s="45"/>
      <c r="G61" s="45"/>
      <c r="H61" s="45"/>
      <c r="I61" s="45"/>
      <c r="J61" s="45"/>
      <c r="K61" s="45"/>
      <c r="V61" s="3"/>
      <c r="W61"/>
      <c r="AC61"/>
    </row>
    <row r="62" spans="2:29" x14ac:dyDescent="0.45">
      <c r="B62" s="2" t="s">
        <v>40</v>
      </c>
      <c r="C62" s="61">
        <f>Mål!B24</f>
        <v>3</v>
      </c>
      <c r="D62" t="s">
        <v>41</v>
      </c>
      <c r="G62" s="41"/>
      <c r="Q62"/>
      <c r="R62"/>
      <c r="S62"/>
      <c r="V62" s="3"/>
      <c r="W62"/>
      <c r="AC62"/>
    </row>
    <row r="63" spans="2:29" x14ac:dyDescent="0.45">
      <c r="B63" s="2" t="s">
        <v>27</v>
      </c>
      <c r="C63" s="61">
        <f>Mål!B22*2</f>
        <v>6</v>
      </c>
      <c r="D63" t="s">
        <v>29</v>
      </c>
      <c r="G63" s="20"/>
      <c r="I63" t="s">
        <v>25</v>
      </c>
      <c r="Q63"/>
      <c r="R63"/>
      <c r="S63"/>
      <c r="V63" s="3"/>
      <c r="W63"/>
      <c r="AC63"/>
    </row>
    <row r="64" spans="2:29" ht="14.65" thickBot="1" x14ac:dyDescent="0.5">
      <c r="B64" s="2" t="s">
        <v>30</v>
      </c>
      <c r="C64" s="61">
        <f>Mål!B21*2</f>
        <v>12.5</v>
      </c>
      <c r="D64" t="s">
        <v>31</v>
      </c>
      <c r="G64" s="20"/>
      <c r="I64" t="e">
        <f>Opskrift!D47*2+Opskrift!#REF!*2+Opskrift!#REF!+Opskrift!#REF!*Opskrift!#REF!*2+2*Opskrift!#REF!</f>
        <v>#REF!</v>
      </c>
      <c r="J64" s="16" t="e">
        <f>Opskrift!#REF!-I64</f>
        <v>#REF!</v>
      </c>
      <c r="Q64"/>
      <c r="R64"/>
      <c r="S64"/>
      <c r="V64" s="3"/>
      <c r="W64"/>
      <c r="AC64"/>
    </row>
    <row r="65" spans="2:29" ht="14.65" thickBot="1" x14ac:dyDescent="0.5">
      <c r="B65" s="2" t="s">
        <v>30</v>
      </c>
      <c r="C65" s="65" t="e">
        <f>10*Opskrift!#REF!/Opskrift!B9</f>
        <v>#REF!</v>
      </c>
      <c r="D65" t="s">
        <v>38</v>
      </c>
      <c r="G65" s="20"/>
      <c r="I65" t="s">
        <v>42</v>
      </c>
      <c r="J65" t="s">
        <v>63</v>
      </c>
      <c r="Q65"/>
      <c r="R65"/>
      <c r="S65"/>
      <c r="V65" s="3"/>
      <c r="W65"/>
      <c r="AC65"/>
    </row>
    <row r="66" spans="2:29" x14ac:dyDescent="0.45">
      <c r="B66" s="2" t="s">
        <v>33</v>
      </c>
      <c r="C66" s="60" t="e">
        <f>Mål!B18-Mål!B24-C45</f>
        <v>#REF!</v>
      </c>
      <c r="D66" t="s">
        <v>32</v>
      </c>
      <c r="G66" s="20"/>
      <c r="I66" t="s">
        <v>43</v>
      </c>
      <c r="J66" t="s">
        <v>44</v>
      </c>
      <c r="Q66"/>
      <c r="R66"/>
      <c r="S66"/>
      <c r="V66" s="3"/>
      <c r="W66"/>
      <c r="AC66"/>
    </row>
    <row r="67" spans="2:29" x14ac:dyDescent="0.45">
      <c r="B67" s="7" t="s">
        <v>34</v>
      </c>
      <c r="C67" s="61">
        <v>0</v>
      </c>
      <c r="D67" t="s">
        <v>57</v>
      </c>
      <c r="G67" s="20"/>
      <c r="I67" t="s">
        <v>45</v>
      </c>
      <c r="J67" t="s">
        <v>64</v>
      </c>
      <c r="Q67"/>
      <c r="R67"/>
      <c r="S67"/>
      <c r="V67" s="3"/>
      <c r="W67"/>
      <c r="AC67"/>
    </row>
    <row r="68" spans="2:29" x14ac:dyDescent="0.45">
      <c r="B68" s="7" t="s">
        <v>35</v>
      </c>
      <c r="C68" s="61">
        <v>1</v>
      </c>
      <c r="D68" t="s">
        <v>60</v>
      </c>
      <c r="G68" s="20"/>
      <c r="Q68"/>
      <c r="R68"/>
      <c r="S68"/>
      <c r="V68" s="3"/>
      <c r="W68"/>
      <c r="AC68"/>
    </row>
    <row r="69" spans="2:29" ht="14.65" thickBot="1" x14ac:dyDescent="0.5">
      <c r="B69" s="7" t="s">
        <v>36</v>
      </c>
      <c r="C69" s="62" t="e">
        <f>C45</f>
        <v>#REF!</v>
      </c>
      <c r="D69" t="s">
        <v>61</v>
      </c>
      <c r="G69" s="20"/>
      <c r="K69" s="1" t="s">
        <v>39</v>
      </c>
      <c r="L69" s="3" t="e">
        <f>Mål!C44*2+(SQRT((Mål!C45*Mål!C45+Mål!C46*Mål!C46)))*2+(Mål!C47-Mål!C46)*2</f>
        <v>#REF!</v>
      </c>
      <c r="M69" s="4" t="e">
        <f>Mål!C67*2+(SQRT((Mål!C69*Mål!C69+Mål!C68*Mål!C68)))*2+(Opskrift!D58*10/Opskrift!B9)</f>
        <v>#REF!</v>
      </c>
      <c r="N69" s="79" t="e">
        <f>Mål!C65</f>
        <v>#REF!</v>
      </c>
      <c r="Q69"/>
      <c r="R69"/>
      <c r="S69"/>
      <c r="V69" s="3"/>
      <c r="W69"/>
      <c r="AC69"/>
    </row>
    <row r="70" spans="2:29" ht="14.65" thickBot="1" x14ac:dyDescent="0.5">
      <c r="B70" s="2" t="s">
        <v>62</v>
      </c>
      <c r="C70" s="62">
        <f>B18</f>
        <v>51.5</v>
      </c>
      <c r="D70" t="s">
        <v>37</v>
      </c>
      <c r="G70" s="20"/>
      <c r="Q70"/>
      <c r="R70"/>
      <c r="S70"/>
      <c r="V70" s="3"/>
      <c r="W70"/>
      <c r="AC70"/>
    </row>
    <row r="71" spans="2:29" x14ac:dyDescent="0.45">
      <c r="K71" s="25"/>
      <c r="AC71"/>
    </row>
    <row r="72" spans="2:29" x14ac:dyDescent="0.45">
      <c r="AC72"/>
    </row>
    <row r="73" spans="2:29" x14ac:dyDescent="0.45">
      <c r="AC73"/>
    </row>
    <row r="74" spans="2:29" x14ac:dyDescent="0.45">
      <c r="Q74" s="27"/>
      <c r="R74" s="27"/>
      <c r="S74" s="27"/>
      <c r="T74" s="27"/>
      <c r="U74" s="27"/>
      <c r="AB74" s="1"/>
      <c r="AC74"/>
    </row>
    <row r="75" spans="2:29" x14ac:dyDescent="0.45">
      <c r="N75" s="1"/>
      <c r="P75" s="29"/>
      <c r="Q75" s="11"/>
      <c r="R75" s="11"/>
      <c r="S75" s="11"/>
      <c r="T75" s="11"/>
      <c r="U75" s="11"/>
      <c r="AB75" s="1"/>
      <c r="AC75"/>
    </row>
    <row r="76" spans="2:29" x14ac:dyDescent="0.45">
      <c r="N76" s="1"/>
      <c r="Q76" s="11"/>
      <c r="R76" s="11"/>
      <c r="S76" s="11"/>
      <c r="T76" s="11"/>
      <c r="U76" s="11"/>
      <c r="AB76" s="1"/>
      <c r="AC76"/>
    </row>
    <row r="77" spans="2:29" x14ac:dyDescent="0.45">
      <c r="N77" s="1"/>
      <c r="Q77" s="11"/>
      <c r="R77" s="11"/>
      <c r="S77" s="11"/>
      <c r="T77" s="11"/>
      <c r="U77" s="11"/>
      <c r="AB77" s="1"/>
      <c r="AC77"/>
    </row>
    <row r="78" spans="2:29" x14ac:dyDescent="0.45">
      <c r="N78" s="1"/>
      <c r="Q78" s="11"/>
      <c r="R78" s="11"/>
      <c r="S78" s="11"/>
      <c r="T78" s="11"/>
      <c r="U78" s="11"/>
      <c r="AB78" s="1"/>
      <c r="AC78"/>
    </row>
    <row r="79" spans="2:29" x14ac:dyDescent="0.45">
      <c r="N79" s="1"/>
      <c r="Q79" s="11"/>
      <c r="R79" s="11"/>
      <c r="S79" s="11"/>
      <c r="T79" s="11"/>
      <c r="U79" s="11"/>
      <c r="AB79" s="1"/>
      <c r="AC79"/>
    </row>
    <row r="80" spans="2:29" x14ac:dyDescent="0.45">
      <c r="N80" s="1"/>
      <c r="Q80" s="11"/>
      <c r="R80" s="11"/>
      <c r="S80" s="11"/>
      <c r="T80" s="11"/>
      <c r="U80" s="11"/>
      <c r="AB80" s="1"/>
      <c r="AC80"/>
    </row>
    <row r="81" spans="14:29" x14ac:dyDescent="0.45">
      <c r="N81" s="1"/>
      <c r="Q81" s="11"/>
      <c r="R81" s="11"/>
      <c r="S81" s="11"/>
      <c r="T81" s="11"/>
      <c r="U81" s="11"/>
      <c r="AB81" s="1"/>
      <c r="AC81"/>
    </row>
    <row r="82" spans="14:29" x14ac:dyDescent="0.45">
      <c r="N82" s="1"/>
      <c r="Q82" s="11"/>
      <c r="R82" s="11"/>
      <c r="S82" s="11"/>
      <c r="T82" s="11"/>
      <c r="U82" s="11"/>
      <c r="AB82" s="1"/>
      <c r="AC82"/>
    </row>
    <row r="83" spans="14:29" x14ac:dyDescent="0.45">
      <c r="N83" s="1"/>
      <c r="Q83" s="11"/>
      <c r="R83" s="11"/>
      <c r="S83" s="11"/>
      <c r="T83" s="11"/>
      <c r="U83" s="11"/>
      <c r="AB83" s="1"/>
      <c r="AC83"/>
    </row>
    <row r="84" spans="14:29" x14ac:dyDescent="0.45">
      <c r="N84" s="1"/>
      <c r="Q84" s="11"/>
      <c r="R84" s="11"/>
      <c r="S84" s="11"/>
      <c r="T84" s="11"/>
      <c r="U84" s="11"/>
      <c r="AB84" s="1"/>
      <c r="AC84"/>
    </row>
    <row r="85" spans="14:29" x14ac:dyDescent="0.45">
      <c r="N85" s="1"/>
      <c r="Q85" s="11"/>
      <c r="R85" s="11"/>
      <c r="S85" s="11"/>
      <c r="T85" s="11"/>
      <c r="U85" s="11"/>
      <c r="AB85" s="1"/>
      <c r="AC85"/>
    </row>
    <row r="86" spans="14:29" x14ac:dyDescent="0.45">
      <c r="Q86" s="11"/>
      <c r="R86" s="11"/>
      <c r="S86" s="11"/>
      <c r="T86" s="11"/>
      <c r="U86" s="11"/>
      <c r="AB86" s="1"/>
      <c r="AC86"/>
    </row>
    <row r="87" spans="14:29" x14ac:dyDescent="0.45">
      <c r="Q87" s="11"/>
      <c r="R87" s="11"/>
      <c r="S87" s="11"/>
      <c r="T87" s="11"/>
      <c r="U87" s="11"/>
      <c r="AB87" s="1"/>
      <c r="AC87"/>
    </row>
    <row r="88" spans="14:29" x14ac:dyDescent="0.45">
      <c r="Q88" s="11"/>
      <c r="R88" s="11"/>
      <c r="S88" s="11"/>
      <c r="T88" s="11"/>
      <c r="U88" s="11"/>
      <c r="AB88" s="1"/>
      <c r="AC88"/>
    </row>
    <row r="89" spans="14:29" x14ac:dyDescent="0.45">
      <c r="Q89" s="11"/>
      <c r="R89" s="11"/>
      <c r="S89" s="11"/>
      <c r="T89" s="11"/>
      <c r="U89" s="11"/>
      <c r="AB89" s="1"/>
      <c r="AC89"/>
    </row>
    <row r="90" spans="14:29" x14ac:dyDescent="0.45">
      <c r="Q90" s="11"/>
      <c r="R90" s="11"/>
      <c r="S90" s="11"/>
      <c r="T90" s="11"/>
      <c r="U90" s="11"/>
      <c r="AB90" s="1"/>
      <c r="AC90"/>
    </row>
    <row r="91" spans="14:29" x14ac:dyDescent="0.45">
      <c r="Q91" s="11"/>
      <c r="R91" s="11"/>
      <c r="S91" s="11"/>
      <c r="T91" s="11"/>
      <c r="U91" s="11"/>
      <c r="AB91" s="1"/>
      <c r="AC91"/>
    </row>
    <row r="92" spans="14:29" x14ac:dyDescent="0.45">
      <c r="Q92" s="11"/>
      <c r="R92" s="11"/>
      <c r="S92" s="11"/>
      <c r="T92" s="11"/>
      <c r="U92" s="11"/>
      <c r="AB92" s="1"/>
      <c r="AC92"/>
    </row>
    <row r="93" spans="14:29" x14ac:dyDescent="0.45">
      <c r="Q93" s="11"/>
      <c r="R93" s="11"/>
      <c r="S93" s="11"/>
      <c r="T93" s="11"/>
      <c r="U93" s="11"/>
      <c r="AB93" s="1"/>
      <c r="AC93"/>
    </row>
    <row r="94" spans="14:29" x14ac:dyDescent="0.45">
      <c r="Q94" s="11"/>
      <c r="R94" s="11"/>
      <c r="S94" s="11"/>
      <c r="T94" s="11"/>
      <c r="U94" s="11"/>
      <c r="AB94" s="1"/>
      <c r="AC94"/>
    </row>
    <row r="95" spans="14:29" x14ac:dyDescent="0.45">
      <c r="Q95" s="11"/>
      <c r="R95" s="11"/>
      <c r="S95" s="11"/>
      <c r="T95" s="11"/>
      <c r="U95" s="11"/>
      <c r="AB95" s="1"/>
      <c r="AC95"/>
    </row>
  </sheetData>
  <sheetProtection algorithmName="SHA-512" hashValue="zIr1EKlP2j1HJkWxNECygEqKmxfwvES5oBLog7K/fFCjg9iuNJzn6I9gTLdZfOWfvNIyb9iSYNzaSB5Gkwg0Xg==" saltValue="17FcS7sU+CldTLIHfiXbag==" spinCount="100000" sheet="1" objects="1" scenarios="1"/>
  <protectedRanges>
    <protectedRange sqref="C66:C69 C31:C34 C37:C39 C44:C52 C61:C64" name="Område1"/>
    <protectedRange sqref="C70" name="Område1_1"/>
  </protectedRanges>
  <conditionalFormatting sqref="C56">
    <cfRule type="cellIs" dxfId="17" priority="26" stopIfTrue="1" operator="between">
      <formula>-2</formula>
      <formula>2</formula>
    </cfRule>
    <cfRule type="cellIs" dxfId="16" priority="27" operator="lessThan">
      <formula>-2</formula>
    </cfRule>
    <cfRule type="cellIs" dxfId="15" priority="28" operator="greaterThan">
      <formula>2</formula>
    </cfRule>
  </conditionalFormatting>
  <conditionalFormatting sqref="C40">
    <cfRule type="expression" dxfId="14" priority="21">
      <formula>1&lt;$H$30-$H$29</formula>
    </cfRule>
    <cfRule type="expression" dxfId="13" priority="22">
      <formula>-1&gt;$H$30-$H$29</formula>
    </cfRule>
    <cfRule type="expression" dxfId="12" priority="24">
      <formula>-1&lt;$H$30-$H$29&gt;1</formula>
    </cfRule>
  </conditionalFormatting>
  <conditionalFormatting sqref="C41">
    <cfRule type="expression" dxfId="11" priority="19">
      <formula>-1&gt;$H$31-$H$29</formula>
    </cfRule>
    <cfRule type="expression" dxfId="10" priority="20">
      <formula>1&lt;$H$31-$H$29</formula>
    </cfRule>
    <cfRule type="expression" dxfId="9" priority="23" stopIfTrue="1">
      <formula>-1&lt;$H$31-$H$29&gt;1</formula>
    </cfRule>
  </conditionalFormatting>
  <conditionalFormatting sqref="C65">
    <cfRule type="expression" dxfId="8" priority="11">
      <formula>-2&gt;$H$55-$H$56</formula>
    </cfRule>
    <cfRule type="expression" dxfId="7" priority="12">
      <formula>2&lt;$H$55-$H$56</formula>
    </cfRule>
    <cfRule type="expression" dxfId="6" priority="13">
      <formula>-2&lt;$H$55-$H$56&gt;2</formula>
    </cfRule>
  </conditionalFormatting>
  <pageMargins left="0.25" right="0.25" top="0.75" bottom="0.75" header="0.3" footer="0.3"/>
  <pageSetup paperSize="9" fitToHeight="0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7" id="{5ABF4760-E2AB-4D35-B0D7-3727056ECA9A}">
            <xm:f>Opskrift!#REF!-Opskrift!#REF!&lt;-1</xm:f>
            <x14:dxf>
              <fill>
                <patternFill>
                  <bgColor rgb="FFEBB4A9"/>
                </patternFill>
              </fill>
            </x14:dxf>
          </x14:cfRule>
          <x14:cfRule type="expression" priority="68" id="{62148DBC-77F5-436A-A499-A4E4EACDEB0A}">
            <xm:f>-1&lt;Opskrift!#REF!-Opskrift!#REF!&gt;1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69" id="{19951625-97FF-4744-B267-AC2B73B2203E}">
            <xm:f>Opskrift!#REF!-Opskrift!#REF!&gt;1</xm:f>
            <x14:dxf>
              <fill>
                <patternFill>
                  <bgColor rgb="FFEBB4A9"/>
                </patternFill>
              </fill>
            </x14:dxf>
          </x14:cfRule>
          <xm:sqref>C35</xm:sqref>
        </x14:conditionalFormatting>
        <x14:conditionalFormatting xmlns:xm="http://schemas.microsoft.com/office/excel/2006/main">
          <x14:cfRule type="expression" priority="70" id="{FE0192EC-465A-486E-8C8C-14175A32B9CA}">
            <xm:f>Opskrift!#REF!-Opskrift!#REF!&gt;1</xm:f>
            <x14:dxf>
              <fill>
                <patternFill>
                  <bgColor rgb="FFEBB4A9"/>
                </patternFill>
              </fill>
            </x14:dxf>
          </x14:cfRule>
          <x14:cfRule type="expression" priority="71" id="{34E4FEFD-A674-4C4B-875C-605D931C23C1}">
            <xm:f>-1&lt;Opskrift!#REF!-Opskrift!#REF!&gt;1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2" id="{F6C10A47-9E62-499B-8EE2-78A48213BD0D}">
            <xm:f>Opskrift!#REF!-Opskrift!#REF!&lt;-1</xm:f>
            <x14:dxf>
              <fill>
                <patternFill>
                  <bgColor rgb="FFEBB4A9"/>
                </patternFill>
              </fill>
            </x14:dxf>
          </x14:cfRule>
          <xm:sqref>C36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Opskrift</vt:lpstr>
      <vt:lpstr>Mål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Bendsen</dc:creator>
  <cp:lastModifiedBy>Pernille Bendsen</cp:lastModifiedBy>
  <cp:lastPrinted>2021-04-07T18:30:28Z</cp:lastPrinted>
  <dcterms:created xsi:type="dcterms:W3CDTF">2021-01-30T10:58:03Z</dcterms:created>
  <dcterms:modified xsi:type="dcterms:W3CDTF">2021-06-04T10:55:13Z</dcterms:modified>
</cp:coreProperties>
</file>