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2af659dd60247f/Dokumenter/production/"/>
    </mc:Choice>
  </mc:AlternateContent>
  <xr:revisionPtr revIDLastSave="327" documentId="8_{F26B8ABD-4138-43F0-A90C-E3914748294F}" xr6:coauthVersionLast="46" xr6:coauthVersionMax="46" xr10:uidLastSave="{E5FF4275-FBFC-45D8-A895-76EF640F3BF3}"/>
  <workbookProtection workbookAlgorithmName="SHA-512" workbookHashValue="B9mMbGi9lqQsN+KuhSL/X7UmfPwyBP2luithPPo56Qx0n5ALVGCMMAMFJKuWoVw1BHQgcscAEcJsADhvKG1R8g==" workbookSaltValue="uI+C+Cqz0HtzGIOKR3sMQw==" workbookSpinCount="100000" lockStructure="1"/>
  <bookViews>
    <workbookView xWindow="-25320" yWindow="-120" windowWidth="25440" windowHeight="15390" xr2:uid="{DAFE0112-A54E-4134-83A4-ED4D63F5AAF3}"/>
  </bookViews>
  <sheets>
    <sheet name="Opskrift" sheetId="1" r:id="rId1"/>
    <sheet name="Mål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" l="1"/>
  <c r="R35" i="1"/>
  <c r="M38" i="3"/>
  <c r="N38" i="3"/>
  <c r="O38" i="3"/>
  <c r="P38" i="3"/>
  <c r="Q38" i="3"/>
  <c r="R38" i="3"/>
  <c r="S38" i="3"/>
  <c r="T38" i="3"/>
  <c r="U38" i="3"/>
  <c r="M32" i="3"/>
  <c r="N32" i="3"/>
  <c r="T32" i="3"/>
  <c r="S32" i="3"/>
  <c r="R32" i="3"/>
  <c r="Q32" i="3"/>
  <c r="O32" i="3"/>
  <c r="B19" i="3" a="1"/>
  <c r="B19" i="3" s="1"/>
  <c r="B42" i="3" a="1"/>
  <c r="B42" i="3" s="1"/>
  <c r="B41" i="3" a="1"/>
  <c r="B41" i="3" s="1"/>
  <c r="B37" i="3" a="1"/>
  <c r="B37" i="3" s="1"/>
  <c r="B36" i="3" a="1"/>
  <c r="B36" i="3" s="1"/>
  <c r="B35" i="3" a="1"/>
  <c r="B35" i="3" s="1"/>
  <c r="B34" i="3" a="1"/>
  <c r="B34" i="3" s="1"/>
  <c r="B32" i="3" a="1"/>
  <c r="B32" i="3" s="1"/>
  <c r="B30" i="3" a="1"/>
  <c r="B30" i="3" s="1"/>
  <c r="B29" i="3" a="1"/>
  <c r="B29" i="3" s="1"/>
  <c r="B28" i="3" a="1"/>
  <c r="B28" i="3" s="1"/>
  <c r="B27" i="3" a="1"/>
  <c r="B27" i="3" s="1"/>
  <c r="B26" i="3" a="1"/>
  <c r="B26" i="3" s="1"/>
  <c r="B25" i="3" a="1"/>
  <c r="B25" i="3" s="1"/>
  <c r="B24" i="3" a="1"/>
  <c r="B24" i="3" s="1"/>
  <c r="B23" i="3" a="1"/>
  <c r="B23" i="3" s="1"/>
  <c r="B22" i="3" a="1"/>
  <c r="B22" i="3" s="1"/>
  <c r="B20" i="3" a="1"/>
  <c r="B20" i="3" s="1"/>
  <c r="B18" i="3" a="1"/>
  <c r="B18" i="3" s="1"/>
  <c r="B17" i="3" a="1"/>
  <c r="B17" i="3" s="1"/>
  <c r="B16" i="3" a="1"/>
  <c r="B16" i="3" s="1"/>
  <c r="B15" i="3" a="1"/>
  <c r="B15" i="3" s="1"/>
  <c r="B14" i="3" a="1"/>
  <c r="B14" i="3" s="1"/>
  <c r="Q13" i="3"/>
  <c r="P13" i="3"/>
  <c r="O13" i="3"/>
  <c r="N13" i="3"/>
  <c r="M13" i="3"/>
  <c r="R13" i="3"/>
  <c r="U13" i="3"/>
  <c r="T13" i="3"/>
  <c r="S13" i="3"/>
  <c r="K13" i="3"/>
  <c r="L13" i="3"/>
  <c r="X31" i="3"/>
  <c r="Y31" i="3"/>
  <c r="R34" i="1" l="1"/>
  <c r="S34" i="1" s="1"/>
  <c r="C6" i="3" l="1"/>
  <c r="G35" i="1" l="1"/>
  <c r="C7" i="3"/>
  <c r="C3" i="3"/>
  <c r="G51" i="1"/>
  <c r="G46" i="1"/>
  <c r="G44" i="1"/>
  <c r="G43" i="1"/>
  <c r="G40" i="1"/>
  <c r="R8" i="1" s="1"/>
  <c r="G37" i="1"/>
  <c r="G36" i="1"/>
  <c r="G34" i="1"/>
  <c r="G33" i="1"/>
  <c r="G32" i="1"/>
  <c r="G31" i="1"/>
  <c r="G30" i="1"/>
  <c r="G29" i="1"/>
  <c r="G24" i="1"/>
  <c r="G23" i="1"/>
  <c r="G18" i="1"/>
  <c r="G25" i="1"/>
  <c r="Y14" i="3" l="1"/>
  <c r="G10" i="1"/>
  <c r="AA12" i="3"/>
  <c r="W26" i="3"/>
  <c r="X26" i="3"/>
  <c r="G20" i="1"/>
  <c r="R70" i="1"/>
  <c r="S70" i="1" s="1"/>
  <c r="R61" i="1"/>
  <c r="S61" i="1" s="1"/>
  <c r="R71" i="1"/>
  <c r="S71" i="1" s="1"/>
  <c r="S8" i="1"/>
  <c r="G19" i="1"/>
  <c r="R48" i="1" s="1"/>
  <c r="S48" i="1" s="1"/>
  <c r="R43" i="1"/>
  <c r="S43" i="1" s="1"/>
  <c r="R40" i="1"/>
  <c r="S40" i="1" s="1"/>
  <c r="G45" i="1"/>
  <c r="Y16" i="3" s="1"/>
  <c r="G22" i="1"/>
  <c r="G11" i="1" l="1"/>
  <c r="B39" i="3" a="1"/>
  <c r="B39" i="3" s="1"/>
  <c r="G49" i="1" s="1"/>
  <c r="P32" i="3"/>
  <c r="B38" i="3" s="1" a="1"/>
  <c r="B38" i="3" s="1"/>
  <c r="G48" i="1" s="1"/>
  <c r="X27" i="3"/>
  <c r="R32" i="1" s="1"/>
  <c r="S32" i="1" s="1"/>
  <c r="B40" i="3" a="1"/>
  <c r="B40" i="3" s="1"/>
  <c r="G50" i="1" s="1"/>
  <c r="R14" i="1"/>
  <c r="S14" i="1" s="1"/>
  <c r="X25" i="3"/>
  <c r="X28" i="3" s="1"/>
  <c r="R60" i="1"/>
  <c r="S60" i="1" s="1"/>
  <c r="R17" i="1"/>
  <c r="S17" i="1" s="1"/>
  <c r="R15" i="1"/>
  <c r="S15" i="1" s="1"/>
  <c r="R45" i="1"/>
  <c r="S45" i="1" s="1"/>
  <c r="R16" i="1"/>
  <c r="S16" i="1" s="1"/>
  <c r="S35" i="1"/>
  <c r="G21" i="1" s="1"/>
  <c r="S11" i="1"/>
  <c r="D12" i="1"/>
  <c r="R46" i="1"/>
  <c r="S46" i="1" s="1"/>
  <c r="G52" i="1"/>
  <c r="R59" i="1" l="1"/>
  <c r="S59" i="1" s="1"/>
  <c r="R68" i="1"/>
  <c r="S68" i="1" s="1"/>
  <c r="G12" i="1"/>
  <c r="R53" i="1"/>
  <c r="S53" i="1" s="1"/>
  <c r="R65" i="1"/>
  <c r="S65" i="1" s="1"/>
  <c r="AB12" i="3" s="1"/>
  <c r="X29" i="3"/>
  <c r="R29" i="1"/>
  <c r="R30" i="1" s="1"/>
  <c r="S29" i="1" l="1"/>
  <c r="S30" i="1"/>
  <c r="R31" i="1" s="1"/>
  <c r="R54" i="1" l="1"/>
  <c r="S54" i="1" s="1"/>
  <c r="R55" i="1" s="1"/>
  <c r="S55" i="1" s="1"/>
  <c r="G47" i="1" s="1"/>
  <c r="AC12" i="3" s="1"/>
  <c r="R66" i="1"/>
  <c r="R38" i="1"/>
  <c r="S31" i="1"/>
  <c r="G26" i="1" s="1"/>
  <c r="R41" i="1"/>
  <c r="R42" i="1"/>
  <c r="R39" i="1"/>
  <c r="S66" i="1" l="1"/>
  <c r="R67" i="1" s="1"/>
  <c r="S67" i="1" s="1"/>
  <c r="S38" i="1"/>
  <c r="S39" i="1"/>
  <c r="S42" i="1"/>
  <c r="S41" i="1"/>
  <c r="R58" i="1" l="1"/>
  <c r="S58" i="1" s="1"/>
  <c r="R57" i="1"/>
  <c r="S57" i="1" s="1"/>
  <c r="R44" i="1"/>
  <c r="S44" i="1" s="1"/>
  <c r="R56" i="1" l="1"/>
  <c r="X7" i="3"/>
  <c r="S56" i="1" l="1"/>
  <c r="Y7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<sst xmlns="http://schemas.openxmlformats.org/spreadsheetml/2006/main" count="346" uniqueCount="187">
  <si>
    <t>Mål A</t>
  </si>
  <si>
    <t>Masker</t>
  </si>
  <si>
    <t>pinde = 10cm</t>
  </si>
  <si>
    <t>masker = 10cm</t>
  </si>
  <si>
    <t>Strikkefasthed kanter</t>
  </si>
  <si>
    <t>Strikkefasthed mønster</t>
  </si>
  <si>
    <t>Mål B</t>
  </si>
  <si>
    <t>Mål B1</t>
  </si>
  <si>
    <t>cm</t>
  </si>
  <si>
    <t>pinde før udtagninger begyndes</t>
  </si>
  <si>
    <t>masker</t>
  </si>
  <si>
    <t>Mål C</t>
  </si>
  <si>
    <t>Mål D</t>
  </si>
  <si>
    <t>Mål E</t>
  </si>
  <si>
    <t>Mål F</t>
  </si>
  <si>
    <t>Mål G</t>
  </si>
  <si>
    <t>Mål H</t>
  </si>
  <si>
    <t>Mål I</t>
  </si>
  <si>
    <t>Mål J</t>
  </si>
  <si>
    <t>Mål K</t>
  </si>
  <si>
    <t>Mål L</t>
  </si>
  <si>
    <t>gange</t>
  </si>
  <si>
    <t>Mål A1</t>
  </si>
  <si>
    <t>Brede af nederste kant</t>
  </si>
  <si>
    <t>Brede af nederst på mønster</t>
  </si>
  <si>
    <t>Brede bluse lige inden ærmegab</t>
  </si>
  <si>
    <t>Fra øverst på kant til ærmegab</t>
  </si>
  <si>
    <t>Brede af skulderstykke</t>
  </si>
  <si>
    <t>Brede af skrå halsstykke</t>
  </si>
  <si>
    <t>Lige stykke midt på hals</t>
  </si>
  <si>
    <t>Halsudskæring hele vejen rundt</t>
  </si>
  <si>
    <t>højde af skrå halsstykke</t>
  </si>
  <si>
    <t>Kontrol masketælling</t>
  </si>
  <si>
    <t>Mål a</t>
  </si>
  <si>
    <t>Mål b</t>
  </si>
  <si>
    <t>Brede af nederste kant ærme</t>
  </si>
  <si>
    <t>Brede af nederst ærme mønster</t>
  </si>
  <si>
    <t>Mål c</t>
  </si>
  <si>
    <t>Brede af ærme inden ærmegab</t>
  </si>
  <si>
    <t>længde af ærme fra øverst på kant til ærmegab</t>
  </si>
  <si>
    <t>Mål d</t>
  </si>
  <si>
    <t>Mål e</t>
  </si>
  <si>
    <t>Mål f</t>
  </si>
  <si>
    <t>Mål g</t>
  </si>
  <si>
    <t>Total længde af ærme</t>
  </si>
  <si>
    <t>Kontrol måling af ærmegab</t>
  </si>
  <si>
    <t>Mål a1</t>
  </si>
  <si>
    <t>Længe af ærmekant</t>
  </si>
  <si>
    <t>L13&gt;0</t>
  </si>
  <si>
    <t>L13=0</t>
  </si>
  <si>
    <t>Mønsteret er perfekt</t>
  </si>
  <si>
    <t>L13&lt;0</t>
  </si>
  <si>
    <t>Højde nederste kant</t>
  </si>
  <si>
    <t>Mål fra nedeste kant til hals starter</t>
  </si>
  <si>
    <t>Mål fra nedeste kant til højeste punkt til skulder</t>
  </si>
  <si>
    <t>Mål i cm</t>
  </si>
  <si>
    <t>Mål C1</t>
  </si>
  <si>
    <t>Step 1</t>
  </si>
  <si>
    <t>Step 2</t>
  </si>
  <si>
    <t>Mål M</t>
  </si>
  <si>
    <t>Mål N</t>
  </si>
  <si>
    <t>Højde af hele ærmegab</t>
  </si>
  <si>
    <t>Lige lukning til ærmegab (kan godt være 0)</t>
  </si>
  <si>
    <t>Brede af skrå del af ærmegab (kan godt være 0)</t>
  </si>
  <si>
    <t>Højde af skrå del af ærmegab (kan godt være 0)</t>
  </si>
  <si>
    <t>Højde af skulderstykke (kan godt være 0)</t>
  </si>
  <si>
    <t>Step 3</t>
  </si>
  <si>
    <t>brede af skrå del af ærmegab (kan godt være 0)</t>
  </si>
  <si>
    <t>højde af skrå del af ærmegab (kan godt være 0)</t>
  </si>
  <si>
    <t>Mål h</t>
  </si>
  <si>
    <t>masker for lidt i mønsteret over hals og skulder som skal fordeles, det kan være på den lige del af halsstykket hvis det er vigtigt at hals uskæringen er bred eller på skulder aflukningen</t>
  </si>
  <si>
    <t>Her har du så din personlige strikkeopskrift. Du skal strikke efter "Afrundet antal masker" og hvis du justerer i antal masker farves feltet blå så du ved du har justeret</t>
  </si>
  <si>
    <t>masker for meget i mønsteret over hals og skulder som skal fordeles, det kan være på den lige del af halsstykket hvis det er vigtigt at hals uskæringen er bred eller på skulder aflukningen</t>
  </si>
  <si>
    <t xml:space="preserve">Pernille Bendsen Strikkeopskrift - © pernillesstrik.dk </t>
  </si>
  <si>
    <t>Antal masker nederst krop</t>
  </si>
  <si>
    <t>Antal masker nederst ærme</t>
  </si>
  <si>
    <t>cm er ærmeskulders omkreds større end ærmegab, ca. 2 cm kan justeres når du syr blusen sammen. 
Er der større forkel skal du overveje dine mål eller om der er en slags læg på skulderen.</t>
  </si>
  <si>
    <t>cm er ærmeskulders omkreds mindre end ærmegab, ikke mere end 2 cm kan justeres når du syr blusen sammen. 
Overvej at gøre ærmet lidt bredere eller ærmegabet lidt mindre højt.</t>
  </si>
  <si>
    <t>Vælg størrelse</t>
  </si>
  <si>
    <t>Her er de vigtigste mål du skal tjekke:</t>
  </si>
  <si>
    <t>Her er alle mål og nogle kontrol beregninger:</t>
  </si>
  <si>
    <t>Begynder du at justerer mål skal du tjekker alle kontolfelter</t>
  </si>
  <si>
    <t>Du skal vælge den rigtige størrelse og tjekke de 3 vigtigste mål. 
Alle mål er fleksible og kan justeres, hvis du har specifikke ønsker.</t>
  </si>
  <si>
    <t xml:space="preserve">cm </t>
  </si>
  <si>
    <t>Du skal måle din strikkefasthed for den kantstik (blå felt) og det mønster (grøn felt) du ønsker at strikke.</t>
  </si>
  <si>
    <t>Total mål til hals starter</t>
  </si>
  <si>
    <t>Total mål til højeste punkt til skulder</t>
  </si>
  <si>
    <r>
      <t xml:space="preserve">masker </t>
    </r>
    <r>
      <rPr>
        <b/>
        <sz val="11"/>
        <color theme="1"/>
        <rFont val="Calibri"/>
        <family val="2"/>
        <scheme val="minor"/>
      </rPr>
      <t>ind</t>
    </r>
    <r>
      <rPr>
        <sz val="11"/>
        <color theme="1"/>
        <rFont val="Calibri"/>
        <family val="2"/>
        <scheme val="minor"/>
      </rPr>
      <t xml:space="preserve"> på første pind</t>
    </r>
  </si>
  <si>
    <r>
      <t xml:space="preserve">masker </t>
    </r>
    <r>
      <rPr>
        <b/>
        <sz val="11"/>
        <color theme="1"/>
        <rFont val="Calibri"/>
        <family val="2"/>
        <scheme val="minor"/>
      </rPr>
      <t>ud</t>
    </r>
    <r>
      <rPr>
        <sz val="11"/>
        <color theme="1"/>
        <rFont val="Calibri"/>
        <family val="2"/>
        <scheme val="minor"/>
      </rPr>
      <t xml:space="preserve"> midt hvor det tætte mønster skal strikkes</t>
    </r>
  </si>
  <si>
    <t>strik kant</t>
  </si>
  <si>
    <t>pinde</t>
  </si>
  <si>
    <t>Masker Hals</t>
  </si>
  <si>
    <t>Pinde</t>
  </si>
  <si>
    <t>Masker krop og ærme - ærmegab</t>
  </si>
  <si>
    <t>masker til forstykke</t>
  </si>
  <si>
    <t>masker til 1. ærme</t>
  </si>
  <si>
    <t>masker til 2. ærme</t>
  </si>
  <si>
    <t>masker til ryg</t>
  </si>
  <si>
    <t xml:space="preserve">til i alt </t>
  </si>
  <si>
    <t>antal pinde der er brug for til indtag</t>
  </si>
  <si>
    <t>fortsæt strikning af bærestykke til</t>
  </si>
  <si>
    <t xml:space="preserve">sæt </t>
  </si>
  <si>
    <t>slå</t>
  </si>
  <si>
    <t xml:space="preserve">masker til forstykke startende og sluttende med 3 af de 5 masker hvor udtagningen laves </t>
  </si>
  <si>
    <t xml:space="preserve">masker på holder til 1. ærme startende og sluttende med 2  af de 5 masker hvor udtagningen laves </t>
  </si>
  <si>
    <t>sæt de næste</t>
  </si>
  <si>
    <t xml:space="preserve">masker på holder til 2. ærme startende og sluttende med 2  af de 5 masker hvor udtagningen laves </t>
  </si>
  <si>
    <t xml:space="preserve">stykket måler </t>
  </si>
  <si>
    <t xml:space="preserve">cm fra ærmegab </t>
  </si>
  <si>
    <t>Fra ærmegab til rib afslutning</t>
  </si>
  <si>
    <t>cm og luk ribkanten løst af så kanten ikke bliver for stram</t>
  </si>
  <si>
    <t>og antal masker til kant på ærme er</t>
  </si>
  <si>
    <t>strik til ærmet måler fra ærmegab</t>
  </si>
  <si>
    <t xml:space="preserve">sæt en strikkemarkør efter </t>
  </si>
  <si>
    <t>strik rib, en ret en vrang rundt</t>
  </si>
  <si>
    <t xml:space="preserve">Skift til mønster pinde. </t>
  </si>
  <si>
    <t>På første omgang markeres hvor raglan udtagningerne skal ligge</t>
  </si>
  <si>
    <t>Strik 5 masker tag endnu en maske drejet ret ud men drej masken modsat retning end maske før de 5 masker.</t>
  </si>
  <si>
    <t xml:space="preserve">Strik ret rundt til 5 masker før en strikkemarkør, tag en maske drejet ret op i lænken mellem de 2 næste masker. </t>
  </si>
  <si>
    <t xml:space="preserve">Gentag dette ved hver markør i alt 4 gange = 8 udtagninger. </t>
  </si>
  <si>
    <t>Strikkemarkørerne skal blive lige før udtagning 2 så markørerne stadigt viser hvor de 5 maske slutter.</t>
  </si>
  <si>
    <t>med lige meget af hver farve har du</t>
  </si>
  <si>
    <t xml:space="preserve">forskellige farver, </t>
  </si>
  <si>
    <t>pinde til hver farve.</t>
  </si>
  <si>
    <t xml:space="preserve">Hvis du ønsker striber fordelt på </t>
  </si>
  <si>
    <t>Opskriften starter fra hals med</t>
  </si>
  <si>
    <t>masker op i ærmegabet, med enkelt tråds opslag</t>
  </si>
  <si>
    <t>eller</t>
  </si>
  <si>
    <t>Skift til kant pinde og strik rib</t>
  </si>
  <si>
    <t xml:space="preserve">Nu strikkes kroppens i alt </t>
  </si>
  <si>
    <t>masker rundt til</t>
  </si>
  <si>
    <t>svarende til 8 udtagninger i alt</t>
  </si>
  <si>
    <t xml:space="preserve">indtagninger </t>
  </si>
  <si>
    <t xml:space="preserve">Start med at samle </t>
  </si>
  <si>
    <t>Strik</t>
  </si>
  <si>
    <t>masker op i ærmegabet, det kan gøres i de maske der blev slået op til krop ærmegab.</t>
  </si>
  <si>
    <t xml:space="preserve">strik 3 masker samme til 1 maske på midten af ærmegab på </t>
  </si>
  <si>
    <t>i alt laves</t>
  </si>
  <si>
    <t>Gentag næste ærme.</t>
  </si>
  <si>
    <t xml:space="preserve">Noam Ice Cream: har Italiensk maske opslag på billederne </t>
  </si>
  <si>
    <t>Mål fra nederste kant til højeste punkt til skulder</t>
  </si>
  <si>
    <t>cm eller ønsket længde, strik med lille rundpind eller med magic loops</t>
  </si>
  <si>
    <r>
      <rPr>
        <b/>
        <sz val="11"/>
        <color theme="1"/>
        <rFont val="Calibri"/>
        <family val="2"/>
        <scheme val="minor"/>
      </rPr>
      <t>Noam Ice Cream:</t>
    </r>
    <r>
      <rPr>
        <sz val="11"/>
        <color theme="1"/>
        <rFont val="Calibri"/>
        <family val="2"/>
        <scheme val="minor"/>
      </rPr>
      <t xml:space="preserve"> Her drejer udtagningsmasken før de 5 pinde mod venstre og  udtagningsmasken efter de 5 pinde mod højre. </t>
    </r>
  </si>
  <si>
    <t>På denne her måde ligger den øverste tråd i den drejede maske tættest på de 5 masker og det giver de mest usynlige udtagninger.</t>
  </si>
  <si>
    <t>Ud fra afrundede masketal (max variation 1cm)</t>
  </si>
  <si>
    <t>På denne her måde ligger den øverste tråd i den drejede maske væk fra de 5 masker og det giver en lille bølge (blonde) kant.</t>
  </si>
  <si>
    <t>Gentag de 8 udtagninger på hver anden pind de næste</t>
  </si>
  <si>
    <t>Nu skal arbejdes deles til krop og ærmer:</t>
  </si>
  <si>
    <t xml:space="preserve">masker til ryg på samme pind som forstykke igen startende og sluttende med 3 af de 5 masker hvor udtagningen laves </t>
  </si>
  <si>
    <t>Ud fra afrundede masketal</t>
  </si>
  <si>
    <t>pind, samtidigt med stribe mønsteret holdes</t>
  </si>
  <si>
    <t xml:space="preserve">plus de </t>
  </si>
  <si>
    <t>fra holder</t>
  </si>
  <si>
    <t>i alt</t>
  </si>
  <si>
    <t>Total mål til hals starter, beregnet ud fra antal pinde</t>
  </si>
  <si>
    <t xml:space="preserve">Noam Ice Cream: har Italiensk maske aflukning på billederne </t>
  </si>
  <si>
    <t>Nu strikkes hver ærme for sig, Noam ærme:</t>
  </si>
  <si>
    <t>På sidste pind inden ribkant halveres antallet af masker,</t>
  </si>
  <si>
    <t>ved at alle masker strikke 2 og 2 sammen til</t>
  </si>
  <si>
    <t>cm og luk ribkanten løst af med ret vrang aflukning uden kanten bliver for stram</t>
  </si>
  <si>
    <t>Hindbær Ice Cream: har enkelt tråds maske opslag</t>
  </si>
  <si>
    <t xml:space="preserve">Hindbær Ice Cream: Her drejer udtagningsmasken før de 5 pinde mod højre og  udtagningsmasken efter de 5 pinde mod venstre. </t>
  </si>
  <si>
    <t>Hindbær Ice Cream: har ret vrang maske aflukning på billederne</t>
  </si>
  <si>
    <t>Nu strikkes hver ærme for sig, Hindbær ærme:</t>
  </si>
  <si>
    <t>1 år</t>
  </si>
  <si>
    <t>2 år</t>
  </si>
  <si>
    <t>3 år</t>
  </si>
  <si>
    <t>4 år</t>
  </si>
  <si>
    <t>5 år</t>
  </si>
  <si>
    <t>6 år</t>
  </si>
  <si>
    <t>7 år</t>
  </si>
  <si>
    <t>Mulighed 1: Antal farver til striber 
Mulighed 2: Antal pinde i stribemønster</t>
  </si>
  <si>
    <t>1: Antal pinde til hver farve 
2: Antal gange dit stribemønster gentages</t>
  </si>
  <si>
    <t>Hæft derefter ender og blusen er klar.</t>
  </si>
  <si>
    <t>Betyder du har ændret et mål</t>
  </si>
  <si>
    <t>Her får du et ballon ærme med vidde inden håndled.</t>
  </si>
  <si>
    <t>Her tages masker ind midt under ærmegabet til et smalt ærme ved håndled.</t>
  </si>
  <si>
    <t>Begynder du at justerer mål skal du tjekke kontrol felterne</t>
  </si>
  <si>
    <t>Brede af skrå del af ærmegab (er 0 ved indstiks ærmegab)</t>
  </si>
  <si>
    <t>Højde af skrå del af ærmegab (er 0 ved indstiks ærmegab)</t>
  </si>
  <si>
    <t>cm og luk ribkanten løst af med italiensk aflukning uden kanten bliver for stram</t>
  </si>
  <si>
    <t>8 år</t>
  </si>
  <si>
    <t>9 år</t>
  </si>
  <si>
    <t>10 år</t>
  </si>
  <si>
    <t>12 år</t>
  </si>
  <si>
    <t>Neck width stretched</t>
  </si>
  <si>
    <t>Antal masker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</si>
</sst>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 vertical="top" wrapText="1"/>
    </xf>
    <xf numFmtId="0" fontId="0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6" fillId="0" borderId="0" xfId="0" applyFont="1"/>
    <xf numFmtId="1" fontId="0" fillId="0" borderId="0" xfId="0" applyNumberFormat="1"/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1" fontId="0" fillId="0" borderId="0" xfId="0" applyNumberFormat="1" applyFill="1" applyAlignment="1">
      <alignment horizontal="center"/>
    </xf>
    <xf numFmtId="1" fontId="0" fillId="0" borderId="0" xfId="0" applyNumberFormat="1" applyFill="1" applyAlignment="1" applyProtection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3" fillId="0" borderId="0" xfId="0" applyFon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164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13" xfId="0" applyBorder="1" applyAlignment="1">
      <alignment horizontal="right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8" xfId="0" applyBorder="1" applyAlignment="1">
      <alignment horizontal="right"/>
    </xf>
    <xf numFmtId="0" fontId="0" fillId="0" borderId="18" xfId="0" applyBorder="1" applyAlignment="1">
      <alignment horizontal="center" vertical="center"/>
    </xf>
    <xf numFmtId="164" fontId="0" fillId="0" borderId="0" xfId="0" applyNumberFormat="1" applyBorder="1" applyAlignment="1">
      <alignment horizontal="left" vertical="top" wrapText="1"/>
    </xf>
    <xf numFmtId="164" fontId="0" fillId="0" borderId="0" xfId="0" applyNumberFormat="1" applyBorder="1" applyAlignment="1">
      <alignment vertical="top" wrapText="1"/>
    </xf>
    <xf numFmtId="0" fontId="1" fillId="0" borderId="0" xfId="0" applyFont="1"/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7" fillId="0" borderId="0" xfId="0" applyFont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0" fillId="0" borderId="0" xfId="0" applyBorder="1" applyAlignment="1">
      <alignment horizontal="right"/>
    </xf>
    <xf numFmtId="0" fontId="5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164" fontId="3" fillId="0" borderId="0" xfId="0" applyNumberFormat="1" applyFont="1" applyBorder="1" applyAlignment="1" applyProtection="1">
      <alignment horizontal="center"/>
      <protection locked="0"/>
    </xf>
    <xf numFmtId="1" fontId="0" fillId="0" borderId="0" xfId="0" applyNumberFormat="1" applyFill="1" applyBorder="1" applyAlignment="1">
      <alignment horizontal="center"/>
    </xf>
    <xf numFmtId="0" fontId="0" fillId="0" borderId="19" xfId="0" applyBorder="1" applyAlignment="1"/>
    <xf numFmtId="0" fontId="0" fillId="0" borderId="7" xfId="0" applyBorder="1" applyAlignment="1"/>
    <xf numFmtId="0" fontId="0" fillId="0" borderId="20" xfId="0" applyBorder="1" applyAlignment="1"/>
    <xf numFmtId="0" fontId="0" fillId="0" borderId="10" xfId="0" applyBorder="1" applyAlignment="1"/>
    <xf numFmtId="0" fontId="0" fillId="0" borderId="8" xfId="0" applyBorder="1" applyAlignment="1"/>
    <xf numFmtId="0" fontId="0" fillId="0" borderId="11" xfId="0" applyBorder="1" applyAlignment="1"/>
    <xf numFmtId="0" fontId="0" fillId="0" borderId="0" xfId="0" applyBorder="1" applyAlignment="1"/>
    <xf numFmtId="0" fontId="3" fillId="0" borderId="0" xfId="0" applyFont="1" applyBorder="1" applyAlignment="1" applyProtection="1">
      <protection locked="0"/>
    </xf>
    <xf numFmtId="1" fontId="0" fillId="0" borderId="0" xfId="0" applyNumberFormat="1" applyFill="1" applyBorder="1" applyAlignment="1"/>
    <xf numFmtId="0" fontId="0" fillId="3" borderId="1" xfId="0" applyFill="1" applyBorder="1"/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left"/>
    </xf>
    <xf numFmtId="165" fontId="3" fillId="0" borderId="0" xfId="0" applyNumberFormat="1" applyFont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Fill="1" applyAlignment="1">
      <alignment horizontal="left"/>
    </xf>
    <xf numFmtId="1" fontId="0" fillId="0" borderId="0" xfId="0" applyNumberFormat="1" applyFill="1" applyAlignment="1" applyProtection="1">
      <alignment horizontal="left"/>
    </xf>
    <xf numFmtId="0" fontId="0" fillId="4" borderId="2" xfId="0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164" fontId="0" fillId="5" borderId="3" xfId="0" applyNumberFormat="1" applyFill="1" applyBorder="1" applyAlignment="1">
      <alignment horizontal="center"/>
    </xf>
    <xf numFmtId="0" fontId="0" fillId="4" borderId="1" xfId="0" applyFill="1" applyBorder="1" applyAlignment="1" applyProtection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0" borderId="0" xfId="0" applyNumberFormat="1" applyFill="1" applyAlignment="1" applyProtection="1">
      <alignment horizontal="center"/>
    </xf>
    <xf numFmtId="0" fontId="0" fillId="8" borderId="9" xfId="0" applyFill="1" applyBorder="1"/>
    <xf numFmtId="164" fontId="0" fillId="5" borderId="4" xfId="0" applyNumberFormat="1" applyFill="1" applyBorder="1" applyAlignment="1">
      <alignment horizontal="center"/>
    </xf>
    <xf numFmtId="0" fontId="0" fillId="4" borderId="9" xfId="0" applyFill="1" applyBorder="1" applyProtection="1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0" fillId="0" borderId="5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2" fontId="9" fillId="7" borderId="21" xfId="0" applyNumberFormat="1" applyFont="1" applyFill="1" applyBorder="1" applyAlignment="1">
      <alignment horizontal="right"/>
    </xf>
    <xf numFmtId="9" fontId="10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Procent" xfId="1" builtinId="5"/>
  </cellStyles>
  <dxfs count="4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rgb="FFB4C6E7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  <dxf>
      <fill>
        <patternFill>
          <bgColor theme="9" tint="0.59996337778862885"/>
        </patternFill>
      </fill>
    </dxf>
    <dxf>
      <fill>
        <patternFill>
          <bgColor rgb="FFEBB4A9"/>
        </patternFill>
      </fill>
    </dxf>
    <dxf>
      <fill>
        <patternFill>
          <bgColor rgb="FFEBB4A9"/>
        </patternFill>
      </fill>
    </dxf>
  </dxfs>
  <tableStyles count="0" defaultTableStyle="TableStyleMedium2" defaultPivotStyle="PivotStyleLight16"/>
  <colors>
    <mruColors>
      <color rgb="FFB4C6E7"/>
      <color rgb="FF99CCFF"/>
      <color rgb="FFEBB4A9"/>
      <color rgb="FFC6E0B4"/>
      <color rgb="FFFF7C80"/>
      <color rgb="FFE4BBB0"/>
      <color rgb="FF721C3B"/>
      <color rgb="FF4ED054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6" Type="http://schemas.openxmlformats.org/officeDocument/2006/relationships/image" Target="../media/image6.sv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1</xdr:row>
      <xdr:rowOff>57150</xdr:rowOff>
    </xdr:from>
    <xdr:to>
      <xdr:col>1</xdr:col>
      <xdr:colOff>104775</xdr:colOff>
      <xdr:row>4</xdr:row>
      <xdr:rowOff>219075</xdr:rowOff>
    </xdr:to>
    <xdr:pic>
      <xdr:nvPicPr>
        <xdr:cNvPr id="5" name="Grafik 4" descr="Badge 1 med massiv udfyldning">
          <a:extLst>
            <a:ext uri="{FF2B5EF4-FFF2-40B4-BE49-F238E27FC236}">
              <a16:creationId xmlns:a16="http://schemas.microsoft.com/office/drawing/2014/main" id="{15E13911-B955-4E90-8E1B-7C2E0E3FA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42950" y="238125"/>
          <a:ext cx="1038225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1</xdr:row>
      <xdr:rowOff>28575</xdr:rowOff>
    </xdr:from>
    <xdr:to>
      <xdr:col>6</xdr:col>
      <xdr:colOff>95250</xdr:colOff>
      <xdr:row>4</xdr:row>
      <xdr:rowOff>180975</xdr:rowOff>
    </xdr:to>
    <xdr:pic>
      <xdr:nvPicPr>
        <xdr:cNvPr id="8" name="Grafik 7" descr="Badge med massiv udfyldning">
          <a:extLst>
            <a:ext uri="{FF2B5EF4-FFF2-40B4-BE49-F238E27FC236}">
              <a16:creationId xmlns:a16="http://schemas.microsoft.com/office/drawing/2014/main" id="{80AE98E8-CF6B-4745-AD5F-2A4AA781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6229350" y="209550"/>
          <a:ext cx="990600" cy="895350"/>
        </a:xfrm>
        <a:prstGeom prst="rect">
          <a:avLst/>
        </a:prstGeom>
      </xdr:spPr>
    </xdr:pic>
    <xdr:clientData/>
  </xdr:twoCellAnchor>
  <xdr:twoCellAnchor editAs="oneCell">
    <xdr:from>
      <xdr:col>14</xdr:col>
      <xdr:colOff>285750</xdr:colOff>
      <xdr:row>0</xdr:row>
      <xdr:rowOff>95250</xdr:rowOff>
    </xdr:from>
    <xdr:to>
      <xdr:col>16</xdr:col>
      <xdr:colOff>142875</xdr:colOff>
      <xdr:row>4</xdr:row>
      <xdr:rowOff>66675</xdr:rowOff>
    </xdr:to>
    <xdr:pic>
      <xdr:nvPicPr>
        <xdr:cNvPr id="10" name="Grafik 9" descr="Badge 3 med massiv udfyldning">
          <a:extLst>
            <a:ext uri="{FF2B5EF4-FFF2-40B4-BE49-F238E27FC236}">
              <a16:creationId xmlns:a16="http://schemas.microsoft.com/office/drawing/2014/main" id="{8034DC92-F213-4C52-9D4A-C0192C175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0725150" y="95250"/>
          <a:ext cx="990600" cy="8953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47625</xdr:rowOff>
    </xdr:from>
    <xdr:to>
      <xdr:col>5</xdr:col>
      <xdr:colOff>171751</xdr:colOff>
      <xdr:row>46</xdr:row>
      <xdr:rowOff>121952</xdr:rowOff>
    </xdr:to>
    <xdr:grpSp>
      <xdr:nvGrpSpPr>
        <xdr:cNvPr id="48" name="Gruppe 47">
          <a:extLst>
            <a:ext uri="{FF2B5EF4-FFF2-40B4-BE49-F238E27FC236}">
              <a16:creationId xmlns:a16="http://schemas.microsoft.com/office/drawing/2014/main" id="{B125375D-1DB1-40AA-9E06-30EAEB73B76C}"/>
            </a:ext>
          </a:extLst>
        </xdr:cNvPr>
        <xdr:cNvGrpSpPr/>
      </xdr:nvGrpSpPr>
      <xdr:grpSpPr>
        <a:xfrm>
          <a:off x="0" y="2895600"/>
          <a:ext cx="6429676" cy="6189377"/>
          <a:chOff x="0" y="1260909"/>
          <a:chExt cx="6429676" cy="6179852"/>
        </a:xfrm>
      </xdr:grpSpPr>
      <xdr:pic>
        <xdr:nvPicPr>
          <xdr:cNvPr id="49" name="Billede 48">
            <a:extLst>
              <a:ext uri="{FF2B5EF4-FFF2-40B4-BE49-F238E27FC236}">
                <a16:creationId xmlns:a16="http://schemas.microsoft.com/office/drawing/2014/main" id="{6BA1581A-2E63-4191-B4B9-5D2509F5D5A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3553" t="6315" r="12105" b="11228"/>
          <a:stretch/>
        </xdr:blipFill>
        <xdr:spPr>
          <a:xfrm>
            <a:off x="0" y="1260909"/>
            <a:ext cx="6429676" cy="6179852"/>
          </a:xfrm>
          <a:prstGeom prst="rect">
            <a:avLst/>
          </a:prstGeom>
        </xdr:spPr>
      </xdr:pic>
      <xdr:cxnSp macro="">
        <xdr:nvCxnSpPr>
          <xdr:cNvPr id="50" name="Lige pilforbindelse 49">
            <a:extLst>
              <a:ext uri="{FF2B5EF4-FFF2-40B4-BE49-F238E27FC236}">
                <a16:creationId xmlns:a16="http://schemas.microsoft.com/office/drawing/2014/main" id="{3262B3EF-9020-4FD0-BACB-54AC2BFB0753}"/>
              </a:ext>
            </a:extLst>
          </xdr:cNvPr>
          <xdr:cNvCxnSpPr>
            <a:cxnSpLocks/>
          </xdr:cNvCxnSpPr>
        </xdr:nvCxnSpPr>
        <xdr:spPr>
          <a:xfrm>
            <a:off x="2336597" y="3998303"/>
            <a:ext cx="20294" cy="1527605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51" name="Tekstfelt 4">
            <a:extLst>
              <a:ext uri="{FF2B5EF4-FFF2-40B4-BE49-F238E27FC236}">
                <a16:creationId xmlns:a16="http://schemas.microsoft.com/office/drawing/2014/main" id="{B3E8C0FE-95E9-426E-870F-21E86185C464}"/>
              </a:ext>
            </a:extLst>
          </xdr:cNvPr>
          <xdr:cNvSpPr txBox="1"/>
        </xdr:nvSpPr>
        <xdr:spPr>
          <a:xfrm>
            <a:off x="1116684" y="3259269"/>
            <a:ext cx="538470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B1</a:t>
            </a:r>
          </a:p>
        </xdr:txBody>
      </xdr:sp>
      <xdr:cxnSp macro="">
        <xdr:nvCxnSpPr>
          <xdr:cNvPr id="52" name="Lige pilforbindelse 51">
            <a:extLst>
              <a:ext uri="{FF2B5EF4-FFF2-40B4-BE49-F238E27FC236}">
                <a16:creationId xmlns:a16="http://schemas.microsoft.com/office/drawing/2014/main" id="{BE6A4511-ECC3-4190-B502-4B21FEB988BE}"/>
              </a:ext>
            </a:extLst>
          </xdr:cNvPr>
          <xdr:cNvCxnSpPr>
            <a:cxnSpLocks/>
          </xdr:cNvCxnSpPr>
        </xdr:nvCxnSpPr>
        <xdr:spPr>
          <a:xfrm flipV="1">
            <a:off x="1341857" y="1495323"/>
            <a:ext cx="62242" cy="1794142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cxnSp macro="">
        <xdr:nvCxnSpPr>
          <xdr:cNvPr id="53" name="Lige pilforbindelse 52">
            <a:extLst>
              <a:ext uri="{FF2B5EF4-FFF2-40B4-BE49-F238E27FC236}">
                <a16:creationId xmlns:a16="http://schemas.microsoft.com/office/drawing/2014/main" id="{382A780E-BB52-43F3-BCF2-85A8F06929E0}"/>
              </a:ext>
            </a:extLst>
          </xdr:cNvPr>
          <xdr:cNvCxnSpPr>
            <a:cxnSpLocks/>
          </xdr:cNvCxnSpPr>
        </xdr:nvCxnSpPr>
        <xdr:spPr>
          <a:xfrm>
            <a:off x="1341857" y="3677263"/>
            <a:ext cx="0" cy="1848645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54" name="Tekstfelt 7">
            <a:extLst>
              <a:ext uri="{FF2B5EF4-FFF2-40B4-BE49-F238E27FC236}">
                <a16:creationId xmlns:a16="http://schemas.microsoft.com/office/drawing/2014/main" id="{8E964F3C-EDE2-49F1-AC6C-A8433D7148C5}"/>
              </a:ext>
            </a:extLst>
          </xdr:cNvPr>
          <xdr:cNvSpPr txBox="1"/>
        </xdr:nvSpPr>
        <xdr:spPr>
          <a:xfrm>
            <a:off x="2189455" y="3610505"/>
            <a:ext cx="294283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 </a:t>
            </a:r>
          </a:p>
        </xdr:txBody>
      </xdr:sp>
      <xdr:cxnSp macro="">
        <xdr:nvCxnSpPr>
          <xdr:cNvPr id="55" name="Lige pilforbindelse 54">
            <a:extLst>
              <a:ext uri="{FF2B5EF4-FFF2-40B4-BE49-F238E27FC236}">
                <a16:creationId xmlns:a16="http://schemas.microsoft.com/office/drawing/2014/main" id="{85612B6F-70F1-4007-B5E7-0401567190FB}"/>
              </a:ext>
            </a:extLst>
          </xdr:cNvPr>
          <xdr:cNvCxnSpPr>
            <a:cxnSpLocks/>
            <a:stCxn id="54" idx="0"/>
          </xdr:cNvCxnSpPr>
        </xdr:nvCxnSpPr>
        <xdr:spPr>
          <a:xfrm flipH="1" flipV="1">
            <a:off x="2323827" y="1832857"/>
            <a:ext cx="12770" cy="1777648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56" name="Tekstfelt 9">
            <a:extLst>
              <a:ext uri="{FF2B5EF4-FFF2-40B4-BE49-F238E27FC236}">
                <a16:creationId xmlns:a16="http://schemas.microsoft.com/office/drawing/2014/main" id="{74B6B040-4B4E-46BA-96EA-F60E1ADA0507}"/>
              </a:ext>
            </a:extLst>
          </xdr:cNvPr>
          <xdr:cNvSpPr txBox="1"/>
        </xdr:nvSpPr>
        <xdr:spPr>
          <a:xfrm flipH="1">
            <a:off x="709618" y="4079554"/>
            <a:ext cx="104181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</a:t>
            </a:r>
          </a:p>
        </xdr:txBody>
      </xdr:sp>
      <xdr:cxnSp macro="">
        <xdr:nvCxnSpPr>
          <xdr:cNvPr id="57" name="Lige pilforbindelse 56">
            <a:extLst>
              <a:ext uri="{FF2B5EF4-FFF2-40B4-BE49-F238E27FC236}">
                <a16:creationId xmlns:a16="http://schemas.microsoft.com/office/drawing/2014/main" id="{47C851BD-4F8A-4F39-B60D-FF138B6AC5BF}"/>
              </a:ext>
            </a:extLst>
          </xdr:cNvPr>
          <xdr:cNvCxnSpPr>
            <a:cxnSpLocks/>
          </xdr:cNvCxnSpPr>
        </xdr:nvCxnSpPr>
        <xdr:spPr>
          <a:xfrm flipH="1" flipV="1">
            <a:off x="813801" y="3141456"/>
            <a:ext cx="17648" cy="938098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cxnSp macro="">
        <xdr:nvCxnSpPr>
          <xdr:cNvPr id="58" name="Lige pilforbindelse 57">
            <a:extLst>
              <a:ext uri="{FF2B5EF4-FFF2-40B4-BE49-F238E27FC236}">
                <a16:creationId xmlns:a16="http://schemas.microsoft.com/office/drawing/2014/main" id="{203419D6-8534-4235-A12B-4D519682454B}"/>
              </a:ext>
            </a:extLst>
          </xdr:cNvPr>
          <xdr:cNvCxnSpPr>
            <a:cxnSpLocks/>
          </xdr:cNvCxnSpPr>
        </xdr:nvCxnSpPr>
        <xdr:spPr>
          <a:xfrm>
            <a:off x="831448" y="4467351"/>
            <a:ext cx="24937" cy="1058557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59" name="Tekstfelt 12">
            <a:extLst>
              <a:ext uri="{FF2B5EF4-FFF2-40B4-BE49-F238E27FC236}">
                <a16:creationId xmlns:a16="http://schemas.microsoft.com/office/drawing/2014/main" id="{52824B3E-1D54-4C92-84EA-0928808BCCDE}"/>
              </a:ext>
            </a:extLst>
          </xdr:cNvPr>
          <xdr:cNvSpPr txBox="1"/>
        </xdr:nvSpPr>
        <xdr:spPr>
          <a:xfrm>
            <a:off x="1325125" y="4633086"/>
            <a:ext cx="1171153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A, C &amp; C1</a:t>
            </a:r>
            <a:r>
              <a:rPr lang="da-DK" sz="1920" b="1">
                <a:solidFill>
                  <a:srgbClr val="00B050"/>
                </a:solidFill>
              </a:rPr>
              <a:t> </a:t>
            </a:r>
          </a:p>
        </xdr:txBody>
      </xdr:sp>
      <xdr:cxnSp macro="">
        <xdr:nvCxnSpPr>
          <xdr:cNvPr id="60" name="Lige pilforbindelse 59">
            <a:extLst>
              <a:ext uri="{FF2B5EF4-FFF2-40B4-BE49-F238E27FC236}">
                <a16:creationId xmlns:a16="http://schemas.microsoft.com/office/drawing/2014/main" id="{5137507E-9633-4845-B967-713496C6264E}"/>
              </a:ext>
            </a:extLst>
          </xdr:cNvPr>
          <xdr:cNvCxnSpPr>
            <a:cxnSpLocks/>
          </xdr:cNvCxnSpPr>
        </xdr:nvCxnSpPr>
        <xdr:spPr>
          <a:xfrm flipV="1">
            <a:off x="1001027" y="5005525"/>
            <a:ext cx="2768317" cy="36895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cxnSp macro="">
        <xdr:nvCxnSpPr>
          <xdr:cNvPr id="61" name="Lige pilforbindelse 60">
            <a:extLst>
              <a:ext uri="{FF2B5EF4-FFF2-40B4-BE49-F238E27FC236}">
                <a16:creationId xmlns:a16="http://schemas.microsoft.com/office/drawing/2014/main" id="{61879231-28F8-4711-AC6B-CAB5FF20361F}"/>
              </a:ext>
            </a:extLst>
          </xdr:cNvPr>
          <xdr:cNvCxnSpPr>
            <a:cxnSpLocks/>
          </xdr:cNvCxnSpPr>
        </xdr:nvCxnSpPr>
        <xdr:spPr>
          <a:xfrm flipV="1">
            <a:off x="5611626" y="3185438"/>
            <a:ext cx="206967" cy="410419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62" name="Tekstfelt 26">
            <a:extLst>
              <a:ext uri="{FF2B5EF4-FFF2-40B4-BE49-F238E27FC236}">
                <a16:creationId xmlns:a16="http://schemas.microsoft.com/office/drawing/2014/main" id="{A78359D9-F3DD-4F06-AB1E-2756E0254273}"/>
              </a:ext>
            </a:extLst>
          </xdr:cNvPr>
          <xdr:cNvSpPr txBox="1"/>
        </xdr:nvSpPr>
        <xdr:spPr>
          <a:xfrm>
            <a:off x="5132957" y="3055616"/>
            <a:ext cx="714567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a&amp;b </a:t>
            </a:r>
          </a:p>
        </xdr:txBody>
      </xdr:sp>
      <xdr:cxnSp macro="">
        <xdr:nvCxnSpPr>
          <xdr:cNvPr id="63" name="Lige pilforbindelse 62">
            <a:extLst>
              <a:ext uri="{FF2B5EF4-FFF2-40B4-BE49-F238E27FC236}">
                <a16:creationId xmlns:a16="http://schemas.microsoft.com/office/drawing/2014/main" id="{C29A6776-72AA-43BA-8393-1F869BE813DD}"/>
              </a:ext>
            </a:extLst>
          </xdr:cNvPr>
          <xdr:cNvCxnSpPr>
            <a:cxnSpLocks/>
          </xdr:cNvCxnSpPr>
        </xdr:nvCxnSpPr>
        <xdr:spPr>
          <a:xfrm flipV="1">
            <a:off x="3840950" y="2281188"/>
            <a:ext cx="586671" cy="892555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64" name="Tekstfelt 28">
            <a:extLst>
              <a:ext uri="{FF2B5EF4-FFF2-40B4-BE49-F238E27FC236}">
                <a16:creationId xmlns:a16="http://schemas.microsoft.com/office/drawing/2014/main" id="{B2D0A8B3-1BB3-422F-AD93-3FDD0609A41C}"/>
              </a:ext>
            </a:extLst>
          </xdr:cNvPr>
          <xdr:cNvSpPr txBox="1"/>
        </xdr:nvSpPr>
        <xdr:spPr>
          <a:xfrm>
            <a:off x="3905971" y="2392394"/>
            <a:ext cx="714567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</a:t>
            </a:r>
          </a:p>
        </xdr:txBody>
      </xdr:sp>
      <xdr:cxnSp macro="">
        <xdr:nvCxnSpPr>
          <xdr:cNvPr id="65" name="Lige pilforbindelse 64">
            <a:extLst>
              <a:ext uri="{FF2B5EF4-FFF2-40B4-BE49-F238E27FC236}">
                <a16:creationId xmlns:a16="http://schemas.microsoft.com/office/drawing/2014/main" id="{1F13DC6B-89CD-4BF9-B822-ED4F63DD0D7E}"/>
              </a:ext>
            </a:extLst>
          </xdr:cNvPr>
          <xdr:cNvCxnSpPr>
            <a:cxnSpLocks/>
          </xdr:cNvCxnSpPr>
        </xdr:nvCxnSpPr>
        <xdr:spPr>
          <a:xfrm flipH="1" flipV="1">
            <a:off x="3841744" y="3132682"/>
            <a:ext cx="1782382" cy="462054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66" name="Tekstfelt 30">
            <a:extLst>
              <a:ext uri="{FF2B5EF4-FFF2-40B4-BE49-F238E27FC236}">
                <a16:creationId xmlns:a16="http://schemas.microsoft.com/office/drawing/2014/main" id="{9F712471-A07B-49D6-AE55-7585215A1F0D}"/>
              </a:ext>
            </a:extLst>
          </xdr:cNvPr>
          <xdr:cNvSpPr txBox="1"/>
        </xdr:nvSpPr>
        <xdr:spPr>
          <a:xfrm>
            <a:off x="4285261" y="2883550"/>
            <a:ext cx="294283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 </a:t>
            </a:r>
          </a:p>
        </xdr:txBody>
      </xdr:sp>
      <xdr:cxnSp macro="">
        <xdr:nvCxnSpPr>
          <xdr:cNvPr id="67" name="Lige pilforbindelse 66">
            <a:extLst>
              <a:ext uri="{FF2B5EF4-FFF2-40B4-BE49-F238E27FC236}">
                <a16:creationId xmlns:a16="http://schemas.microsoft.com/office/drawing/2014/main" id="{FF21F71F-1D11-4AB0-83B9-D1945D78C390}"/>
              </a:ext>
            </a:extLst>
          </xdr:cNvPr>
          <xdr:cNvCxnSpPr>
            <a:cxnSpLocks/>
          </xdr:cNvCxnSpPr>
        </xdr:nvCxnSpPr>
        <xdr:spPr>
          <a:xfrm flipV="1">
            <a:off x="5886930" y="6749776"/>
            <a:ext cx="180508" cy="479310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68" name="Tekstfelt 58">
            <a:extLst>
              <a:ext uri="{FF2B5EF4-FFF2-40B4-BE49-F238E27FC236}">
                <a16:creationId xmlns:a16="http://schemas.microsoft.com/office/drawing/2014/main" id="{26608A14-BA0B-4E94-AFD9-376FE76A0B90}"/>
              </a:ext>
            </a:extLst>
          </xdr:cNvPr>
          <xdr:cNvSpPr txBox="1"/>
        </xdr:nvSpPr>
        <xdr:spPr>
          <a:xfrm>
            <a:off x="5705485" y="6731922"/>
            <a:ext cx="322452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 </a:t>
            </a:r>
          </a:p>
        </xdr:txBody>
      </xdr:sp>
      <xdr:cxnSp macro="">
        <xdr:nvCxnSpPr>
          <xdr:cNvPr id="69" name="Lige pilforbindelse 68">
            <a:extLst>
              <a:ext uri="{FF2B5EF4-FFF2-40B4-BE49-F238E27FC236}">
                <a16:creationId xmlns:a16="http://schemas.microsoft.com/office/drawing/2014/main" id="{A1B3C2ED-157B-4737-A90F-AC93245A8F17}"/>
              </a:ext>
            </a:extLst>
          </xdr:cNvPr>
          <xdr:cNvCxnSpPr>
            <a:cxnSpLocks/>
          </xdr:cNvCxnSpPr>
        </xdr:nvCxnSpPr>
        <xdr:spPr>
          <a:xfrm flipV="1">
            <a:off x="4123059" y="5674796"/>
            <a:ext cx="837239" cy="1121894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70" name="Tekstfelt 60">
            <a:extLst>
              <a:ext uri="{FF2B5EF4-FFF2-40B4-BE49-F238E27FC236}">
                <a16:creationId xmlns:a16="http://schemas.microsoft.com/office/drawing/2014/main" id="{5597752F-7FCA-45DD-AB04-4584C0FA5355}"/>
              </a:ext>
            </a:extLst>
          </xdr:cNvPr>
          <xdr:cNvSpPr txBox="1"/>
        </xdr:nvSpPr>
        <xdr:spPr>
          <a:xfrm>
            <a:off x="4312266" y="5952346"/>
            <a:ext cx="714567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</a:t>
            </a:r>
          </a:p>
        </xdr:txBody>
      </xdr:sp>
      <xdr:cxnSp macro="">
        <xdr:nvCxnSpPr>
          <xdr:cNvPr id="71" name="Lige pilforbindelse 70">
            <a:extLst>
              <a:ext uri="{FF2B5EF4-FFF2-40B4-BE49-F238E27FC236}">
                <a16:creationId xmlns:a16="http://schemas.microsoft.com/office/drawing/2014/main" id="{0AF93F7F-2546-44FE-9EC7-43482DDDA62A}"/>
              </a:ext>
            </a:extLst>
          </xdr:cNvPr>
          <xdr:cNvCxnSpPr>
            <a:cxnSpLocks/>
          </xdr:cNvCxnSpPr>
        </xdr:nvCxnSpPr>
        <xdr:spPr>
          <a:xfrm flipH="1" flipV="1">
            <a:off x="4139411" y="6767032"/>
            <a:ext cx="1782382" cy="462054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72" name="Tekstfelt 62">
            <a:extLst>
              <a:ext uri="{FF2B5EF4-FFF2-40B4-BE49-F238E27FC236}">
                <a16:creationId xmlns:a16="http://schemas.microsoft.com/office/drawing/2014/main" id="{F4C5E105-55C2-4923-A534-FC117EFA89D6}"/>
              </a:ext>
            </a:extLst>
          </xdr:cNvPr>
          <xdr:cNvSpPr txBox="1"/>
        </xdr:nvSpPr>
        <xdr:spPr>
          <a:xfrm>
            <a:off x="4813156" y="6620049"/>
            <a:ext cx="294283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d </a:t>
            </a:r>
          </a:p>
        </xdr:txBody>
      </xdr:sp>
      <xdr:cxnSp macro="">
        <xdr:nvCxnSpPr>
          <xdr:cNvPr id="73" name="Lige pilforbindelse 72">
            <a:extLst>
              <a:ext uri="{FF2B5EF4-FFF2-40B4-BE49-F238E27FC236}">
                <a16:creationId xmlns:a16="http://schemas.microsoft.com/office/drawing/2014/main" id="{BC4E4B78-0CB6-47A1-A9D3-8DCC7AF71A3E}"/>
              </a:ext>
            </a:extLst>
          </xdr:cNvPr>
          <xdr:cNvCxnSpPr>
            <a:cxnSpLocks/>
          </xdr:cNvCxnSpPr>
        </xdr:nvCxnSpPr>
        <xdr:spPr>
          <a:xfrm flipV="1">
            <a:off x="6027936" y="6893495"/>
            <a:ext cx="251109" cy="399641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74" name="Tekstfelt 64">
            <a:extLst>
              <a:ext uri="{FF2B5EF4-FFF2-40B4-BE49-F238E27FC236}">
                <a16:creationId xmlns:a16="http://schemas.microsoft.com/office/drawing/2014/main" id="{902FB585-9C47-461F-9382-902DF7151675}"/>
              </a:ext>
            </a:extLst>
          </xdr:cNvPr>
          <xdr:cNvSpPr txBox="1"/>
        </xdr:nvSpPr>
        <xdr:spPr>
          <a:xfrm flipH="1">
            <a:off x="6101816" y="6957845"/>
            <a:ext cx="283371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 </a:t>
            </a:r>
          </a:p>
        </xdr:txBody>
      </xdr:sp>
      <xdr:cxnSp macro="">
        <xdr:nvCxnSpPr>
          <xdr:cNvPr id="75" name="Lige pilforbindelse 74">
            <a:extLst>
              <a:ext uri="{FF2B5EF4-FFF2-40B4-BE49-F238E27FC236}">
                <a16:creationId xmlns:a16="http://schemas.microsoft.com/office/drawing/2014/main" id="{D2B7A8C9-BB00-472A-8D94-2120540413E9}"/>
              </a:ext>
            </a:extLst>
          </xdr:cNvPr>
          <xdr:cNvCxnSpPr>
            <a:cxnSpLocks/>
          </xdr:cNvCxnSpPr>
        </xdr:nvCxnSpPr>
        <xdr:spPr>
          <a:xfrm>
            <a:off x="3584463" y="3236560"/>
            <a:ext cx="321508" cy="0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arrow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sp macro="" textlink="">
        <xdr:nvSpPr>
          <xdr:cNvPr id="76" name="Tekstfelt 68">
            <a:extLst>
              <a:ext uri="{FF2B5EF4-FFF2-40B4-BE49-F238E27FC236}">
                <a16:creationId xmlns:a16="http://schemas.microsoft.com/office/drawing/2014/main" id="{7CE8766B-D6DF-4D35-A1F2-DAE232065CB5}"/>
              </a:ext>
            </a:extLst>
          </xdr:cNvPr>
          <xdr:cNvSpPr txBox="1"/>
        </xdr:nvSpPr>
        <xdr:spPr>
          <a:xfrm>
            <a:off x="3365108" y="3013438"/>
            <a:ext cx="294283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E </a:t>
            </a:r>
          </a:p>
        </xdr:txBody>
      </xdr:sp>
      <xdr:sp macro="" textlink="">
        <xdr:nvSpPr>
          <xdr:cNvPr id="77" name="Tekstfelt 69">
            <a:extLst>
              <a:ext uri="{FF2B5EF4-FFF2-40B4-BE49-F238E27FC236}">
                <a16:creationId xmlns:a16="http://schemas.microsoft.com/office/drawing/2014/main" id="{23712467-F51A-46F3-A981-91AD5AE5E58F}"/>
              </a:ext>
            </a:extLst>
          </xdr:cNvPr>
          <xdr:cNvSpPr txBox="1"/>
        </xdr:nvSpPr>
        <xdr:spPr>
          <a:xfrm>
            <a:off x="3062880" y="2476324"/>
            <a:ext cx="314298" cy="38779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a-DK" sz="1920">
                <a:ln w="0">
                  <a:solidFill>
                    <a:schemeClr val="accent6"/>
                  </a:solidFill>
                </a:ln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H</a:t>
            </a:r>
          </a:p>
        </xdr:txBody>
      </xdr:sp>
      <xdr:cxnSp macro="">
        <xdr:nvCxnSpPr>
          <xdr:cNvPr id="78" name="Lige pilforbindelse 77">
            <a:extLst>
              <a:ext uri="{FF2B5EF4-FFF2-40B4-BE49-F238E27FC236}">
                <a16:creationId xmlns:a16="http://schemas.microsoft.com/office/drawing/2014/main" id="{5A82CA37-A888-4B8E-85AF-CFF29099F142}"/>
              </a:ext>
            </a:extLst>
          </xdr:cNvPr>
          <xdr:cNvCxnSpPr>
            <a:cxnSpLocks/>
            <a:stCxn id="77" idx="0"/>
          </xdr:cNvCxnSpPr>
        </xdr:nvCxnSpPr>
        <xdr:spPr>
          <a:xfrm flipH="1" flipV="1">
            <a:off x="3202383" y="1538228"/>
            <a:ext cx="17646" cy="938096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  <xdr:cxnSp macro="">
        <xdr:nvCxnSpPr>
          <xdr:cNvPr id="79" name="Lige pilforbindelse 78">
            <a:extLst>
              <a:ext uri="{FF2B5EF4-FFF2-40B4-BE49-F238E27FC236}">
                <a16:creationId xmlns:a16="http://schemas.microsoft.com/office/drawing/2014/main" id="{BB0ED250-C2C3-4643-8B31-26FA831D6B77}"/>
              </a:ext>
            </a:extLst>
          </xdr:cNvPr>
          <xdr:cNvCxnSpPr>
            <a:cxnSpLocks/>
            <a:stCxn id="77" idx="2"/>
          </xdr:cNvCxnSpPr>
        </xdr:nvCxnSpPr>
        <xdr:spPr>
          <a:xfrm>
            <a:off x="3220029" y="2864122"/>
            <a:ext cx="0" cy="321315"/>
          </a:xfrm>
          <a:prstGeom prst="straightConnector1">
            <a:avLst/>
          </a:prstGeom>
          <a:ln w="28575" cap="flat" cmpd="sng" algn="ctr">
            <a:solidFill>
              <a:schemeClr val="accent6"/>
            </a:solidFill>
            <a:prstDash val="solid"/>
            <a:round/>
            <a:headEnd type="none" w="med" len="med"/>
            <a:tailEnd type="arrow" w="med" len="med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4DEF6-E380-47CD-A7EC-FE9B17AB7592}">
  <sheetPr>
    <pageSetUpPr fitToPage="1"/>
  </sheetPr>
  <dimension ref="A1:AF112"/>
  <sheetViews>
    <sheetView showGridLines="0" tabSelected="1" zoomScaleNormal="100" workbookViewId="0">
      <selection activeCell="Q13" sqref="Q13"/>
    </sheetView>
  </sheetViews>
  <sheetFormatPr defaultRowHeight="14.25" x14ac:dyDescent="0.45"/>
  <cols>
    <col min="1" max="1" width="23.3984375" customWidth="1"/>
    <col min="2" max="2" width="12.6640625" customWidth="1"/>
    <col min="3" max="4" width="7.86328125" customWidth="1"/>
    <col min="5" max="5" width="35.6640625" customWidth="1"/>
    <col min="6" max="6" width="15.265625" customWidth="1"/>
    <col min="7" max="7" width="8.86328125" customWidth="1"/>
    <col min="8" max="14" width="5.73046875" customWidth="1"/>
    <col min="15" max="15" width="7.06640625" customWidth="1"/>
    <col min="16" max="16" width="8.796875" customWidth="1"/>
    <col min="17" max="17" width="44.9296875" style="1" customWidth="1"/>
    <col min="18" max="18" width="12.73046875" style="12" hidden="1" customWidth="1"/>
    <col min="19" max="19" width="11" style="20" customWidth="1"/>
    <col min="20" max="20" width="35.3984375" customWidth="1"/>
    <col min="21" max="21" width="3.86328125" customWidth="1"/>
    <col min="23" max="23" width="9.1328125" bestFit="1" customWidth="1"/>
    <col min="24" max="24" width="41.86328125" bestFit="1" customWidth="1"/>
    <col min="25" max="25" width="22.3984375" style="1" bestFit="1" customWidth="1"/>
    <col min="26" max="26" width="4.73046875" customWidth="1"/>
    <col min="27" max="27" width="13.265625" bestFit="1" customWidth="1"/>
    <col min="29" max="29" width="23.86328125" customWidth="1"/>
    <col min="36" max="37" width="9.1328125" customWidth="1"/>
    <col min="38" max="38" width="25.59765625" customWidth="1"/>
    <col min="39" max="42" width="9.1328125" customWidth="1"/>
    <col min="43" max="68" width="9.06640625" customWidth="1"/>
  </cols>
  <sheetData>
    <row r="1" spans="1:30" x14ac:dyDescent="0.45">
      <c r="A1" s="16" t="s">
        <v>73</v>
      </c>
    </row>
    <row r="4" spans="1:30" ht="30" customHeight="1" thickBot="1" x14ac:dyDescent="0.75">
      <c r="B4" s="6" t="s">
        <v>57</v>
      </c>
      <c r="G4" s="6" t="s">
        <v>58</v>
      </c>
      <c r="Q4" s="6" t="s">
        <v>66</v>
      </c>
      <c r="R4" s="10"/>
    </row>
    <row r="5" spans="1:30" ht="30" customHeight="1" thickBot="1" x14ac:dyDescent="0.5">
      <c r="B5" s="107" t="s">
        <v>84</v>
      </c>
      <c r="C5" s="108"/>
      <c r="D5" s="108"/>
      <c r="E5" s="109"/>
      <c r="F5" s="7"/>
      <c r="G5" s="103" t="s">
        <v>82</v>
      </c>
      <c r="H5" s="104"/>
      <c r="I5" s="104"/>
      <c r="J5" s="104"/>
      <c r="K5" s="104"/>
      <c r="L5" s="104"/>
      <c r="M5" s="104"/>
      <c r="N5" s="104"/>
      <c r="O5" s="105"/>
      <c r="Q5" s="100" t="s">
        <v>71</v>
      </c>
      <c r="R5" s="101"/>
      <c r="S5" s="101"/>
      <c r="T5" s="102"/>
    </row>
    <row r="6" spans="1:30" ht="14.65" thickBot="1" x14ac:dyDescent="0.5">
      <c r="Q6" s="18"/>
    </row>
    <row r="7" spans="1:30" ht="15.75" customHeight="1" thickBot="1" x14ac:dyDescent="0.5">
      <c r="B7" s="2" t="s">
        <v>4</v>
      </c>
      <c r="C7" s="80">
        <v>24</v>
      </c>
      <c r="D7" t="s">
        <v>3</v>
      </c>
      <c r="F7" s="2" t="s">
        <v>78</v>
      </c>
      <c r="G7" s="29" t="s">
        <v>184</v>
      </c>
      <c r="R7" s="11" t="s">
        <v>1</v>
      </c>
      <c r="S7" s="75" t="s">
        <v>186</v>
      </c>
    </row>
    <row r="8" spans="1:30" ht="14.65" thickBot="1" x14ac:dyDescent="0.5">
      <c r="B8" s="1"/>
      <c r="C8" s="3"/>
      <c r="Q8" s="2" t="s">
        <v>125</v>
      </c>
      <c r="R8" s="13">
        <f>(G40)*C7/10</f>
        <v>91.2</v>
      </c>
      <c r="S8" s="84">
        <f>MROUND(R8,2)</f>
        <v>92</v>
      </c>
      <c r="T8" s="85" t="s">
        <v>10</v>
      </c>
    </row>
    <row r="9" spans="1:30" ht="16.149999999999999" thickBot="1" x14ac:dyDescent="0.55000000000000004">
      <c r="B9" s="2" t="s">
        <v>5</v>
      </c>
      <c r="C9" s="81">
        <v>22</v>
      </c>
      <c r="D9" t="s">
        <v>3</v>
      </c>
      <c r="G9" s="55" t="s">
        <v>79</v>
      </c>
      <c r="R9" s="13"/>
      <c r="S9" s="78" t="s">
        <v>139</v>
      </c>
      <c r="T9" s="30"/>
    </row>
    <row r="10" spans="1:30" ht="14.65" thickBot="1" x14ac:dyDescent="0.5">
      <c r="B10" s="2"/>
      <c r="C10" s="82">
        <v>26</v>
      </c>
      <c r="D10" t="s">
        <v>2</v>
      </c>
      <c r="F10" s="2" t="s">
        <v>56</v>
      </c>
      <c r="G10" s="89">
        <f>G23</f>
        <v>42</v>
      </c>
      <c r="H10" t="s">
        <v>25</v>
      </c>
      <c r="R10" s="13"/>
      <c r="S10" s="78" t="s">
        <v>160</v>
      </c>
      <c r="T10" s="30"/>
    </row>
    <row r="11" spans="1:30" ht="14.65" customHeight="1" thickBot="1" x14ac:dyDescent="0.5">
      <c r="A11" s="106" t="s">
        <v>171</v>
      </c>
      <c r="B11" s="106"/>
      <c r="C11" s="3"/>
      <c r="E11" s="110" t="s">
        <v>172</v>
      </c>
      <c r="F11" s="2" t="s">
        <v>7</v>
      </c>
      <c r="G11" s="90">
        <f>G22</f>
        <v>57</v>
      </c>
      <c r="H11" t="s">
        <v>140</v>
      </c>
      <c r="Q11" s="1" t="s">
        <v>114</v>
      </c>
      <c r="R11" s="12">
        <f>G19</f>
        <v>4</v>
      </c>
      <c r="S11" s="4">
        <f>R11</f>
        <v>4</v>
      </c>
      <c r="T11" t="s">
        <v>141</v>
      </c>
    </row>
    <row r="12" spans="1:30" ht="14.65" thickBot="1" x14ac:dyDescent="0.5">
      <c r="A12" s="106"/>
      <c r="B12" s="106"/>
      <c r="C12" s="83">
        <v>1</v>
      </c>
      <c r="D12" s="94">
        <f>(G20-G19)*Opskrift!C10/10/C12</f>
        <v>136.5</v>
      </c>
      <c r="E12" s="110"/>
      <c r="F12" s="2" t="s">
        <v>69</v>
      </c>
      <c r="G12" s="91">
        <f>G48+G44+G32</f>
        <v>61.5</v>
      </c>
      <c r="H12" t="s">
        <v>44</v>
      </c>
      <c r="S12" s="77"/>
      <c r="AD12" s="19"/>
    </row>
    <row r="13" spans="1:30" x14ac:dyDescent="0.45">
      <c r="A13" s="106"/>
      <c r="B13" s="106"/>
      <c r="E13" s="110"/>
      <c r="G13" s="3"/>
      <c r="Q13" s="2" t="s">
        <v>115</v>
      </c>
      <c r="S13" s="78" t="s">
        <v>116</v>
      </c>
    </row>
    <row r="14" spans="1:30" x14ac:dyDescent="0.45">
      <c r="G14" s="85" t="s">
        <v>80</v>
      </c>
      <c r="H14" s="48"/>
      <c r="I14" s="48"/>
      <c r="J14" s="48"/>
      <c r="K14" s="48"/>
      <c r="L14" s="48"/>
      <c r="M14" s="48"/>
      <c r="N14" s="48"/>
      <c r="O14" s="48"/>
      <c r="Q14" s="1" t="s">
        <v>113</v>
      </c>
      <c r="R14" s="12">
        <f>S8*0.45/2</f>
        <v>20.7</v>
      </c>
      <c r="S14" s="77">
        <f>MROUND(R14,1)</f>
        <v>21</v>
      </c>
      <c r="T14" t="s">
        <v>95</v>
      </c>
    </row>
    <row r="15" spans="1:30" ht="15" customHeight="1" x14ac:dyDescent="0.45">
      <c r="E15" s="8"/>
      <c r="G15" s="23" t="s">
        <v>177</v>
      </c>
      <c r="N15" s="48"/>
      <c r="O15" s="48"/>
      <c r="Q15" s="1" t="s">
        <v>113</v>
      </c>
      <c r="R15" s="12">
        <f>S8*0.55/2</f>
        <v>25.3</v>
      </c>
      <c r="S15" s="77">
        <f t="shared" ref="S15:S17" si="0">MROUND(R15,1)</f>
        <v>25</v>
      </c>
      <c r="T15" t="s">
        <v>94</v>
      </c>
    </row>
    <row r="16" spans="1:30" ht="15" customHeight="1" x14ac:dyDescent="0.45">
      <c r="G16" s="23"/>
      <c r="H16" s="96"/>
      <c r="I16" t="s">
        <v>174</v>
      </c>
      <c r="N16" s="48"/>
      <c r="O16" s="48"/>
      <c r="Q16" s="1" t="s">
        <v>113</v>
      </c>
      <c r="R16" s="12">
        <f>S8*0.45/2</f>
        <v>20.7</v>
      </c>
      <c r="S16" s="77">
        <f t="shared" si="0"/>
        <v>21</v>
      </c>
      <c r="T16" t="s">
        <v>96</v>
      </c>
    </row>
    <row r="17" spans="6:32" ht="14.65" thickBot="1" x14ac:dyDescent="0.5">
      <c r="G17" s="76" t="s">
        <v>55</v>
      </c>
      <c r="Q17" s="1" t="s">
        <v>113</v>
      </c>
      <c r="R17" s="12">
        <f>S8*0.55/2</f>
        <v>25.3</v>
      </c>
      <c r="S17" s="77">
        <f t="shared" si="0"/>
        <v>25</v>
      </c>
      <c r="T17" t="s">
        <v>97</v>
      </c>
    </row>
    <row r="18" spans="6:32" x14ac:dyDescent="0.45">
      <c r="F18" s="2" t="s">
        <v>0</v>
      </c>
      <c r="G18" s="89">
        <f>Mål!B14</f>
        <v>38</v>
      </c>
      <c r="H18" t="s">
        <v>23</v>
      </c>
      <c r="Q18" s="30" t="s">
        <v>118</v>
      </c>
      <c r="S18" s="77"/>
    </row>
    <row r="19" spans="6:32" x14ac:dyDescent="0.45">
      <c r="F19" s="2" t="s">
        <v>22</v>
      </c>
      <c r="G19" s="90">
        <f>Mål!B15</f>
        <v>4</v>
      </c>
      <c r="H19" t="s">
        <v>52</v>
      </c>
      <c r="Q19" s="30" t="s">
        <v>117</v>
      </c>
      <c r="S19" s="77"/>
    </row>
    <row r="20" spans="6:32" ht="14.65" thickBot="1" x14ac:dyDescent="0.5">
      <c r="F20" s="2" t="s">
        <v>6</v>
      </c>
      <c r="G20" s="91">
        <f>Mål!B16+Mål!B15</f>
        <v>56.5</v>
      </c>
      <c r="H20" t="s">
        <v>85</v>
      </c>
      <c r="Q20" s="86" t="s">
        <v>119</v>
      </c>
      <c r="S20" s="78"/>
    </row>
    <row r="21" spans="6:32" ht="14.65" thickBot="1" x14ac:dyDescent="0.5">
      <c r="F21" s="2" t="s">
        <v>6</v>
      </c>
      <c r="G21" s="97">
        <f>(C12*S35*10/C10)+G19</f>
        <v>56.692307692307693</v>
      </c>
      <c r="H21" t="s">
        <v>154</v>
      </c>
      <c r="Q21" s="85" t="s">
        <v>120</v>
      </c>
    </row>
    <row r="22" spans="6:32" x14ac:dyDescent="0.45">
      <c r="F22" s="2" t="s">
        <v>7</v>
      </c>
      <c r="G22" s="89">
        <f>Mål!B17</f>
        <v>57</v>
      </c>
      <c r="H22" t="s">
        <v>86</v>
      </c>
      <c r="Q22" s="85"/>
      <c r="AC22" s="99"/>
      <c r="AD22" s="99"/>
      <c r="AE22" s="99"/>
      <c r="AF22" s="99"/>
    </row>
    <row r="23" spans="6:32" x14ac:dyDescent="0.45">
      <c r="F23" s="2" t="s">
        <v>11</v>
      </c>
      <c r="G23" s="90">
        <f>Mål!B18</f>
        <v>42</v>
      </c>
      <c r="H23" t="s">
        <v>24</v>
      </c>
      <c r="Q23" s="78" t="s">
        <v>142</v>
      </c>
      <c r="T23" s="30"/>
      <c r="AA23" s="1"/>
      <c r="AC23" s="1"/>
    </row>
    <row r="24" spans="6:32" x14ac:dyDescent="0.45">
      <c r="F24" s="2" t="s">
        <v>12</v>
      </c>
      <c r="G24" s="90">
        <f>Mål!B19</f>
        <v>41.5</v>
      </c>
      <c r="H24" t="s">
        <v>109</v>
      </c>
      <c r="Q24" s="78" t="s">
        <v>143</v>
      </c>
      <c r="T24" s="30"/>
      <c r="AA24" s="1"/>
      <c r="AC24" s="1"/>
    </row>
    <row r="25" spans="6:32" ht="14.65" thickBot="1" x14ac:dyDescent="0.5">
      <c r="F25" s="2" t="s">
        <v>56</v>
      </c>
      <c r="G25" s="91">
        <f>Mål!B20</f>
        <v>42</v>
      </c>
      <c r="H25" t="s">
        <v>25</v>
      </c>
      <c r="Q25" s="78"/>
      <c r="T25" s="30"/>
      <c r="AA25" s="1"/>
      <c r="AC25" s="1"/>
    </row>
    <row r="26" spans="6:32" ht="14.65" thickBot="1" x14ac:dyDescent="0.5">
      <c r="F26" s="5" t="s">
        <v>56</v>
      </c>
      <c r="G26" s="92">
        <f>0.55*S31*10/(C9*2)+2*G29</f>
        <v>43.500000000000007</v>
      </c>
      <c r="H26" t="s">
        <v>144</v>
      </c>
      <c r="Q26" s="78" t="s">
        <v>161</v>
      </c>
      <c r="T26" s="30"/>
      <c r="AA26" s="1"/>
      <c r="AC26" s="1"/>
    </row>
    <row r="27" spans="6:32" x14ac:dyDescent="0.45">
      <c r="G27" s="3"/>
      <c r="Q27" s="78" t="s">
        <v>145</v>
      </c>
      <c r="T27" s="30"/>
      <c r="AA27" s="1"/>
      <c r="AC27" s="1"/>
    </row>
    <row r="28" spans="6:32" ht="14.65" thickBot="1" x14ac:dyDescent="0.5">
      <c r="G28" s="76" t="s">
        <v>55</v>
      </c>
      <c r="Q28" s="78"/>
      <c r="T28" s="30"/>
      <c r="AA28" s="1"/>
      <c r="AC28" s="1"/>
    </row>
    <row r="29" spans="6:32" x14ac:dyDescent="0.45">
      <c r="F29" s="9" t="s">
        <v>13</v>
      </c>
      <c r="G29" s="89">
        <f>Mål!B22</f>
        <v>4</v>
      </c>
      <c r="H29" t="s">
        <v>62</v>
      </c>
      <c r="Q29" s="1" t="s">
        <v>146</v>
      </c>
      <c r="R29" s="12">
        <f>Mål!X28*2</f>
        <v>47.400000000000006</v>
      </c>
      <c r="S29" s="77">
        <f>MROUND(R29,1)</f>
        <v>47</v>
      </c>
      <c r="T29" t="s">
        <v>90</v>
      </c>
      <c r="AA29" s="1"/>
      <c r="AC29" s="1"/>
    </row>
    <row r="30" spans="6:32" x14ac:dyDescent="0.45">
      <c r="F30" s="9" t="s">
        <v>14</v>
      </c>
      <c r="G30" s="90">
        <f>Mål!B23</f>
        <v>0</v>
      </c>
      <c r="H30" t="s">
        <v>178</v>
      </c>
      <c r="Q30" s="1" t="s">
        <v>131</v>
      </c>
      <c r="R30" s="12">
        <f>R29/2</f>
        <v>23.700000000000003</v>
      </c>
      <c r="S30" s="77">
        <f>MROUND(R30,1)</f>
        <v>24</v>
      </c>
      <c r="T30" t="s">
        <v>21</v>
      </c>
      <c r="AA30" s="1"/>
      <c r="AC30" s="1"/>
    </row>
    <row r="31" spans="6:32" x14ac:dyDescent="0.45">
      <c r="F31" s="9" t="s">
        <v>15</v>
      </c>
      <c r="G31" s="90">
        <f>Mål!B24</f>
        <v>0</v>
      </c>
      <c r="H31" t="s">
        <v>179</v>
      </c>
      <c r="Q31" s="1" t="s">
        <v>98</v>
      </c>
      <c r="R31" s="12">
        <f>S8+S30*8</f>
        <v>284</v>
      </c>
      <c r="S31" s="77">
        <f>MROUND(R31,2)</f>
        <v>284</v>
      </c>
      <c r="T31" t="s">
        <v>10</v>
      </c>
    </row>
    <row r="32" spans="6:32" x14ac:dyDescent="0.45">
      <c r="F32" s="2" t="s">
        <v>16</v>
      </c>
      <c r="G32" s="90">
        <f>Mål!B25</f>
        <v>16</v>
      </c>
      <c r="H32" t="s">
        <v>61</v>
      </c>
      <c r="Q32" s="1" t="s">
        <v>100</v>
      </c>
      <c r="R32" s="12">
        <f>Mål!X27</f>
        <v>29.9</v>
      </c>
      <c r="S32" s="77">
        <f>MROUND(R32,2)</f>
        <v>30</v>
      </c>
      <c r="T32" t="s">
        <v>90</v>
      </c>
    </row>
    <row r="33" spans="6:22" x14ac:dyDescent="0.45">
      <c r="F33" s="2" t="s">
        <v>17</v>
      </c>
      <c r="G33" s="90">
        <f>Mål!B26</f>
        <v>0</v>
      </c>
      <c r="H33" t="s">
        <v>27</v>
      </c>
      <c r="S33" s="77"/>
    </row>
    <row r="34" spans="6:22" x14ac:dyDescent="0.45">
      <c r="F34" s="9" t="s">
        <v>18</v>
      </c>
      <c r="G34" s="90">
        <f>Mål!B27</f>
        <v>0</v>
      </c>
      <c r="H34" t="s">
        <v>65</v>
      </c>
      <c r="Q34" s="2" t="s">
        <v>124</v>
      </c>
      <c r="R34" s="12">
        <f>C12</f>
        <v>1</v>
      </c>
      <c r="S34" s="77">
        <f t="shared" ref="S34" si="1">MROUND(R34,1)</f>
        <v>1</v>
      </c>
      <c r="T34" t="s">
        <v>122</v>
      </c>
    </row>
    <row r="35" spans="6:22" x14ac:dyDescent="0.45">
      <c r="F35" s="2" t="s">
        <v>19</v>
      </c>
      <c r="G35" s="90">
        <f>Mål!B28</f>
        <v>0</v>
      </c>
      <c r="H35" t="s">
        <v>29</v>
      </c>
      <c r="Q35" s="1" t="s">
        <v>121</v>
      </c>
      <c r="R35" s="79">
        <f>(G20-G19)*Opskrift!C10/10/C12</f>
        <v>136.5</v>
      </c>
      <c r="S35" s="77">
        <f>MROUND(R35,1)</f>
        <v>137</v>
      </c>
      <c r="T35" t="s">
        <v>123</v>
      </c>
    </row>
    <row r="36" spans="6:22" x14ac:dyDescent="0.45">
      <c r="F36" s="2" t="s">
        <v>20</v>
      </c>
      <c r="G36" s="90">
        <f>Mål!B29</f>
        <v>0</v>
      </c>
      <c r="H36" t="s">
        <v>28</v>
      </c>
      <c r="R36" s="79"/>
      <c r="S36" s="77"/>
    </row>
    <row r="37" spans="6:22" ht="14.65" thickBot="1" x14ac:dyDescent="0.5">
      <c r="F37" s="2" t="s">
        <v>59</v>
      </c>
      <c r="G37" s="91">
        <f>Mål!B30</f>
        <v>0</v>
      </c>
      <c r="H37" t="s">
        <v>31</v>
      </c>
      <c r="N37" s="49"/>
      <c r="Q37" s="2" t="s">
        <v>147</v>
      </c>
      <c r="R37" s="79"/>
      <c r="S37" s="77"/>
      <c r="V37" s="1"/>
    </row>
    <row r="38" spans="6:22" ht="14.65" customHeight="1" x14ac:dyDescent="0.45">
      <c r="G38" s="3"/>
      <c r="Q38" s="1" t="s">
        <v>101</v>
      </c>
      <c r="R38" s="12">
        <f>S14+2*S30-1</f>
        <v>68</v>
      </c>
      <c r="S38" s="77">
        <f t="shared" ref="S38:S39" si="2">MROUND(R38,1)</f>
        <v>68</v>
      </c>
      <c r="T38" t="s">
        <v>104</v>
      </c>
    </row>
    <row r="39" spans="6:22" ht="14.65" thickBot="1" x14ac:dyDescent="0.5">
      <c r="G39" s="76" t="s">
        <v>55</v>
      </c>
      <c r="H39" s="48"/>
      <c r="I39" s="48"/>
      <c r="J39" s="48"/>
      <c r="K39" s="48"/>
      <c r="L39" s="48"/>
      <c r="M39" s="48"/>
      <c r="N39" s="48"/>
      <c r="Q39" s="1" t="s">
        <v>105</v>
      </c>
      <c r="R39" s="12">
        <f>S15+2*S30+1</f>
        <v>74</v>
      </c>
      <c r="S39" s="77">
        <f t="shared" si="2"/>
        <v>74</v>
      </c>
      <c r="T39" t="s">
        <v>103</v>
      </c>
    </row>
    <row r="40" spans="6:22" ht="14.65" thickBot="1" x14ac:dyDescent="0.5">
      <c r="F40" s="2" t="s">
        <v>60</v>
      </c>
      <c r="G40" s="93">
        <f>Mål!B32</f>
        <v>38</v>
      </c>
      <c r="H40" t="s">
        <v>30</v>
      </c>
      <c r="O40" s="49"/>
      <c r="Q40" s="1" t="s">
        <v>102</v>
      </c>
      <c r="R40" s="12">
        <f>2*G29*C9/10</f>
        <v>17.600000000000001</v>
      </c>
      <c r="S40" s="77">
        <f>MROUND(R40,1)</f>
        <v>18</v>
      </c>
      <c r="T40" t="s">
        <v>126</v>
      </c>
    </row>
    <row r="41" spans="6:22" x14ac:dyDescent="0.45">
      <c r="G41" s="3"/>
      <c r="Q41" s="1" t="s">
        <v>105</v>
      </c>
      <c r="R41" s="12">
        <f>S16+2*S30-1</f>
        <v>68</v>
      </c>
      <c r="S41" s="77">
        <f>MROUND(R41,1)</f>
        <v>68</v>
      </c>
      <c r="T41" t="s">
        <v>106</v>
      </c>
    </row>
    <row r="42" spans="6:22" ht="14.65" customHeight="1" thickBot="1" x14ac:dyDescent="0.5">
      <c r="G42" s="76" t="s">
        <v>55</v>
      </c>
      <c r="O42" s="48"/>
      <c r="Q42" s="1" t="s">
        <v>105</v>
      </c>
      <c r="R42" s="12">
        <f>S17+2*S30+1</f>
        <v>74</v>
      </c>
      <c r="S42" s="77">
        <f>MROUND(R42,1)</f>
        <v>74</v>
      </c>
      <c r="T42" t="s">
        <v>148</v>
      </c>
    </row>
    <row r="43" spans="6:22" ht="15" customHeight="1" x14ac:dyDescent="0.45">
      <c r="F43" s="2" t="s">
        <v>33</v>
      </c>
      <c r="G43" s="89">
        <f>Mål!B34</f>
        <v>15</v>
      </c>
      <c r="H43" t="s">
        <v>35</v>
      </c>
      <c r="Q43" s="1" t="s">
        <v>102</v>
      </c>
      <c r="R43" s="12">
        <f>2*G29*C9/10</f>
        <v>17.600000000000001</v>
      </c>
      <c r="S43" s="77">
        <f>MROUND(R43,1)</f>
        <v>18</v>
      </c>
      <c r="T43" t="s">
        <v>126</v>
      </c>
    </row>
    <row r="44" spans="6:22" x14ac:dyDescent="0.45">
      <c r="F44" s="2" t="s">
        <v>46</v>
      </c>
      <c r="G44" s="90">
        <f>Mål!B35</f>
        <v>4</v>
      </c>
      <c r="H44" t="s">
        <v>47</v>
      </c>
      <c r="Q44" s="2" t="s">
        <v>129</v>
      </c>
      <c r="R44" s="15">
        <f>S39+S40+S42+S43</f>
        <v>184</v>
      </c>
      <c r="S44" s="77">
        <f>MROUND(R44,1)</f>
        <v>184</v>
      </c>
      <c r="T44" t="s">
        <v>130</v>
      </c>
    </row>
    <row r="45" spans="6:22" x14ac:dyDescent="0.45">
      <c r="F45" s="2" t="s">
        <v>34</v>
      </c>
      <c r="G45" s="90">
        <f>Mål!B36</f>
        <v>16</v>
      </c>
      <c r="H45" t="s">
        <v>36</v>
      </c>
      <c r="Q45" s="1" t="s">
        <v>107</v>
      </c>
      <c r="R45" s="15">
        <f>G24-G19</f>
        <v>37.5</v>
      </c>
      <c r="S45" s="77">
        <f t="shared" ref="S45" si="3">MROUND(R45,1)</f>
        <v>38</v>
      </c>
      <c r="T45" t="s">
        <v>108</v>
      </c>
    </row>
    <row r="46" spans="6:22" ht="14.65" thickBot="1" x14ac:dyDescent="0.5">
      <c r="F46" s="2" t="s">
        <v>37</v>
      </c>
      <c r="G46" s="91">
        <f>Mål!B37</f>
        <v>38</v>
      </c>
      <c r="H46" t="s">
        <v>38</v>
      </c>
      <c r="Q46" s="1" t="s">
        <v>127</v>
      </c>
      <c r="R46" s="79">
        <f>(G20-G19)*Opskrift!C10/10/C12</f>
        <v>136.5</v>
      </c>
      <c r="S46" s="77">
        <f>MROUND(R46,1)</f>
        <v>137</v>
      </c>
      <c r="T46" t="s">
        <v>123</v>
      </c>
    </row>
    <row r="47" spans="6:22" ht="14.65" thickBot="1" x14ac:dyDescent="0.5">
      <c r="F47" s="2" t="s">
        <v>37</v>
      </c>
      <c r="G47" s="97">
        <f>10*S55/C9</f>
        <v>39.090909090909093</v>
      </c>
      <c r="H47" t="s">
        <v>149</v>
      </c>
      <c r="Q47" s="2"/>
      <c r="R47" s="13"/>
      <c r="S47" s="22"/>
    </row>
    <row r="48" spans="6:22" x14ac:dyDescent="0.45">
      <c r="F48" s="2" t="s">
        <v>40</v>
      </c>
      <c r="G48" s="89">
        <f>Mål!B38</f>
        <v>41.5</v>
      </c>
      <c r="H48" t="s">
        <v>39</v>
      </c>
      <c r="Q48" s="1" t="s">
        <v>128</v>
      </c>
      <c r="R48" s="12">
        <f>G19</f>
        <v>4</v>
      </c>
      <c r="S48" s="22">
        <f>MROUND(R48,1)</f>
        <v>4</v>
      </c>
      <c r="T48" t="s">
        <v>110</v>
      </c>
    </row>
    <row r="49" spans="5:25" x14ac:dyDescent="0.45">
      <c r="F49" s="9" t="s">
        <v>41</v>
      </c>
      <c r="G49" s="90">
        <f>Mål!B39</f>
        <v>4</v>
      </c>
      <c r="H49" t="s">
        <v>62</v>
      </c>
      <c r="S49" s="78" t="s">
        <v>155</v>
      </c>
      <c r="T49" s="30"/>
    </row>
    <row r="50" spans="5:25" x14ac:dyDescent="0.45">
      <c r="F50" s="9" t="s">
        <v>42</v>
      </c>
      <c r="G50" s="90">
        <f>Mål!B40</f>
        <v>0</v>
      </c>
      <c r="H50" t="s">
        <v>67</v>
      </c>
      <c r="O50" s="26"/>
      <c r="S50" s="78" t="s">
        <v>162</v>
      </c>
      <c r="T50" s="30"/>
    </row>
    <row r="51" spans="5:25" x14ac:dyDescent="0.45">
      <c r="F51" s="9" t="s">
        <v>43</v>
      </c>
      <c r="G51" s="90">
        <f>Mål!B41</f>
        <v>0</v>
      </c>
      <c r="H51" t="s">
        <v>68</v>
      </c>
      <c r="O51" s="25"/>
      <c r="S51" s="78"/>
    </row>
    <row r="52" spans="5:25" ht="14.65" customHeight="1" thickBot="1" x14ac:dyDescent="0.5">
      <c r="F52" s="2" t="s">
        <v>69</v>
      </c>
      <c r="G52" s="91">
        <f>Mål!B42</f>
        <v>34</v>
      </c>
      <c r="H52" t="s">
        <v>44</v>
      </c>
      <c r="O52" s="26"/>
      <c r="Q52" s="2" t="s">
        <v>156</v>
      </c>
      <c r="S52" s="78" t="s">
        <v>176</v>
      </c>
    </row>
    <row r="53" spans="5:25" x14ac:dyDescent="0.45">
      <c r="I53" s="25"/>
      <c r="J53" s="25"/>
      <c r="K53" s="25"/>
      <c r="L53" s="25"/>
      <c r="M53" s="25"/>
      <c r="N53" s="25"/>
      <c r="O53" s="26"/>
      <c r="Q53" s="1" t="s">
        <v>133</v>
      </c>
      <c r="R53" s="12">
        <f>2*G49*C9/10</f>
        <v>17.600000000000001</v>
      </c>
      <c r="S53" s="77">
        <f>MROUND(R53,1)</f>
        <v>18</v>
      </c>
      <c r="T53" t="s">
        <v>135</v>
      </c>
    </row>
    <row r="54" spans="5:25" x14ac:dyDescent="0.45">
      <c r="I54" s="26"/>
      <c r="J54" s="26"/>
      <c r="K54" s="26"/>
      <c r="L54" s="26"/>
      <c r="M54" s="26"/>
      <c r="N54" s="26"/>
      <c r="O54" s="26"/>
      <c r="Q54" s="1" t="s">
        <v>151</v>
      </c>
      <c r="R54" s="12">
        <f>S14+2*S30-1</f>
        <v>68</v>
      </c>
      <c r="S54" s="77">
        <f t="shared" ref="S54:S55" si="4">MROUND(R54,1)</f>
        <v>68</v>
      </c>
      <c r="T54" t="s">
        <v>152</v>
      </c>
    </row>
    <row r="55" spans="5:25" x14ac:dyDescent="0.45">
      <c r="N55" s="1"/>
      <c r="O55" s="26"/>
      <c r="Q55" s="1" t="s">
        <v>153</v>
      </c>
      <c r="R55" s="15">
        <f>S53+S54</f>
        <v>86</v>
      </c>
      <c r="S55" s="77">
        <f t="shared" si="4"/>
        <v>86</v>
      </c>
      <c r="T55" t="s">
        <v>10</v>
      </c>
    </row>
    <row r="56" spans="5:25" x14ac:dyDescent="0.45">
      <c r="N56" s="1"/>
      <c r="Q56" s="1" t="s">
        <v>134</v>
      </c>
      <c r="R56" s="13">
        <f>(G48*$C$10/10)/((((S41+S43)-S60)/2)+1)+((G48*$C$10/10)-S58*S57)</f>
        <v>12.050000000000006</v>
      </c>
      <c r="S56" s="22">
        <f>R56</f>
        <v>12.050000000000006</v>
      </c>
      <c r="T56" t="s">
        <v>9</v>
      </c>
    </row>
    <row r="57" spans="5:25" x14ac:dyDescent="0.45">
      <c r="N57" s="1"/>
      <c r="Q57" s="1" t="s">
        <v>136</v>
      </c>
      <c r="R57" s="13">
        <f>(G48*$C$10/10)/((((S41+S43)-S60)/2)+1)</f>
        <v>4.1500000000000004</v>
      </c>
      <c r="S57" s="22">
        <f>MROUND(R57,1)</f>
        <v>4</v>
      </c>
      <c r="T57" t="s">
        <v>150</v>
      </c>
    </row>
    <row r="58" spans="5:25" x14ac:dyDescent="0.45">
      <c r="N58" s="1"/>
      <c r="Q58" s="1" t="s">
        <v>137</v>
      </c>
      <c r="R58" s="15">
        <f>(((S41+S43)-S60))/2</f>
        <v>25</v>
      </c>
      <c r="S58" s="22">
        <f>MROUND(R58,1)</f>
        <v>25</v>
      </c>
      <c r="T58" t="s">
        <v>132</v>
      </c>
    </row>
    <row r="59" spans="5:25" ht="14.25" customHeight="1" x14ac:dyDescent="0.45">
      <c r="Q59" s="1" t="s">
        <v>112</v>
      </c>
      <c r="R59" s="12">
        <f>G48</f>
        <v>41.5</v>
      </c>
      <c r="S59" s="22">
        <f>MROUND(R59,1)</f>
        <v>42</v>
      </c>
      <c r="T59" t="s">
        <v>83</v>
      </c>
    </row>
    <row r="60" spans="5:25" x14ac:dyDescent="0.45">
      <c r="E60" s="1"/>
      <c r="Q60" s="9" t="s">
        <v>111</v>
      </c>
      <c r="R60" s="12">
        <f>C7*G43/10</f>
        <v>36</v>
      </c>
      <c r="S60" s="22">
        <f>MROUND(R60,2)</f>
        <v>36</v>
      </c>
      <c r="T60" t="s">
        <v>135</v>
      </c>
    </row>
    <row r="61" spans="5:25" x14ac:dyDescent="0.45">
      <c r="Q61" s="1" t="s">
        <v>89</v>
      </c>
      <c r="R61" s="12">
        <f>G44</f>
        <v>4</v>
      </c>
      <c r="S61" s="95">
        <f>R61</f>
        <v>4</v>
      </c>
      <c r="T61" t="s">
        <v>180</v>
      </c>
    </row>
    <row r="62" spans="5:25" ht="15.75" customHeight="1" x14ac:dyDescent="0.45">
      <c r="P62" s="27"/>
      <c r="S62" s="87" t="s">
        <v>138</v>
      </c>
    </row>
    <row r="63" spans="5:25" ht="15.75" customHeight="1" x14ac:dyDescent="0.45">
      <c r="P63" s="27"/>
      <c r="S63" s="87"/>
    </row>
    <row r="64" spans="5:25" x14ac:dyDescent="0.45">
      <c r="Q64" s="2" t="s">
        <v>163</v>
      </c>
      <c r="S64" s="78" t="s">
        <v>175</v>
      </c>
      <c r="X64" s="1"/>
      <c r="Y64"/>
    </row>
    <row r="65" spans="17:25" x14ac:dyDescent="0.45">
      <c r="Q65" s="1" t="s">
        <v>133</v>
      </c>
      <c r="R65" s="12">
        <f>2*G49*C9/10</f>
        <v>17.600000000000001</v>
      </c>
      <c r="S65" s="22">
        <f>MROUND(R65,1)</f>
        <v>18</v>
      </c>
      <c r="T65" t="s">
        <v>135</v>
      </c>
      <c r="X65" s="1"/>
      <c r="Y65"/>
    </row>
    <row r="66" spans="17:25" x14ac:dyDescent="0.45">
      <c r="Q66" s="1" t="s">
        <v>151</v>
      </c>
      <c r="R66" s="12">
        <f>S14+2*S30-1</f>
        <v>68</v>
      </c>
      <c r="S66" s="22">
        <f t="shared" ref="S66:S67" si="5">MROUND(R66,1)</f>
        <v>68</v>
      </c>
      <c r="T66" t="s">
        <v>152</v>
      </c>
      <c r="X66" s="1"/>
      <c r="Y66"/>
    </row>
    <row r="67" spans="17:25" x14ac:dyDescent="0.45">
      <c r="Q67" s="1" t="s">
        <v>153</v>
      </c>
      <c r="R67" s="15">
        <f>S65+S66</f>
        <v>86</v>
      </c>
      <c r="S67" s="22">
        <f t="shared" si="5"/>
        <v>86</v>
      </c>
      <c r="T67" t="s">
        <v>10</v>
      </c>
      <c r="X67" s="1"/>
      <c r="Y67"/>
    </row>
    <row r="68" spans="17:25" x14ac:dyDescent="0.45">
      <c r="Q68" s="1" t="s">
        <v>112</v>
      </c>
      <c r="R68" s="12">
        <f>G48</f>
        <v>41.5</v>
      </c>
      <c r="S68" s="22">
        <f>MROUND(R68,1)</f>
        <v>42</v>
      </c>
      <c r="T68" t="s">
        <v>83</v>
      </c>
      <c r="X68" s="1"/>
      <c r="Y68"/>
    </row>
    <row r="69" spans="17:25" x14ac:dyDescent="0.45">
      <c r="Q69" s="1" t="s">
        <v>157</v>
      </c>
      <c r="S69" s="88" t="s">
        <v>158</v>
      </c>
      <c r="X69" s="1"/>
      <c r="Y69"/>
    </row>
    <row r="70" spans="17:25" x14ac:dyDescent="0.45">
      <c r="Q70" s="9" t="s">
        <v>111</v>
      </c>
      <c r="R70" s="12">
        <f>C7*G43/10</f>
        <v>36</v>
      </c>
      <c r="S70" s="22">
        <f>MROUND(R70,2)</f>
        <v>36</v>
      </c>
      <c r="T70" t="s">
        <v>135</v>
      </c>
      <c r="X70" s="1"/>
      <c r="Y70"/>
    </row>
    <row r="71" spans="17:25" x14ac:dyDescent="0.45">
      <c r="Q71" s="1" t="s">
        <v>89</v>
      </c>
      <c r="R71" s="12">
        <f>G44</f>
        <v>4</v>
      </c>
      <c r="S71" s="95">
        <f>R71</f>
        <v>4</v>
      </c>
      <c r="T71" t="s">
        <v>159</v>
      </c>
      <c r="X71" s="1"/>
      <c r="Y71"/>
    </row>
    <row r="72" spans="17:25" x14ac:dyDescent="0.45">
      <c r="S72" s="87" t="s">
        <v>138</v>
      </c>
      <c r="X72" s="1"/>
      <c r="Y72"/>
    </row>
    <row r="73" spans="17:25" x14ac:dyDescent="0.45">
      <c r="R73" s="11"/>
      <c r="S73" t="s">
        <v>173</v>
      </c>
      <c r="X73" s="1"/>
      <c r="Y73"/>
    </row>
    <row r="74" spans="17:25" x14ac:dyDescent="0.45">
      <c r="Q74" s="2"/>
      <c r="R74" s="13"/>
      <c r="S74"/>
      <c r="X74" s="1"/>
      <c r="Y74"/>
    </row>
    <row r="75" spans="17:25" x14ac:dyDescent="0.45">
      <c r="S75" s="77"/>
      <c r="X75" s="1"/>
      <c r="Y75"/>
    </row>
    <row r="76" spans="17:25" x14ac:dyDescent="0.45">
      <c r="R76" s="13"/>
      <c r="S76" s="77"/>
      <c r="X76" s="1"/>
      <c r="Y76"/>
    </row>
    <row r="77" spans="17:25" x14ac:dyDescent="0.45">
      <c r="S77" s="77"/>
      <c r="X77" s="1"/>
      <c r="Y77"/>
    </row>
    <row r="78" spans="17:25" x14ac:dyDescent="0.45">
      <c r="R78" s="13"/>
      <c r="S78" s="77"/>
      <c r="X78" s="1"/>
      <c r="Y78"/>
    </row>
    <row r="79" spans="17:25" x14ac:dyDescent="0.45">
      <c r="R79" s="13"/>
      <c r="S79" s="77"/>
      <c r="X79" s="1"/>
      <c r="Y79"/>
    </row>
    <row r="80" spans="17:25" x14ac:dyDescent="0.45">
      <c r="S80" s="77"/>
      <c r="X80" s="1"/>
      <c r="Y80"/>
    </row>
    <row r="81" spans="17:25" x14ac:dyDescent="0.45">
      <c r="S81" s="77"/>
      <c r="X81" s="1"/>
      <c r="Y81"/>
    </row>
    <row r="82" spans="17:25" x14ac:dyDescent="0.45">
      <c r="R82" s="15"/>
      <c r="S82" s="77"/>
    </row>
    <row r="83" spans="17:25" x14ac:dyDescent="0.45">
      <c r="Q83" s="2"/>
      <c r="S83" s="77"/>
    </row>
    <row r="84" spans="17:25" x14ac:dyDescent="0.45">
      <c r="S84" s="77"/>
    </row>
    <row r="85" spans="17:25" x14ac:dyDescent="0.45">
      <c r="S85" s="3"/>
    </row>
    <row r="86" spans="17:25" x14ac:dyDescent="0.45">
      <c r="Q86" s="2"/>
      <c r="S86" s="3"/>
    </row>
    <row r="87" spans="17:25" x14ac:dyDescent="0.45">
      <c r="Q87" s="2"/>
      <c r="S87" s="77"/>
      <c r="T87" s="50"/>
    </row>
    <row r="88" spans="17:25" x14ac:dyDescent="0.45">
      <c r="S88" s="77"/>
    </row>
    <row r="89" spans="17:25" x14ac:dyDescent="0.45">
      <c r="R89" s="13"/>
      <c r="S89" s="77"/>
    </row>
    <row r="90" spans="17:25" x14ac:dyDescent="0.45">
      <c r="S90" s="77"/>
      <c r="T90" s="50"/>
    </row>
    <row r="91" spans="17:25" x14ac:dyDescent="0.45">
      <c r="R91" s="13"/>
      <c r="S91" s="77"/>
    </row>
    <row r="92" spans="17:25" x14ac:dyDescent="0.45">
      <c r="R92" s="13"/>
      <c r="S92" s="77"/>
    </row>
    <row r="93" spans="17:25" x14ac:dyDescent="0.45">
      <c r="S93" s="77"/>
    </row>
    <row r="94" spans="17:25" x14ac:dyDescent="0.45">
      <c r="S94" s="77"/>
    </row>
    <row r="95" spans="17:25" x14ac:dyDescent="0.45">
      <c r="S95" s="77"/>
    </row>
    <row r="96" spans="17:25" x14ac:dyDescent="0.45">
      <c r="S96" s="77"/>
    </row>
    <row r="97" spans="17:20" x14ac:dyDescent="0.45">
      <c r="S97" s="3"/>
    </row>
    <row r="98" spans="17:20" x14ac:dyDescent="0.45">
      <c r="Q98" s="2"/>
      <c r="S98" s="3"/>
    </row>
    <row r="99" spans="17:20" x14ac:dyDescent="0.45">
      <c r="Q99" s="2"/>
      <c r="S99" s="77"/>
    </row>
    <row r="100" spans="17:20" x14ac:dyDescent="0.45">
      <c r="S100" s="77"/>
    </row>
    <row r="101" spans="17:20" x14ac:dyDescent="0.45">
      <c r="S101" s="30"/>
      <c r="T101" s="30"/>
    </row>
    <row r="102" spans="17:20" x14ac:dyDescent="0.45">
      <c r="S102" s="77"/>
    </row>
    <row r="103" spans="17:20" x14ac:dyDescent="0.45">
      <c r="S103" s="77"/>
    </row>
    <row r="104" spans="17:20" x14ac:dyDescent="0.45">
      <c r="R104" s="14"/>
      <c r="S104" s="77"/>
    </row>
    <row r="105" spans="17:20" x14ac:dyDescent="0.45">
      <c r="S105" s="77"/>
    </row>
    <row r="106" spans="17:20" x14ac:dyDescent="0.45">
      <c r="S106" s="3"/>
    </row>
    <row r="107" spans="17:20" x14ac:dyDescent="0.45">
      <c r="S107" s="30"/>
      <c r="T107" s="30"/>
    </row>
    <row r="108" spans="17:20" x14ac:dyDescent="0.45">
      <c r="S108" s="77"/>
    </row>
    <row r="109" spans="17:20" x14ac:dyDescent="0.45">
      <c r="S109" s="77"/>
    </row>
    <row r="110" spans="17:20" x14ac:dyDescent="0.45">
      <c r="S110" s="3"/>
    </row>
    <row r="111" spans="17:20" x14ac:dyDescent="0.45">
      <c r="Q111" s="2"/>
      <c r="R111" s="13"/>
      <c r="S111" s="77"/>
    </row>
    <row r="112" spans="17:20" x14ac:dyDescent="0.45">
      <c r="S112" s="77"/>
    </row>
  </sheetData>
  <sheetProtection algorithmName="SHA-512" hashValue="DBe/jqOQ92+mMIwMm8z3fEwcbSJgZv+LfC40Z88Oj+wlMNMV/ZpbMmaUZTzc6Jd3LIgdL8OHcokEu6ZXT2QisQ==" saltValue="MuUO3swPrgdHLJgDCuaM7w==" spinCount="100000" sheet="1" objects="1" scenarios="1"/>
  <protectedRanges>
    <protectedRange sqref="S8 S11 S14:S17 S53:S61 S65:S68 S70:S71 S29:S48" name="Område2"/>
    <protectedRange sqref="G48:G52 G7 G10:G12 G18:G20 G22:G25 G29:G37 G40 C7 G43:G46 C9:C12" name="Område1"/>
  </protectedRanges>
  <mergeCells count="6">
    <mergeCell ref="AC22:AF22"/>
    <mergeCell ref="Q5:T5"/>
    <mergeCell ref="G5:O5"/>
    <mergeCell ref="A11:B13"/>
    <mergeCell ref="B5:E5"/>
    <mergeCell ref="E11:E13"/>
  </mergeCells>
  <phoneticPr fontId="2" type="noConversion"/>
  <conditionalFormatting sqref="G26">
    <cfRule type="expression" dxfId="44" priority="94">
      <formula>2&lt;$G$26-$G$25</formula>
    </cfRule>
    <cfRule type="expression" dxfId="43" priority="95">
      <formula>-2&gt;$G$26-$G$25</formula>
    </cfRule>
    <cfRule type="expression" dxfId="42" priority="97">
      <formula>-2&lt;$G$26-$G$25&gt;2</formula>
    </cfRule>
  </conditionalFormatting>
  <conditionalFormatting sqref="G47">
    <cfRule type="expression" dxfId="41" priority="72">
      <formula>-2&gt;$G$46-$G$47</formula>
    </cfRule>
    <cfRule type="expression" dxfId="40" priority="73">
      <formula>2&lt;$G$46-$G$47</formula>
    </cfRule>
    <cfRule type="expression" dxfId="39" priority="74">
      <formula>-2&lt;$G$46-$G$47&gt;2</formula>
    </cfRule>
  </conditionalFormatting>
  <conditionalFormatting sqref="S48 S12 S18:S19">
    <cfRule type="cellIs" dxfId="38" priority="50" operator="notEqual">
      <formula>MROUND(R12,1)</formula>
    </cfRule>
  </conditionalFormatting>
  <conditionalFormatting sqref="S103:S105 S82:S84 S87:S88 S95:S96 S109">
    <cfRule type="cellIs" dxfId="37" priority="45" operator="notEqual">
      <formula>MROUND(R82,1)</formula>
    </cfRule>
  </conditionalFormatting>
  <conditionalFormatting sqref="S75:S76 S78:S80">
    <cfRule type="cellIs" dxfId="36" priority="44" operator="notEqual">
      <formula>MROUND(R75,1)</formula>
    </cfRule>
  </conditionalFormatting>
  <conditionalFormatting sqref="S90:S93">
    <cfRule type="cellIs" dxfId="35" priority="43" operator="notEqual">
      <formula>MROUND(R90,1)</formula>
    </cfRule>
  </conditionalFormatting>
  <conditionalFormatting sqref="S89">
    <cfRule type="cellIs" dxfId="34" priority="42" operator="notEqual">
      <formula>MROUND(R89,1)</formula>
    </cfRule>
  </conditionalFormatting>
  <conditionalFormatting sqref="S100">
    <cfRule type="cellIs" dxfId="33" priority="40" operator="notEqual">
      <formula>MROUND(R100,1)</formula>
    </cfRule>
  </conditionalFormatting>
  <conditionalFormatting sqref="S99">
    <cfRule type="cellIs" dxfId="32" priority="41" operator="notEqual">
      <formula>MROUND(R99,1)</formula>
    </cfRule>
  </conditionalFormatting>
  <conditionalFormatting sqref="S102">
    <cfRule type="cellIs" dxfId="31" priority="39" operator="notEqual">
      <formula>MROUND(R102,1)</formula>
    </cfRule>
  </conditionalFormatting>
  <conditionalFormatting sqref="S108">
    <cfRule type="cellIs" dxfId="30" priority="38" operator="notEqual">
      <formula>MROUND(R108,1)</formula>
    </cfRule>
  </conditionalFormatting>
  <conditionalFormatting sqref="S8 S33">
    <cfRule type="cellIs" dxfId="29" priority="37" operator="notEqual">
      <formula>MROUND(R8,2)</formula>
    </cfRule>
  </conditionalFormatting>
  <conditionalFormatting sqref="S94">
    <cfRule type="cellIs" dxfId="28" priority="36" operator="notEqual">
      <formula>MROUND(R94,1)</formula>
    </cfRule>
  </conditionalFormatting>
  <conditionalFormatting sqref="S77">
    <cfRule type="cellIs" dxfId="27" priority="35" operator="notEqual">
      <formula>MROUND(R77,1)</formula>
    </cfRule>
  </conditionalFormatting>
  <conditionalFormatting sqref="S81">
    <cfRule type="cellIs" dxfId="26" priority="34" operator="notEqual">
      <formula>MROUND(R81,1)</formula>
    </cfRule>
  </conditionalFormatting>
  <conditionalFormatting sqref="S112">
    <cfRule type="cellIs" dxfId="25" priority="33" operator="notEqual">
      <formula>MROUND(R112,1)</formula>
    </cfRule>
  </conditionalFormatting>
  <conditionalFormatting sqref="S11">
    <cfRule type="cellIs" dxfId="24" priority="32" operator="notEqual">
      <formula>R11</formula>
    </cfRule>
  </conditionalFormatting>
  <conditionalFormatting sqref="S14:S16">
    <cfRule type="cellIs" dxfId="23" priority="13" operator="notEqual">
      <formula>MROUND(R14,1)</formula>
    </cfRule>
  </conditionalFormatting>
  <conditionalFormatting sqref="S17">
    <cfRule type="cellIs" dxfId="22" priority="30" operator="notEqual">
      <formula>MROUND(R17,1)</formula>
    </cfRule>
  </conditionalFormatting>
  <conditionalFormatting sqref="S29">
    <cfRule type="cellIs" dxfId="21" priority="28" operator="notEqual">
      <formula>MROUND(R29,1)</formula>
    </cfRule>
  </conditionalFormatting>
  <conditionalFormatting sqref="S30">
    <cfRule type="cellIs" dxfId="20" priority="27" operator="notEqual">
      <formula>MROUND(R30,1)</formula>
    </cfRule>
  </conditionalFormatting>
  <conditionalFormatting sqref="S31:S32">
    <cfRule type="cellIs" dxfId="19" priority="26" operator="notEqual">
      <formula>MROUND(R31,2)</formula>
    </cfRule>
  </conditionalFormatting>
  <conditionalFormatting sqref="S34">
    <cfRule type="cellIs" dxfId="18" priority="19" operator="notEqual">
      <formula>MROUND(R34,1)</formula>
    </cfRule>
  </conditionalFormatting>
  <conditionalFormatting sqref="G21">
    <cfRule type="expression" dxfId="17" priority="16">
      <formula>2&lt;$G$21-$G$20</formula>
    </cfRule>
    <cfRule type="expression" dxfId="16" priority="17">
      <formula>-2&gt;$G$21-$G$20</formula>
    </cfRule>
    <cfRule type="expression" dxfId="15" priority="18">
      <formula>-2&lt;$G$21-$G$20&gt;2</formula>
    </cfRule>
  </conditionalFormatting>
  <pageMargins left="0.23622047244094491" right="0.23622047244094491" top="0.74803149606299213" bottom="0.74803149606299213" header="0.31496062992125984" footer="0.31496062992125984"/>
  <pageSetup paperSize="9" scale="34" orientation="landscape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1" operator="notEqual" id="{E0643533-46CE-4972-BD7F-9CD9A97BBD39}">
            <xm:f>Mål!B14</xm:f>
            <x14:dxf>
              <fill>
                <patternFill>
                  <bgColor theme="4" tint="0.59996337778862885"/>
                </patternFill>
              </fill>
            </x14:dxf>
          </x14:cfRule>
          <xm:sqref>G18:G19</xm:sqref>
        </x14:conditionalFormatting>
        <x14:conditionalFormatting xmlns:xm="http://schemas.microsoft.com/office/excel/2006/main">
          <x14:cfRule type="cellIs" priority="11" operator="notEqual" id="{419D0C0F-285D-4E6F-A437-7B2A1011A98D}">
            <xm:f>Mål!B16+Mål!B15</xm:f>
            <x14:dxf>
              <fill>
                <patternFill>
                  <bgColor theme="4" tint="0.59996337778862885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cellIs" priority="10" operator="notEqual" id="{DE9343A2-8A0E-4336-9998-73AEF3FB7BD7}">
            <xm:f>Mål!B17</xm:f>
            <x14:dxf>
              <fill>
                <patternFill>
                  <bgColor theme="4" tint="0.59996337778862885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cellIs" priority="9" operator="notEqual" id="{4BC1E1DC-3756-4F5E-86AD-69D89987F4D7}">
            <xm:f>Mål!B19</xm:f>
            <x14:dxf>
              <fill>
                <patternFill>
                  <bgColor rgb="FFB4C6E7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cellIs" priority="7" operator="notEqual" id="{6F73B2FB-EA4C-4531-BDA8-2E5053381DFB}">
            <xm:f>Mål!B32</xm:f>
            <x14:dxf>
              <fill>
                <patternFill>
                  <bgColor theme="4" tint="0.59996337778862885"/>
                </patternFill>
              </fill>
            </x14:dxf>
          </x14:cfRule>
          <xm:sqref>G40</xm:sqref>
        </x14:conditionalFormatting>
        <x14:conditionalFormatting xmlns:xm="http://schemas.microsoft.com/office/excel/2006/main">
          <x14:cfRule type="cellIs" priority="5" operator="notEqual" id="{21CCE698-6009-4DD3-BEB9-65DA659E132A}">
            <xm:f>Mål!B22</xm:f>
            <x14:dxf>
              <fill>
                <patternFill>
                  <bgColor theme="4" tint="0.59996337778862885"/>
                </patternFill>
              </fill>
            </x14:dxf>
          </x14:cfRule>
          <xm:sqref>G29:G37</xm:sqref>
        </x14:conditionalFormatting>
        <x14:conditionalFormatting xmlns:xm="http://schemas.microsoft.com/office/excel/2006/main">
          <x14:cfRule type="cellIs" priority="3" operator="notEqual" id="{20528B1F-2398-459A-AB66-059D775D3ACF}">
            <xm:f>Mål!B34</xm:f>
            <x14:dxf>
              <fill>
                <patternFill>
                  <bgColor theme="4" tint="0.59996337778862885"/>
                </patternFill>
              </fill>
            </x14:dxf>
          </x14:cfRule>
          <xm:sqref>G43:G46</xm:sqref>
        </x14:conditionalFormatting>
        <x14:conditionalFormatting xmlns:xm="http://schemas.microsoft.com/office/excel/2006/main">
          <x14:cfRule type="cellIs" priority="1" operator="notEqual" id="{EDAB2BC7-123D-4EF2-BE74-500229009FE7}">
            <xm:f>Mål!B38</xm:f>
            <x14:dxf>
              <fill>
                <patternFill>
                  <bgColor theme="4" tint="0.59996337778862885"/>
                </patternFill>
              </fill>
            </x14:dxf>
          </x14:cfRule>
          <xm:sqref>G48:G52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EE65E7-3649-43A8-AE9A-F85F315CD35B}">
          <x14:formula1>
            <xm:f>Mål!$K$9:$U$9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A92D3-1651-4F8C-B62A-57EB3A7DF2A0}">
  <dimension ref="A1:AP96"/>
  <sheetViews>
    <sheetView showGridLines="0" zoomScaleNormal="100" workbookViewId="0">
      <selection activeCell="AO28" sqref="AO28"/>
    </sheetView>
  </sheetViews>
  <sheetFormatPr defaultRowHeight="14.25" x14ac:dyDescent="0.45"/>
  <cols>
    <col min="1" max="1" width="14.86328125" customWidth="1"/>
    <col min="2" max="2" width="10.1328125" customWidth="1"/>
    <col min="3" max="3" width="14" customWidth="1"/>
    <col min="4" max="4" width="28.9296875" customWidth="1"/>
    <col min="5" max="5" width="13.3984375" customWidth="1"/>
    <col min="6" max="6" width="6.265625" customWidth="1"/>
    <col min="7" max="7" width="16" customWidth="1"/>
    <col min="8" max="10" width="6.265625" customWidth="1"/>
    <col min="11" max="16" width="5.3984375" customWidth="1"/>
    <col min="17" max="21" width="5.3984375" style="1" customWidth="1"/>
    <col min="22" max="22" width="5.3984375" style="12" customWidth="1"/>
    <col min="23" max="23" width="5.3984375" style="3" hidden="1" customWidth="1"/>
    <col min="24" max="24" width="11.6640625" hidden="1" customWidth="1"/>
    <col min="25" max="28" width="5.3984375" hidden="1" customWidth="1"/>
    <col min="29" max="29" width="22.3984375" style="1" hidden="1" customWidth="1"/>
    <col min="30" max="30" width="4.73046875" hidden="1" customWidth="1"/>
    <col min="31" max="31" width="13.265625" hidden="1" customWidth="1"/>
    <col min="32" max="32" width="9.06640625" hidden="1" customWidth="1"/>
    <col min="33" max="33" width="23.86328125" hidden="1" customWidth="1"/>
    <col min="34" max="39" width="9.06640625" hidden="1" customWidth="1"/>
    <col min="40" max="41" width="9.1328125" customWidth="1"/>
    <col min="42" max="42" width="25.59765625" customWidth="1"/>
    <col min="43" max="46" width="9.1328125" customWidth="1"/>
    <col min="47" max="72" width="9.06640625" customWidth="1"/>
  </cols>
  <sheetData>
    <row r="1" spans="1:42" x14ac:dyDescent="0.45">
      <c r="A1" s="16" t="s">
        <v>73</v>
      </c>
    </row>
    <row r="2" spans="1:42" ht="14.65" thickBot="1" x14ac:dyDescent="0.5">
      <c r="P2" s="27"/>
      <c r="Q2" s="18"/>
      <c r="R2" s="18"/>
      <c r="S2" s="18"/>
      <c r="T2" s="18"/>
      <c r="U2" s="18"/>
      <c r="V2" s="59"/>
      <c r="W2" s="60"/>
      <c r="X2" s="27"/>
    </row>
    <row r="3" spans="1:42" ht="15.75" customHeight="1" thickBot="1" x14ac:dyDescent="0.5">
      <c r="B3" s="2" t="s">
        <v>4</v>
      </c>
      <c r="C3" s="74">
        <f>Opskrift!C7</f>
        <v>24</v>
      </c>
      <c r="D3" t="s">
        <v>3</v>
      </c>
      <c r="P3" s="27"/>
      <c r="Q3" s="58"/>
      <c r="R3" s="58"/>
      <c r="S3" s="58"/>
      <c r="T3" s="58"/>
      <c r="U3" s="58"/>
      <c r="V3" s="28"/>
      <c r="W3" s="61"/>
      <c r="X3" s="27"/>
      <c r="AP3" t="s">
        <v>32</v>
      </c>
    </row>
    <row r="4" spans="1:42" x14ac:dyDescent="0.45">
      <c r="P4" s="27"/>
      <c r="Q4" s="62"/>
      <c r="R4" s="62"/>
      <c r="S4" s="62"/>
      <c r="T4" s="62"/>
      <c r="U4" s="62"/>
      <c r="V4" s="63"/>
      <c r="W4" s="64"/>
      <c r="AC4"/>
    </row>
    <row r="5" spans="1:42" ht="14.65" thickBot="1" x14ac:dyDescent="0.5">
      <c r="B5" s="1"/>
      <c r="P5" s="27"/>
      <c r="Q5" s="71"/>
      <c r="R5" s="71"/>
      <c r="S5" s="71"/>
      <c r="T5" s="71"/>
      <c r="U5" s="71"/>
      <c r="V5" s="72"/>
      <c r="W5" s="73"/>
      <c r="AC5"/>
    </row>
    <row r="6" spans="1:42" x14ac:dyDescent="0.45">
      <c r="B6" s="2" t="s">
        <v>5</v>
      </c>
      <c r="C6" s="56">
        <f>Opskrift!C9</f>
        <v>22</v>
      </c>
      <c r="D6" t="s">
        <v>3</v>
      </c>
      <c r="V6" s="13"/>
      <c r="W6" s="21"/>
      <c r="Y6" t="s">
        <v>32</v>
      </c>
      <c r="AC6"/>
    </row>
    <row r="7" spans="1:42" ht="14.65" thickBot="1" x14ac:dyDescent="0.5">
      <c r="B7" s="1"/>
      <c r="C7" s="57">
        <f>Opskrift!C10</f>
        <v>26</v>
      </c>
      <c r="D7" t="s">
        <v>2</v>
      </c>
      <c r="U7" s="12"/>
      <c r="V7" s="21"/>
      <c r="W7"/>
      <c r="X7" t="e">
        <f>Opskrift!#REF!*2+Opskrift!#REF!*2+Opskrift!#REF!*Opskrift!#REF!*2+Opskrift!#REF!+Opskrift!#REF!*Opskrift!#REF!*2+2*Opskrift!#REF!+2*Opskrift!#REF!</f>
        <v>#REF!</v>
      </c>
      <c r="Y7" s="17" t="e">
        <f>Opskrift!#REF!-X7</f>
        <v>#REF!</v>
      </c>
      <c r="AC7"/>
    </row>
    <row r="8" spans="1:42" x14ac:dyDescent="0.45">
      <c r="B8" s="1"/>
      <c r="U8" s="12"/>
      <c r="V8" s="21"/>
      <c r="W8"/>
      <c r="X8" t="s">
        <v>48</v>
      </c>
      <c r="Y8" t="s">
        <v>70</v>
      </c>
      <c r="AC8"/>
    </row>
    <row r="9" spans="1:42" x14ac:dyDescent="0.45">
      <c r="K9" s="38" t="s">
        <v>164</v>
      </c>
      <c r="L9" s="38" t="s">
        <v>165</v>
      </c>
      <c r="M9" s="38" t="s">
        <v>166</v>
      </c>
      <c r="N9" s="38" t="s">
        <v>167</v>
      </c>
      <c r="O9" s="38" t="s">
        <v>168</v>
      </c>
      <c r="P9" s="38" t="s">
        <v>169</v>
      </c>
      <c r="Q9" s="39" t="s">
        <v>170</v>
      </c>
      <c r="R9" s="39" t="s">
        <v>181</v>
      </c>
      <c r="S9" s="39" t="s">
        <v>182</v>
      </c>
      <c r="T9" s="39" t="s">
        <v>183</v>
      </c>
      <c r="U9" s="39" t="s">
        <v>184</v>
      </c>
      <c r="V9" s="21"/>
      <c r="W9"/>
      <c r="X9" t="s">
        <v>49</v>
      </c>
      <c r="Y9" t="s">
        <v>50</v>
      </c>
      <c r="AC9"/>
    </row>
    <row r="10" spans="1:42" x14ac:dyDescent="0.45">
      <c r="K10" s="38" t="s">
        <v>8</v>
      </c>
      <c r="L10" s="38" t="s">
        <v>8</v>
      </c>
      <c r="M10" s="38" t="s">
        <v>8</v>
      </c>
      <c r="N10" s="38" t="s">
        <v>8</v>
      </c>
      <c r="O10" s="38" t="s">
        <v>8</v>
      </c>
      <c r="P10" s="38" t="s">
        <v>8</v>
      </c>
      <c r="Q10" s="39" t="s">
        <v>8</v>
      </c>
      <c r="R10" s="39" t="s">
        <v>8</v>
      </c>
      <c r="S10" s="39" t="s">
        <v>8</v>
      </c>
      <c r="T10" s="39" t="s">
        <v>8</v>
      </c>
      <c r="U10" s="39" t="s">
        <v>8</v>
      </c>
      <c r="V10" s="21"/>
      <c r="W10"/>
      <c r="X10" t="s">
        <v>51</v>
      </c>
      <c r="Y10" t="s">
        <v>72</v>
      </c>
      <c r="AC10"/>
    </row>
    <row r="11" spans="1:42" x14ac:dyDescent="0.45">
      <c r="B11" s="50" t="s">
        <v>80</v>
      </c>
      <c r="E11" s="31" t="s">
        <v>0</v>
      </c>
      <c r="F11" s="35" t="s">
        <v>23</v>
      </c>
      <c r="G11" s="36"/>
      <c r="H11" s="36"/>
      <c r="I11" s="36"/>
      <c r="J11" s="37"/>
      <c r="K11" s="32">
        <v>26</v>
      </c>
      <c r="L11" s="32">
        <v>27</v>
      </c>
      <c r="M11" s="32">
        <v>28</v>
      </c>
      <c r="N11" s="32">
        <v>29</v>
      </c>
      <c r="O11" s="32">
        <v>30</v>
      </c>
      <c r="P11" s="32">
        <v>31</v>
      </c>
      <c r="Q11" s="32">
        <v>32</v>
      </c>
      <c r="R11" s="32">
        <v>33</v>
      </c>
      <c r="S11" s="32">
        <v>34</v>
      </c>
      <c r="T11" s="32">
        <v>36</v>
      </c>
      <c r="U11" s="32">
        <v>38</v>
      </c>
      <c r="V11" s="21"/>
      <c r="W11"/>
      <c r="AC11"/>
    </row>
    <row r="12" spans="1:42" x14ac:dyDescent="0.45">
      <c r="B12" t="s">
        <v>81</v>
      </c>
      <c r="E12" s="31" t="s">
        <v>22</v>
      </c>
      <c r="F12" s="35" t="s">
        <v>52</v>
      </c>
      <c r="G12" s="36"/>
      <c r="H12" s="36"/>
      <c r="I12" s="36"/>
      <c r="J12" s="37"/>
      <c r="K12" s="34">
        <v>2.5</v>
      </c>
      <c r="L12" s="34">
        <v>3</v>
      </c>
      <c r="M12" s="34">
        <v>3</v>
      </c>
      <c r="N12" s="34">
        <v>3.5</v>
      </c>
      <c r="O12" s="34">
        <v>4</v>
      </c>
      <c r="P12" s="34">
        <v>4</v>
      </c>
      <c r="Q12" s="34">
        <v>4</v>
      </c>
      <c r="R12" s="34">
        <v>4</v>
      </c>
      <c r="S12" s="34">
        <v>4</v>
      </c>
      <c r="T12" s="34">
        <v>4</v>
      </c>
      <c r="U12" s="34">
        <v>4</v>
      </c>
      <c r="V12" s="21"/>
      <c r="W12"/>
      <c r="Z12" s="1" t="s">
        <v>45</v>
      </c>
      <c r="AA12" s="3">
        <f>Opskrift!G29*2+(SQRT((Opskrift!G30*Opskrift!G30+Opskrift!G31*Opskrift!G31)))*2+(Opskrift!G32-Opskrift!G31)*2</f>
        <v>40</v>
      </c>
      <c r="AB12" s="4">
        <f>Opskrift!G49*2+(SQRT((Opskrift!G51*Opskrift!G51+Opskrift!G50*Opskrift!G50)))*2+(Opskrift!G52-(Opskrift!G48+Opskrift!G51+Opskrift!G44))+(Opskrift!S65*10/Opskrift!C9)</f>
        <v>4.6818181818181817</v>
      </c>
      <c r="AC12">
        <f>Opskrift!G47</f>
        <v>39.090909090909093</v>
      </c>
    </row>
    <row r="13" spans="1:42" x14ac:dyDescent="0.45">
      <c r="B13" s="24" t="s">
        <v>55</v>
      </c>
      <c r="E13" s="31" t="s">
        <v>6</v>
      </c>
      <c r="F13" s="35" t="s">
        <v>53</v>
      </c>
      <c r="G13" s="36"/>
      <c r="H13" s="36"/>
      <c r="I13" s="36"/>
      <c r="J13" s="37"/>
      <c r="K13" s="34">
        <f t="shared" ref="K13:L13" si="0">K14-(7.5-1.5)/2</f>
        <v>34</v>
      </c>
      <c r="L13" s="34">
        <f t="shared" si="0"/>
        <v>35.5</v>
      </c>
      <c r="M13" s="34">
        <f>M14-(6+1.5)/2</f>
        <v>36.25</v>
      </c>
      <c r="N13" s="34">
        <f>N14-(6.25+1.5)/2</f>
        <v>37.625</v>
      </c>
      <c r="O13" s="34">
        <f>O14-(6.5+1.5)/2</f>
        <v>39</v>
      </c>
      <c r="P13" s="34">
        <f>P14-(6.75+1.5)/2</f>
        <v>40.875</v>
      </c>
      <c r="Q13" s="34">
        <f>Q14-(6.75+1.5)/2</f>
        <v>42.875</v>
      </c>
      <c r="R13" s="34">
        <f>R14-(7+1.5)/2</f>
        <v>44.75</v>
      </c>
      <c r="S13" s="34">
        <f>S14-(7+1.5)/2</f>
        <v>46.75</v>
      </c>
      <c r="T13" s="34">
        <f>T14-(7.25+1.5)/2</f>
        <v>49.625</v>
      </c>
      <c r="U13" s="34">
        <f>U14-(7.5+1.5)/2</f>
        <v>52.5</v>
      </c>
      <c r="V13" s="21"/>
      <c r="W13"/>
      <c r="AC13"/>
    </row>
    <row r="14" spans="1:42" x14ac:dyDescent="0.45">
      <c r="A14" s="2" t="s">
        <v>0</v>
      </c>
      <c r="B14" s="98" cm="1">
        <f t="array" ref="B14">_xlfn.IFS(Opskrift!$G$7=$L$9,L11,Opskrift!$G$7=$M$9,M11,Opskrift!$G$7=$N$9,N11,Opskrift!$G$7=$P$9,P11,Opskrift!$G$7=$Q$9,Q11,Opskrift!$G$7=$K$9,K11,Opskrift!$G$7=$R$9,R11,Opskrift!$G$7=$S$9,S11,Opskrift!$G$7=$T$9,T11,Opskrift!$G$7=$U$9,U11,Opskrift!$G$7=$O$9,O11)</f>
        <v>38</v>
      </c>
      <c r="C14" t="s">
        <v>23</v>
      </c>
      <c r="E14" s="31" t="s">
        <v>7</v>
      </c>
      <c r="F14" s="35" t="s">
        <v>54</v>
      </c>
      <c r="G14" s="36"/>
      <c r="H14" s="36"/>
      <c r="I14" s="36"/>
      <c r="J14" s="37"/>
      <c r="K14" s="32">
        <v>37</v>
      </c>
      <c r="L14" s="32">
        <v>38.5</v>
      </c>
      <c r="M14" s="32">
        <v>40</v>
      </c>
      <c r="N14" s="32">
        <v>41.5</v>
      </c>
      <c r="O14" s="32">
        <v>43</v>
      </c>
      <c r="P14" s="32">
        <v>45</v>
      </c>
      <c r="Q14" s="32">
        <v>47</v>
      </c>
      <c r="R14" s="32">
        <v>49</v>
      </c>
      <c r="S14" s="32">
        <v>51</v>
      </c>
      <c r="T14" s="32">
        <v>54</v>
      </c>
      <c r="U14" s="32">
        <v>57</v>
      </c>
      <c r="V14" s="21"/>
      <c r="W14"/>
      <c r="X14" t="s">
        <v>74</v>
      </c>
      <c r="Y14">
        <f>Opskrift!C9*Opskrift!G23/10</f>
        <v>92.4</v>
      </c>
      <c r="AC14"/>
    </row>
    <row r="15" spans="1:42" x14ac:dyDescent="0.45">
      <c r="A15" s="2" t="s">
        <v>22</v>
      </c>
      <c r="B15" s="98" cm="1">
        <f t="array" ref="B15">_xlfn.IFS(Opskrift!$G$7=$L$9,L12,Opskrift!$G$7=$M$9,M12,Opskrift!$G$7=$N$9,N12,Opskrift!$G$7=$P$9,P12,Opskrift!$G$7=$Q$9,Q12,Opskrift!$G$7=$K$9,K12,Opskrift!$G$7=$R$9,R12,Opskrift!$G$7=$S$9,S12,Opskrift!$G$7=$T$9,T12,Opskrift!$G$7=$U$9,U12,Opskrift!$G$7=$O$9,O12)</f>
        <v>4</v>
      </c>
      <c r="C15" t="s">
        <v>52</v>
      </c>
      <c r="E15" s="31" t="s">
        <v>11</v>
      </c>
      <c r="F15" s="35" t="s">
        <v>24</v>
      </c>
      <c r="G15" s="36"/>
      <c r="H15" s="36"/>
      <c r="I15" s="36"/>
      <c r="J15" s="37"/>
      <c r="K15" s="32">
        <v>28</v>
      </c>
      <c r="L15" s="32">
        <v>29</v>
      </c>
      <c r="M15" s="32">
        <v>32</v>
      </c>
      <c r="N15" s="32">
        <v>33</v>
      </c>
      <c r="O15" s="32">
        <v>34</v>
      </c>
      <c r="P15" s="32">
        <v>35</v>
      </c>
      <c r="Q15" s="32">
        <v>36</v>
      </c>
      <c r="R15" s="32">
        <v>37</v>
      </c>
      <c r="S15" s="32">
        <v>38</v>
      </c>
      <c r="T15" s="32">
        <v>40</v>
      </c>
      <c r="U15" s="32">
        <v>42</v>
      </c>
      <c r="V15" s="20"/>
      <c r="W15"/>
      <c r="AC15"/>
    </row>
    <row r="16" spans="1:42" x14ac:dyDescent="0.45">
      <c r="A16" s="2" t="s">
        <v>6</v>
      </c>
      <c r="B16" s="98" cm="1">
        <f t="array" ref="B16">_xlfn.IFS(Opskrift!$G$7=$L$9,L13,Opskrift!$G$7=$M$9,M13,Opskrift!$G$7=$N$9,N13,Opskrift!$G$7=$P$9,P13,Opskrift!$G$7=$Q$9,Q13,Opskrift!$G$7=$K$9,K13,Opskrift!$G$7=$R$9,R13,Opskrift!$G$7=$S$9,S13,Opskrift!$G$7=$T$9,T13,Opskrift!$G$7=$U$9,U13,Opskrift!$G$7=$O$9,O13)</f>
        <v>52.5</v>
      </c>
      <c r="C16" t="s">
        <v>53</v>
      </c>
      <c r="E16" s="31" t="s">
        <v>12</v>
      </c>
      <c r="F16" t="s">
        <v>26</v>
      </c>
      <c r="G16" s="36"/>
      <c r="H16" s="36"/>
      <c r="I16" s="36"/>
      <c r="J16" s="37"/>
      <c r="K16" s="34">
        <v>23.5</v>
      </c>
      <c r="L16" s="34">
        <v>25</v>
      </c>
      <c r="M16" s="34">
        <v>26.5</v>
      </c>
      <c r="N16" s="34">
        <v>28</v>
      </c>
      <c r="O16" s="34">
        <v>29.5</v>
      </c>
      <c r="P16" s="34">
        <v>48.1</v>
      </c>
      <c r="Q16" s="34">
        <v>33.5</v>
      </c>
      <c r="R16" s="34">
        <v>35.5</v>
      </c>
      <c r="S16" s="34">
        <v>37.5</v>
      </c>
      <c r="T16" s="34">
        <v>39.5</v>
      </c>
      <c r="U16" s="34">
        <v>41.5</v>
      </c>
      <c r="V16" s="20"/>
      <c r="W16"/>
      <c r="X16" t="s">
        <v>75</v>
      </c>
      <c r="Y16">
        <f>Opskrift!C9*Opskrift!G45/10</f>
        <v>35.200000000000003</v>
      </c>
      <c r="AC16"/>
    </row>
    <row r="17" spans="1:29" x14ac:dyDescent="0.45">
      <c r="A17" s="2" t="s">
        <v>7</v>
      </c>
      <c r="B17" s="98" cm="1">
        <f t="array" ref="B17">_xlfn.IFS(Opskrift!$G$7=$L$9,L14,Opskrift!$G$7=$M$9,M14,Opskrift!$G$7=$N$9,N14,Opskrift!$G$7=$P$9,P14,Opskrift!$G$7=$Q$9,Q14,Opskrift!$G$7=$K$9,K14,Opskrift!$G$7=$R$9,R14,Opskrift!$G$7=$S$9,S14,Opskrift!$G$7=$T$9,T14,Opskrift!$G$7=$U$9,U14,Opskrift!$G$7=$O$9,O14)</f>
        <v>57</v>
      </c>
      <c r="C17" t="s">
        <v>54</v>
      </c>
      <c r="E17" s="31" t="s">
        <v>56</v>
      </c>
      <c r="F17" s="35" t="s">
        <v>25</v>
      </c>
      <c r="G17" s="36"/>
      <c r="H17" s="36"/>
      <c r="I17" s="36"/>
      <c r="J17" s="37"/>
      <c r="K17" s="32">
        <v>28</v>
      </c>
      <c r="L17" s="32">
        <v>29</v>
      </c>
      <c r="M17" s="32">
        <v>32</v>
      </c>
      <c r="N17" s="32">
        <v>33</v>
      </c>
      <c r="O17" s="32">
        <v>34</v>
      </c>
      <c r="P17" s="32">
        <v>35</v>
      </c>
      <c r="Q17" s="32">
        <v>36</v>
      </c>
      <c r="R17" s="32">
        <v>37</v>
      </c>
      <c r="S17" s="32">
        <v>38</v>
      </c>
      <c r="T17" s="32">
        <v>40</v>
      </c>
      <c r="U17" s="32">
        <v>42</v>
      </c>
      <c r="V17" s="20"/>
      <c r="W17"/>
      <c r="AC17"/>
    </row>
    <row r="18" spans="1:29" x14ac:dyDescent="0.45">
      <c r="A18" s="2" t="s">
        <v>11</v>
      </c>
      <c r="B18" s="98" cm="1">
        <f t="array" ref="B18">_xlfn.IFS(Opskrift!$G$7=$L$9,L15,Opskrift!$G$7=$M$9,M15,Opskrift!$G$7=$N$9,N15,Opskrift!$G$7=$P$9,P15,Opskrift!$G$7=$Q$9,Q15,Opskrift!$G$7=$K$9,K15,Opskrift!$G$7=$R$9,R15,Opskrift!$G$7=$S$9,S15,Opskrift!$G$7=$T$9,T15,Opskrift!$G$7=$U$9,U15,Opskrift!$G$7=$O$9,O15)</f>
        <v>42</v>
      </c>
      <c r="C18" t="s">
        <v>24</v>
      </c>
      <c r="E18" s="31" t="s">
        <v>13</v>
      </c>
      <c r="F18" s="35" t="s">
        <v>62</v>
      </c>
      <c r="G18" s="36"/>
      <c r="H18" s="36"/>
      <c r="I18" s="36"/>
      <c r="J18" s="37"/>
      <c r="K18" s="32">
        <v>1.5</v>
      </c>
      <c r="L18" s="32">
        <v>2</v>
      </c>
      <c r="M18" s="32">
        <v>2.5</v>
      </c>
      <c r="N18" s="32">
        <v>2.5</v>
      </c>
      <c r="O18" s="32">
        <v>3</v>
      </c>
      <c r="P18" s="32">
        <v>3</v>
      </c>
      <c r="Q18" s="32">
        <v>4</v>
      </c>
      <c r="R18" s="32">
        <v>4</v>
      </c>
      <c r="S18" s="32">
        <v>4</v>
      </c>
      <c r="T18" s="32">
        <v>4</v>
      </c>
      <c r="U18" s="32">
        <v>4</v>
      </c>
      <c r="V18" s="20"/>
      <c r="W18"/>
      <c r="AC18"/>
    </row>
    <row r="19" spans="1:29" x14ac:dyDescent="0.45">
      <c r="A19" s="2" t="s">
        <v>12</v>
      </c>
      <c r="B19" s="98" cm="1">
        <f t="array" ref="B19">_xlfn.IFS(Opskrift!$G$7=$L$9,L16,Opskrift!$G$7=$M$9,M16,Opskrift!$G$7=$N$9,N16,Opskrift!$G$7=$P$9,P16,Opskrift!$G$7=$Q$9,Q16,Opskrift!$G$7=$K$9,K16,Opskrift!$G$7=$R$9,R16,Opskrift!$G$7=$S$9,S16,Opskrift!$G$7=$T$9,T16,Opskrift!$G$7=$U$9,U16,Opskrift!$G$7=$O$9,O16)</f>
        <v>41.5</v>
      </c>
      <c r="C19" t="s">
        <v>26</v>
      </c>
      <c r="E19" s="31" t="s">
        <v>14</v>
      </c>
      <c r="F19" s="35" t="s">
        <v>63</v>
      </c>
      <c r="G19" s="36"/>
      <c r="H19" s="36"/>
      <c r="I19" s="36"/>
      <c r="J19" s="37"/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20"/>
      <c r="W19"/>
      <c r="Y19" s="23" t="s">
        <v>76</v>
      </c>
      <c r="AC19"/>
    </row>
    <row r="20" spans="1:29" x14ac:dyDescent="0.45">
      <c r="A20" s="2" t="s">
        <v>56</v>
      </c>
      <c r="B20" s="98" cm="1">
        <f t="array" ref="B20">_xlfn.IFS(Opskrift!$G$7=$L$9,L17,Opskrift!$G$7=$M$9,M17,Opskrift!$G$7=$N$9,N17,Opskrift!$G$7=$P$9,P17,Opskrift!$G$7=$Q$9,Q17,Opskrift!$G$7=$K$9,K17,Opskrift!$G$7=$R$9,R17,Opskrift!$G$7=$S$9,S17,Opskrift!$G$7=$T$9,T17,Opskrift!$G$7=$U$9,U17,Opskrift!$G$7=$O$9,O17)</f>
        <v>42</v>
      </c>
      <c r="C20" t="s">
        <v>25</v>
      </c>
      <c r="E20" s="31" t="s">
        <v>15</v>
      </c>
      <c r="F20" s="35" t="s">
        <v>64</v>
      </c>
      <c r="G20" s="36"/>
      <c r="H20" s="36"/>
      <c r="I20" s="36"/>
      <c r="J20" s="37"/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20"/>
      <c r="W20"/>
      <c r="Y20" s="23" t="s">
        <v>77</v>
      </c>
      <c r="AC20"/>
    </row>
    <row r="21" spans="1:29" x14ac:dyDescent="0.45">
      <c r="B21" s="24" t="s">
        <v>55</v>
      </c>
      <c r="E21" s="31" t="s">
        <v>16</v>
      </c>
      <c r="F21" s="35" t="s">
        <v>61</v>
      </c>
      <c r="G21" s="36"/>
      <c r="H21" s="36"/>
      <c r="I21" s="36"/>
      <c r="J21" s="37"/>
      <c r="K21" s="33">
        <v>11</v>
      </c>
      <c r="L21" s="33">
        <v>11.5</v>
      </c>
      <c r="M21" s="33">
        <v>12</v>
      </c>
      <c r="N21" s="33">
        <v>12.5</v>
      </c>
      <c r="O21" s="33">
        <v>13</v>
      </c>
      <c r="P21" s="33">
        <v>13.5</v>
      </c>
      <c r="Q21" s="33">
        <v>14</v>
      </c>
      <c r="R21" s="33">
        <v>14.5</v>
      </c>
      <c r="S21" s="33">
        <v>15</v>
      </c>
      <c r="T21" s="33">
        <v>15.5</v>
      </c>
      <c r="U21" s="33">
        <v>16</v>
      </c>
      <c r="V21" s="3"/>
      <c r="W21"/>
      <c r="AC21"/>
    </row>
    <row r="22" spans="1:29" x14ac:dyDescent="0.45">
      <c r="A22" s="9" t="s">
        <v>13</v>
      </c>
      <c r="B22" s="98" cm="1">
        <f t="array" ref="B22">_xlfn.IFS(Opskrift!$G$7=$L$9,L18,Opskrift!$G$7=$M$9,M18,Opskrift!$G$7=$N$9,N18,Opskrift!$G$7=$P$9,P18,Opskrift!$G$7=$Q$9,Q18,Opskrift!$G$7=$K$9,K18,Opskrift!$G$7=$R$9,R18,Opskrift!$G$7=$S$9,S18,Opskrift!$G$7=$T$9,T18,Opskrift!$G$7=$U$9,U18,Opskrift!$G$7=$O$9,O18)</f>
        <v>4</v>
      </c>
      <c r="C22" t="s">
        <v>62</v>
      </c>
      <c r="E22" s="31" t="s">
        <v>17</v>
      </c>
      <c r="F22" s="35" t="s">
        <v>27</v>
      </c>
      <c r="G22" s="36"/>
      <c r="H22" s="36"/>
      <c r="I22" s="36"/>
      <c r="J22" s="36"/>
      <c r="K22" s="32"/>
      <c r="L22" s="32"/>
      <c r="M22" s="32"/>
      <c r="N22" s="32"/>
      <c r="O22" s="32"/>
      <c r="P22" s="32"/>
      <c r="Q22" s="33"/>
      <c r="R22" s="33"/>
      <c r="S22" s="33"/>
      <c r="T22" s="33"/>
      <c r="U22" s="33"/>
      <c r="V22" s="3"/>
      <c r="W22"/>
      <c r="Y22" t="s">
        <v>88</v>
      </c>
      <c r="AB22" s="1"/>
      <c r="AC22"/>
    </row>
    <row r="23" spans="1:29" x14ac:dyDescent="0.45">
      <c r="A23" s="9" t="s">
        <v>14</v>
      </c>
      <c r="B23" s="98" cm="1">
        <f t="array" ref="B23">_xlfn.IFS(Opskrift!$G$7=$L$9,L19,Opskrift!$G$7=$M$9,M19,Opskrift!$G$7=$N$9,N19,Opskrift!$G$7=$P$9,P19,Opskrift!$G$7=$Q$9,Q19,Opskrift!$G$7=$K$9,K19,Opskrift!$G$7=$R$9,R19,Opskrift!$G$7=$S$9,S19,Opskrift!$G$7=$T$9,T19,Opskrift!$G$7=$U$9,U19,Opskrift!$G$7=$O$9,O19)</f>
        <v>0</v>
      </c>
      <c r="C23" t="s">
        <v>63</v>
      </c>
      <c r="E23" s="31" t="s">
        <v>18</v>
      </c>
      <c r="F23" s="36" t="s">
        <v>65</v>
      </c>
      <c r="G23" s="36"/>
      <c r="H23" s="36"/>
      <c r="I23" s="36"/>
      <c r="J23" s="36"/>
      <c r="K23" s="32"/>
      <c r="L23" s="32"/>
      <c r="M23" s="32"/>
      <c r="N23" s="32"/>
      <c r="O23" s="32"/>
      <c r="P23" s="32"/>
      <c r="Q23" s="33"/>
      <c r="R23" s="33"/>
      <c r="S23" s="33"/>
      <c r="T23" s="33"/>
      <c r="U23" s="33"/>
      <c r="V23" s="3"/>
      <c r="W23"/>
      <c r="Y23" t="s">
        <v>87</v>
      </c>
      <c r="AB23" s="1"/>
      <c r="AC23"/>
    </row>
    <row r="24" spans="1:29" ht="14.65" customHeight="1" x14ac:dyDescent="0.45">
      <c r="A24" s="9" t="s">
        <v>15</v>
      </c>
      <c r="B24" s="98" cm="1">
        <f t="array" ref="B24">_xlfn.IFS(Opskrift!$G$7=$L$9,L20,Opskrift!$G$7=$M$9,M20,Opskrift!$G$7=$N$9,N20,Opskrift!$G$7=$P$9,P20,Opskrift!$G$7=$Q$9,Q20,Opskrift!$G$7=$K$9,K20,Opskrift!$G$7=$R$9,R20,Opskrift!$G$7=$S$9,S20,Opskrift!$G$7=$T$9,T20,Opskrift!$G$7=$U$9,U20,Opskrift!$G$7=$O$9,O20)</f>
        <v>0</v>
      </c>
      <c r="C24" t="s">
        <v>64</v>
      </c>
      <c r="E24" s="31" t="s">
        <v>19</v>
      </c>
      <c r="F24" s="35" t="s">
        <v>29</v>
      </c>
      <c r="G24" s="36"/>
      <c r="H24" s="36"/>
      <c r="I24" s="36"/>
      <c r="J24" s="36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"/>
      <c r="W24"/>
      <c r="AB24" s="1"/>
      <c r="AC24"/>
    </row>
    <row r="25" spans="1:29" x14ac:dyDescent="0.45">
      <c r="A25" s="2" t="s">
        <v>16</v>
      </c>
      <c r="B25" s="98" cm="1">
        <f t="array" ref="B25">_xlfn.IFS(Opskrift!$G$7=$L$9,L21,Opskrift!$G$7=$M$9,M21,Opskrift!$G$7=$N$9,N21,Opskrift!$G$7=$P$9,P21,Opskrift!$G$7=$Q$9,Q21,Opskrift!$G$7=$K$9,K21,Opskrift!$G$7=$R$9,R21,Opskrift!$G$7=$S$9,S21,Opskrift!$G$7=$T$9,T21,Opskrift!$G$7=$U$9,U21,Opskrift!$G$7=$O$9,O21)</f>
        <v>16</v>
      </c>
      <c r="C25" t="s">
        <v>61</v>
      </c>
      <c r="E25" s="31" t="s">
        <v>20</v>
      </c>
      <c r="F25" s="35" t="s">
        <v>28</v>
      </c>
      <c r="G25" s="36"/>
      <c r="H25" s="36"/>
      <c r="I25" s="36"/>
      <c r="J25" s="36"/>
      <c r="K25" s="32"/>
      <c r="L25" s="32"/>
      <c r="M25" s="32"/>
      <c r="N25" s="32"/>
      <c r="O25" s="32"/>
      <c r="P25" s="32"/>
      <c r="Q25" s="33"/>
      <c r="R25" s="33"/>
      <c r="S25" s="33"/>
      <c r="T25" s="33"/>
      <c r="U25" s="33"/>
      <c r="V25" s="3"/>
      <c r="W25"/>
      <c r="X25" s="17">
        <f>Opskrift!S8</f>
        <v>92</v>
      </c>
      <c r="Y25" t="s">
        <v>91</v>
      </c>
      <c r="AB25" s="1"/>
      <c r="AC25"/>
    </row>
    <row r="26" spans="1:29" ht="14.65" thickBot="1" x14ac:dyDescent="0.5">
      <c r="A26" s="2" t="s">
        <v>17</v>
      </c>
      <c r="B26" s="98" cm="1">
        <f t="array" ref="B26">_xlfn.IFS(Opskrift!$G$7=$L$9,L22,Opskrift!$G$7=$M$9,M22,Opskrift!$G$7=$N$9,N22,Opskrift!$G$7=$P$9,P22,Opskrift!$G$7=$Q$9,Q22,Opskrift!$G$7=$K$9,K22,Opskrift!$G$7=$R$9,R22,Opskrift!$G$7=$S$9,S22,Opskrift!$G$7=$T$9,T22,Opskrift!$G$7=$U$9,U22,Opskrift!$G$7=$O$9,O22)</f>
        <v>0</v>
      </c>
      <c r="C26" t="s">
        <v>27</v>
      </c>
      <c r="E26" s="43" t="s">
        <v>59</v>
      </c>
      <c r="F26" s="51" t="s">
        <v>31</v>
      </c>
      <c r="G26" s="52"/>
      <c r="H26" s="52"/>
      <c r="I26" s="52"/>
      <c r="J26" s="53"/>
      <c r="K26" s="44"/>
      <c r="L26" s="44"/>
      <c r="M26" s="44"/>
      <c r="N26" s="44"/>
      <c r="O26" s="44"/>
      <c r="P26" s="44"/>
      <c r="Q26" s="45"/>
      <c r="R26" s="45"/>
      <c r="S26" s="45"/>
      <c r="T26" s="45"/>
      <c r="U26" s="45"/>
      <c r="V26" s="3"/>
      <c r="W26">
        <f>Opskrift!G46/(Opskrift!G25+Opskrift!G46)</f>
        <v>0.47499999999999998</v>
      </c>
      <c r="X26">
        <f>(Opskrift!G25*2+Opskrift!G46*2-Opskrift!G29*8)*Opskrift!C9/10</f>
        <v>281.60000000000002</v>
      </c>
      <c r="Y26" t="s">
        <v>93</v>
      </c>
      <c r="AB26" s="1"/>
      <c r="AC26"/>
    </row>
    <row r="27" spans="1:29" ht="14.65" thickBot="1" x14ac:dyDescent="0.5">
      <c r="A27" s="9" t="s">
        <v>18</v>
      </c>
      <c r="B27" s="98" cm="1">
        <f t="array" ref="B27">_xlfn.IFS(Opskrift!$G$7=$L$9,L23,Opskrift!$G$7=$M$9,M23,Opskrift!$G$7=$N$9,N23,Opskrift!$G$7=$P$9,P23,Opskrift!$G$7=$Q$9,Q23,Opskrift!$G$7=$K$9,K23,Opskrift!$G$7=$R$9,R23,Opskrift!$G$7=$S$9,S23,Opskrift!$G$7=$T$9,T23,Opskrift!$G$7=$U$9,U23,Opskrift!$G$7=$O$9,O23)</f>
        <v>0</v>
      </c>
      <c r="C27" t="s">
        <v>65</v>
      </c>
      <c r="E27" s="46" t="s">
        <v>60</v>
      </c>
      <c r="F27" s="65" t="s">
        <v>30</v>
      </c>
      <c r="G27" s="66"/>
      <c r="H27" s="66"/>
      <c r="I27" s="66"/>
      <c r="J27" s="67"/>
      <c r="K27" s="47">
        <v>32</v>
      </c>
      <c r="L27" s="47">
        <v>32</v>
      </c>
      <c r="M27" s="47">
        <v>33</v>
      </c>
      <c r="N27" s="47">
        <v>34</v>
      </c>
      <c r="O27" s="47">
        <v>35</v>
      </c>
      <c r="P27" s="47">
        <v>36</v>
      </c>
      <c r="Q27" s="47">
        <v>38</v>
      </c>
      <c r="R27" s="47">
        <v>38</v>
      </c>
      <c r="S27" s="47">
        <v>38</v>
      </c>
      <c r="T27" s="47">
        <v>38</v>
      </c>
      <c r="U27" s="47">
        <v>38</v>
      </c>
      <c r="V27" s="3"/>
      <c r="W27"/>
      <c r="X27">
        <f>(Opskrift!G22-(Opskrift!G24+Opskrift!G19))*Mål!C7/10</f>
        <v>29.9</v>
      </c>
      <c r="Y27" t="s">
        <v>92</v>
      </c>
      <c r="AB27" s="1"/>
      <c r="AC27"/>
    </row>
    <row r="28" spans="1:29" ht="14.65" customHeight="1" x14ac:dyDescent="0.45">
      <c r="A28" s="2" t="s">
        <v>19</v>
      </c>
      <c r="B28" s="98" cm="1">
        <f t="array" ref="B28">_xlfn.IFS(Opskrift!$G$7=$L$9,L24,Opskrift!$G$7=$M$9,M24,Opskrift!$G$7=$N$9,N24,Opskrift!$G$7=$P$9,P24,Opskrift!$G$7=$Q$9,Q24,Opskrift!$G$7=$K$9,K24,Opskrift!$G$7=$R$9,R24,Opskrift!$G$7=$S$9,S24,Opskrift!$G$7=$T$9,T24,Opskrift!$G$7=$U$9,U24,Opskrift!$G$7=$O$9,O24)</f>
        <v>0</v>
      </c>
      <c r="C28" t="s">
        <v>29</v>
      </c>
      <c r="E28" s="40" t="s">
        <v>33</v>
      </c>
      <c r="F28" s="54" t="s">
        <v>35</v>
      </c>
      <c r="G28" s="36"/>
      <c r="H28" s="36"/>
      <c r="I28" s="36"/>
      <c r="J28" s="37"/>
      <c r="K28" s="41">
        <v>13</v>
      </c>
      <c r="L28" s="41">
        <v>14</v>
      </c>
      <c r="M28" s="41">
        <v>14</v>
      </c>
      <c r="N28" s="41">
        <v>14</v>
      </c>
      <c r="O28" s="41">
        <v>15</v>
      </c>
      <c r="P28" s="41">
        <v>15</v>
      </c>
      <c r="Q28" s="42">
        <v>15</v>
      </c>
      <c r="R28" s="42">
        <v>15</v>
      </c>
      <c r="S28" s="42">
        <v>15</v>
      </c>
      <c r="T28" s="42">
        <v>15</v>
      </c>
      <c r="U28" s="42">
        <v>15</v>
      </c>
      <c r="V28" s="3"/>
      <c r="W28"/>
      <c r="X28">
        <f>(X26-X25)/8</f>
        <v>23.700000000000003</v>
      </c>
      <c r="Y28" t="s">
        <v>99</v>
      </c>
      <c r="AB28" s="1"/>
      <c r="AC28"/>
    </row>
    <row r="29" spans="1:29" ht="15" customHeight="1" x14ac:dyDescent="0.45">
      <c r="A29" s="2" t="s">
        <v>20</v>
      </c>
      <c r="B29" s="98" cm="1">
        <f t="array" ref="B29">_xlfn.IFS(Opskrift!$G$7=$L$9,L25,Opskrift!$G$7=$M$9,M25,Opskrift!$G$7=$N$9,N25,Opskrift!$G$7=$P$9,P25,Opskrift!$G$7=$Q$9,Q25,Opskrift!$G$7=$K$9,K25,Opskrift!$G$7=$R$9,R25,Opskrift!$G$7=$S$9,S25,Opskrift!$G$7=$T$9,T25,Opskrift!$G$7=$U$9,U25,Opskrift!$G$7=$O$9,O25)</f>
        <v>0</v>
      </c>
      <c r="C29" t="s">
        <v>28</v>
      </c>
      <c r="E29" s="31" t="s">
        <v>46</v>
      </c>
      <c r="F29" s="35" t="s">
        <v>47</v>
      </c>
      <c r="G29" s="36"/>
      <c r="H29" s="36"/>
      <c r="I29" s="36"/>
      <c r="J29" s="37"/>
      <c r="K29" s="32">
        <v>3</v>
      </c>
      <c r="L29" s="34">
        <v>3</v>
      </c>
      <c r="M29" s="34">
        <v>3</v>
      </c>
      <c r="N29" s="34">
        <v>3.5</v>
      </c>
      <c r="O29" s="34">
        <v>4</v>
      </c>
      <c r="P29" s="34">
        <v>4</v>
      </c>
      <c r="Q29" s="34">
        <v>4</v>
      </c>
      <c r="R29" s="34">
        <v>4</v>
      </c>
      <c r="S29" s="34">
        <v>4</v>
      </c>
      <c r="T29" s="34">
        <v>4</v>
      </c>
      <c r="U29" s="34">
        <v>4</v>
      </c>
      <c r="V29" s="3"/>
      <c r="W29"/>
      <c r="X29">
        <f>X27-(X27-X28)*2</f>
        <v>17.500000000000007</v>
      </c>
      <c r="AB29" s="1"/>
      <c r="AC29"/>
    </row>
    <row r="30" spans="1:29" x14ac:dyDescent="0.45">
      <c r="A30" s="2" t="s">
        <v>59</v>
      </c>
      <c r="B30" s="98" cm="1">
        <f t="array" ref="B30">_xlfn.IFS(Opskrift!$G$7=$L$9,L26,Opskrift!$G$7=$M$9,M26,Opskrift!$G$7=$N$9,N26,Opskrift!$G$7=$P$9,P26,Opskrift!$G$7=$Q$9,Q26,Opskrift!$G$7=$K$9,K26,Opskrift!$G$7=$R$9,R26,Opskrift!$G$7=$S$9,S26,Opskrift!$G$7=$T$9,T26,Opskrift!$G$7=$U$9,U26,Opskrift!$G$7=$O$9,O26)</f>
        <v>0</v>
      </c>
      <c r="C30" t="s">
        <v>31</v>
      </c>
      <c r="E30" s="31" t="s">
        <v>34</v>
      </c>
      <c r="F30" s="35" t="s">
        <v>36</v>
      </c>
      <c r="G30" s="36"/>
      <c r="H30" s="36"/>
      <c r="I30" s="36"/>
      <c r="J30" s="37"/>
      <c r="K30" s="32">
        <v>15</v>
      </c>
      <c r="L30" s="32">
        <v>15</v>
      </c>
      <c r="M30" s="32">
        <v>15</v>
      </c>
      <c r="N30" s="32">
        <v>15</v>
      </c>
      <c r="O30" s="32">
        <v>15</v>
      </c>
      <c r="P30" s="32">
        <v>16</v>
      </c>
      <c r="Q30" s="33">
        <v>16</v>
      </c>
      <c r="R30" s="33">
        <v>16</v>
      </c>
      <c r="S30" s="33">
        <v>16</v>
      </c>
      <c r="T30" s="33">
        <v>16</v>
      </c>
      <c r="U30" s="33">
        <v>16</v>
      </c>
      <c r="V30" s="3"/>
      <c r="W30"/>
      <c r="AB30" s="1"/>
      <c r="AC30"/>
    </row>
    <row r="31" spans="1:29" x14ac:dyDescent="0.45">
      <c r="B31" s="24" t="s">
        <v>55</v>
      </c>
      <c r="C31" s="48"/>
      <c r="E31" s="31" t="s">
        <v>37</v>
      </c>
      <c r="F31" s="35" t="s">
        <v>38</v>
      </c>
      <c r="G31" s="36"/>
      <c r="H31" s="36"/>
      <c r="I31" s="36"/>
      <c r="J31" s="37"/>
      <c r="K31" s="32">
        <v>26.5</v>
      </c>
      <c r="L31" s="32">
        <v>29</v>
      </c>
      <c r="M31" s="32">
        <v>30</v>
      </c>
      <c r="N31" s="32">
        <v>30</v>
      </c>
      <c r="O31" s="32">
        <v>32</v>
      </c>
      <c r="P31" s="32">
        <v>35</v>
      </c>
      <c r="Q31" s="33">
        <v>38</v>
      </c>
      <c r="R31" s="33">
        <v>38</v>
      </c>
      <c r="S31" s="33">
        <v>38</v>
      </c>
      <c r="T31" s="33">
        <v>38</v>
      </c>
      <c r="U31" s="33">
        <v>38</v>
      </c>
      <c r="V31" s="3"/>
      <c r="W31"/>
      <c r="X31">
        <f>X30+Y29</f>
        <v>0</v>
      </c>
      <c r="Y31">
        <f>SUM(Y29:Y30)</f>
        <v>0</v>
      </c>
      <c r="AB31" s="1"/>
      <c r="AC31"/>
    </row>
    <row r="32" spans="1:29" x14ac:dyDescent="0.45">
      <c r="A32" s="2" t="s">
        <v>60</v>
      </c>
      <c r="B32" s="98" cm="1">
        <f t="array" ref="B32">_xlfn.IFS(Opskrift!$G$7=$L$9,L27,Opskrift!$G$7=$M$9,M27,Opskrift!$G$7=$N$9,N27,Opskrift!$G$7=$P$9,P27,Opskrift!$G$7=$Q$9,Q27,Opskrift!$G$7=$K$9,K27,Opskrift!$G$7=$R$9,R27,Opskrift!$G$7=$S$9,S27,Opskrift!$G$7=$T$9,T27,Opskrift!$G$7=$U$9,U27,Opskrift!$G$7=$O$9,O27)</f>
        <v>38</v>
      </c>
      <c r="C32" t="s">
        <v>30</v>
      </c>
      <c r="E32" s="31" t="s">
        <v>40</v>
      </c>
      <c r="F32" s="35" t="s">
        <v>39</v>
      </c>
      <c r="G32" s="36"/>
      <c r="H32" s="36"/>
      <c r="I32" s="36"/>
      <c r="J32" s="37"/>
      <c r="K32" s="32">
        <v>23.5</v>
      </c>
      <c r="L32" s="32">
        <v>25</v>
      </c>
      <c r="M32" s="34">
        <f>41.5-(M29+M21)</f>
        <v>26.5</v>
      </c>
      <c r="N32" s="34">
        <f>44-(N29+N21)</f>
        <v>28</v>
      </c>
      <c r="O32" s="34">
        <f>46.5-(O29+O21)</f>
        <v>29.5</v>
      </c>
      <c r="P32" s="34">
        <f>(Opskrift!G22-(Opskrift!G24+Opskrift!G19))*Mål!C7/10</f>
        <v>29.9</v>
      </c>
      <c r="Q32" s="34">
        <f>51.5-(Q29+Q21)</f>
        <v>33.5</v>
      </c>
      <c r="R32" s="34">
        <f>54-(R29+R21)</f>
        <v>35.5</v>
      </c>
      <c r="S32" s="34">
        <f>56.5-(S29+S21)</f>
        <v>37.5</v>
      </c>
      <c r="T32" s="34">
        <f>59-(T29+T21)</f>
        <v>39.5</v>
      </c>
      <c r="U32" s="34">
        <v>41.5</v>
      </c>
      <c r="V32" s="3"/>
      <c r="W32"/>
      <c r="AB32" s="1"/>
      <c r="AC32"/>
    </row>
    <row r="33" spans="1:29" x14ac:dyDescent="0.45">
      <c r="B33" s="24" t="s">
        <v>55</v>
      </c>
      <c r="E33" s="31" t="s">
        <v>41</v>
      </c>
      <c r="F33" s="35" t="s">
        <v>62</v>
      </c>
      <c r="G33" s="35"/>
      <c r="H33" s="35"/>
      <c r="I33" s="35"/>
      <c r="J33" s="35"/>
      <c r="K33" s="32">
        <v>1.5</v>
      </c>
      <c r="L33" s="32">
        <v>2</v>
      </c>
      <c r="M33" s="32">
        <v>2.5</v>
      </c>
      <c r="N33" s="32">
        <v>2.5</v>
      </c>
      <c r="O33" s="32">
        <v>3</v>
      </c>
      <c r="P33" s="32">
        <v>3</v>
      </c>
      <c r="Q33" s="32">
        <v>4</v>
      </c>
      <c r="R33" s="32">
        <v>4</v>
      </c>
      <c r="S33" s="32">
        <v>4</v>
      </c>
      <c r="T33" s="32">
        <v>4</v>
      </c>
      <c r="U33" s="32">
        <v>4</v>
      </c>
      <c r="V33" s="3"/>
      <c r="W33"/>
      <c r="AB33" s="1"/>
      <c r="AC33"/>
    </row>
    <row r="34" spans="1:29" x14ac:dyDescent="0.45">
      <c r="A34" s="2" t="s">
        <v>33</v>
      </c>
      <c r="B34" s="98" cm="1">
        <f t="array" ref="B34">_xlfn.IFS(Opskrift!$G$7=$L$9,L28,Opskrift!$G$7=$M$9,M28,Opskrift!$G$7=$N$9,N28,Opskrift!$G$7=$P$9,P28,Opskrift!$G$7=$Q$9,Q28,Opskrift!$G$7=$K$9,K28,Opskrift!$G$7=$R$9,R28,Opskrift!$G$7=$S$9,S28,Opskrift!$G$7=$T$9,T28,Opskrift!$G$7=$U$9,U28,Opskrift!$G$7=$O$9,O28)</f>
        <v>15</v>
      </c>
      <c r="C34" t="s">
        <v>35</v>
      </c>
      <c r="E34" s="31" t="s">
        <v>42</v>
      </c>
      <c r="F34" s="35" t="s">
        <v>67</v>
      </c>
      <c r="G34" s="35"/>
      <c r="H34" s="35"/>
      <c r="I34" s="35"/>
      <c r="J34" s="35"/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"/>
      <c r="W34"/>
      <c r="AB34" s="1"/>
      <c r="AC34"/>
    </row>
    <row r="35" spans="1:29" x14ac:dyDescent="0.45">
      <c r="A35" s="2" t="s">
        <v>46</v>
      </c>
      <c r="B35" s="98" cm="1">
        <f t="array" ref="B35">_xlfn.IFS(Opskrift!$G$7=$L$9,L29,Opskrift!$G$7=$M$9,M29,Opskrift!$G$7=$N$9,N29,Opskrift!$G$7=$P$9,P29,Opskrift!$G$7=$Q$9,Q29,Opskrift!$G$7=$K$9,K29,Opskrift!$G$7=$R$9,R29,Opskrift!$G$7=$S$9,S29,Opskrift!$G$7=$T$9,T29,Opskrift!$G$7=$U$9,U29,Opskrift!$G$7=$O$9,O29)</f>
        <v>4</v>
      </c>
      <c r="C35" t="s">
        <v>47</v>
      </c>
      <c r="E35" s="31" t="s">
        <v>43</v>
      </c>
      <c r="F35" s="35" t="s">
        <v>68</v>
      </c>
      <c r="G35" s="35"/>
      <c r="H35" s="35"/>
      <c r="I35" s="35"/>
      <c r="J35" s="35"/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"/>
      <c r="W35"/>
      <c r="AB35" s="1"/>
      <c r="AC35"/>
    </row>
    <row r="36" spans="1:29" ht="14.65" thickBot="1" x14ac:dyDescent="0.5">
      <c r="A36" s="2" t="s">
        <v>34</v>
      </c>
      <c r="B36" s="98" cm="1">
        <f t="array" ref="B36">_xlfn.IFS(Opskrift!$G$7=$L$9,L30,Opskrift!$G$7=$M$9,M30,Opskrift!$G$7=$N$9,N30,Opskrift!$G$7=$P$9,P30,Opskrift!$G$7=$Q$9,Q30,Opskrift!$G$7=$K$9,K30,Opskrift!$G$7=$R$9,R30,Opskrift!$G$7=$S$9,S30,Opskrift!$G$7=$T$9,T30,Opskrift!$G$7=$U$9,U30,Opskrift!$G$7=$O$9,O30)</f>
        <v>16</v>
      </c>
      <c r="C36" t="s">
        <v>36</v>
      </c>
      <c r="E36" s="31" t="s">
        <v>69</v>
      </c>
      <c r="F36" s="68" t="s">
        <v>44</v>
      </c>
      <c r="G36" s="69"/>
      <c r="H36" s="69"/>
      <c r="I36" s="69"/>
      <c r="J36" s="70"/>
      <c r="K36" s="32">
        <v>22</v>
      </c>
      <c r="L36" s="32">
        <v>24</v>
      </c>
      <c r="M36" s="32">
        <v>26</v>
      </c>
      <c r="N36" s="32">
        <v>28</v>
      </c>
      <c r="O36" s="32">
        <v>30</v>
      </c>
      <c r="P36" s="32">
        <v>32</v>
      </c>
      <c r="Q36" s="33">
        <v>34</v>
      </c>
      <c r="R36" s="33">
        <v>34</v>
      </c>
      <c r="S36" s="33">
        <v>34</v>
      </c>
      <c r="T36" s="33">
        <v>34</v>
      </c>
      <c r="U36" s="33">
        <v>34</v>
      </c>
      <c r="V36" s="3"/>
      <c r="W36"/>
      <c r="AB36" s="1"/>
      <c r="AC36"/>
    </row>
    <row r="37" spans="1:29" x14ac:dyDescent="0.45">
      <c r="A37" s="2" t="s">
        <v>37</v>
      </c>
      <c r="B37" s="98" cm="1">
        <f t="array" ref="B37">_xlfn.IFS(Opskrift!$G$7=$L$9,L31,Opskrift!$G$7=$M$9,M31,Opskrift!$G$7=$N$9,N31,Opskrift!$G$7=$P$9,P31,Opskrift!$G$7=$Q$9,Q31,Opskrift!$G$7=$K$9,K31,Opskrift!$G$7=$R$9,R31,Opskrift!$G$7=$S$9,S31,Opskrift!$G$7=$T$9,T31,Opskrift!$G$7=$U$9,U31,Opskrift!$G$7=$O$9,O31)</f>
        <v>38</v>
      </c>
      <c r="C37" t="s">
        <v>38</v>
      </c>
      <c r="L37" s="111" t="s">
        <v>185</v>
      </c>
      <c r="M37" s="112">
        <v>51.5</v>
      </c>
      <c r="N37" s="112">
        <v>52</v>
      </c>
      <c r="O37" s="112">
        <v>52.5</v>
      </c>
      <c r="P37" s="112">
        <v>53</v>
      </c>
      <c r="Q37" s="112">
        <v>53.5</v>
      </c>
      <c r="R37" s="112">
        <v>54</v>
      </c>
      <c r="S37" s="112">
        <v>54.5</v>
      </c>
      <c r="T37" s="112">
        <v>55</v>
      </c>
      <c r="U37" s="112">
        <v>55.5</v>
      </c>
      <c r="W37"/>
      <c r="AB37" s="1"/>
      <c r="AC37"/>
    </row>
    <row r="38" spans="1:29" x14ac:dyDescent="0.45">
      <c r="A38" s="2" t="s">
        <v>40</v>
      </c>
      <c r="B38" s="98" cm="1">
        <f t="array" ref="B38">_xlfn.IFS(Opskrift!$G$7=$L$9,L32,Opskrift!$G$7=$M$9,M32,Opskrift!$G$7=$N$9,N32,Opskrift!$G$7=$P$9,P32,Opskrift!$G$7=$Q$9,Q32,Opskrift!$G$7=$K$9,K32,Opskrift!$G$7=$R$9,R32,Opskrift!$G$7=$S$9,S32,Opskrift!$G$7=$T$9,T32,Opskrift!$G$7=$U$9,U32,Opskrift!$G$7=$O$9,O32)</f>
        <v>41.5</v>
      </c>
      <c r="C38" t="s">
        <v>39</v>
      </c>
      <c r="M38" s="113">
        <f t="shared" ref="M38:T38" si="1">(M37-M27)/M37</f>
        <v>0.35922330097087379</v>
      </c>
      <c r="N38" s="113">
        <f t="shared" si="1"/>
        <v>0.34615384615384615</v>
      </c>
      <c r="O38" s="113">
        <f t="shared" si="1"/>
        <v>0.33333333333333331</v>
      </c>
      <c r="P38" s="113">
        <f t="shared" si="1"/>
        <v>0.32075471698113206</v>
      </c>
      <c r="Q38" s="113">
        <f t="shared" si="1"/>
        <v>0.28971962616822428</v>
      </c>
      <c r="R38" s="113">
        <f t="shared" si="1"/>
        <v>0.29629629629629628</v>
      </c>
      <c r="S38" s="113">
        <f t="shared" si="1"/>
        <v>0.30275229357798167</v>
      </c>
      <c r="T38" s="113">
        <f t="shared" si="1"/>
        <v>0.30909090909090908</v>
      </c>
      <c r="U38" s="113">
        <f>(U37-U27)/U37</f>
        <v>0.31531531531531531</v>
      </c>
      <c r="V38" s="3"/>
      <c r="W38"/>
      <c r="AB38" s="1"/>
      <c r="AC38"/>
    </row>
    <row r="39" spans="1:29" x14ac:dyDescent="0.45">
      <c r="A39" s="9" t="s">
        <v>41</v>
      </c>
      <c r="B39" s="98" cm="1">
        <f t="array" ref="B39">_xlfn.IFS(Opskrift!$G$7=$L$9,L33,Opskrift!$G$7=$M$9,M33,Opskrift!$G$7=$N$9,N33,Opskrift!$G$7=$P$9,P33,Opskrift!$G$7=$Q$9,Q33,Opskrift!$G$7=$K$9,K33,Opskrift!$G$7=$R$9,R33,Opskrift!$G$7=$S$9,S33,Opskrift!$G$7=$T$9,T33,Opskrift!$G$7=$U$9,U33,Opskrift!$G$7=$O$9,O33)</f>
        <v>4</v>
      </c>
      <c r="C39" t="s">
        <v>62</v>
      </c>
      <c r="U39" s="12"/>
      <c r="V39" s="3"/>
      <c r="W39"/>
      <c r="AB39" s="1"/>
      <c r="AC39"/>
    </row>
    <row r="40" spans="1:29" x14ac:dyDescent="0.45">
      <c r="A40" s="9" t="s">
        <v>42</v>
      </c>
      <c r="B40" s="98" cm="1">
        <f t="array" ref="B40">_xlfn.IFS(Opskrift!$G$7=$L$9,L34,Opskrift!$G$7=$M$9,M34,Opskrift!$G$7=$N$9,N34,Opskrift!$G$7=$P$9,P34,Opskrift!$G$7=$Q$9,Q34,Opskrift!$G$7=$K$9,K34,Opskrift!$G$7=$R$9,R34,Opskrift!$G$7=$S$9,S34,Opskrift!$G$7=$T$9,T34,Opskrift!$G$7=$U$9,U34,Opskrift!$G$7=$O$9,O34)</f>
        <v>0</v>
      </c>
      <c r="C40" t="s">
        <v>67</v>
      </c>
      <c r="U40" s="12"/>
      <c r="V40" s="3"/>
      <c r="W40"/>
      <c r="AB40" s="1"/>
      <c r="AC40"/>
    </row>
    <row r="41" spans="1:29" x14ac:dyDescent="0.45">
      <c r="A41" s="9" t="s">
        <v>43</v>
      </c>
      <c r="B41" s="98" cm="1">
        <f t="array" ref="B41">_xlfn.IFS(Opskrift!$G$7=$L$9,L35,Opskrift!$G$7=$M$9,M35,Opskrift!$G$7=$N$9,N35,Opskrift!$G$7=$P$9,P35,Opskrift!$G$7=$Q$9,Q35,Opskrift!$G$7=$K$9,K35,Opskrift!$G$7=$R$9,R35,Opskrift!$G$7=$S$9,S35,Opskrift!$G$7=$T$9,T35,Opskrift!$G$7=$U$9,U35,Opskrift!$G$7=$O$9,O35)</f>
        <v>0</v>
      </c>
      <c r="C41" t="s">
        <v>68</v>
      </c>
      <c r="U41" s="12"/>
      <c r="V41" s="3"/>
      <c r="W41"/>
      <c r="AB41" s="1"/>
      <c r="AC41"/>
    </row>
    <row r="42" spans="1:29" x14ac:dyDescent="0.45">
      <c r="A42" s="2" t="s">
        <v>69</v>
      </c>
      <c r="B42" s="98" cm="1">
        <f t="array" ref="B42">_xlfn.IFS(Opskrift!$G$7=$L$9,L36,Opskrift!$G$7=$M$9,M36,Opskrift!$G$7=$N$9,N36,Opskrift!$G$7=$P$9,P36,Opskrift!$G$7=$Q$9,Q36,Opskrift!$G$7=$K$9,K36,Opskrift!$G$7=$R$9,R36,Opskrift!$G$7=$S$9,S36,Opskrift!$G$7=$T$9,T36,Opskrift!$G$7=$U$9,U36,Opskrift!$G$7=$O$9,O36)</f>
        <v>34</v>
      </c>
      <c r="C42" t="s">
        <v>44</v>
      </c>
      <c r="U42" s="12"/>
      <c r="V42" s="3"/>
      <c r="W42"/>
      <c r="AB42" s="1"/>
      <c r="AC42"/>
    </row>
    <row r="45" spans="1:29" x14ac:dyDescent="0.45">
      <c r="H45" s="26"/>
      <c r="I45" s="26"/>
      <c r="J45" s="26"/>
      <c r="K45" s="26"/>
      <c r="L45" s="26"/>
      <c r="M45" s="26"/>
      <c r="N45" s="26"/>
      <c r="O45" s="26"/>
    </row>
    <row r="46" spans="1:29" x14ac:dyDescent="0.45">
      <c r="H46" s="26"/>
      <c r="I46" s="26"/>
      <c r="J46" s="26"/>
      <c r="K46" s="26"/>
      <c r="L46" s="26"/>
      <c r="M46" s="26"/>
      <c r="N46" s="26"/>
      <c r="O46" s="26"/>
    </row>
    <row r="48" spans="1:29" ht="14.65" customHeight="1" x14ac:dyDescent="0.45"/>
    <row r="50" spans="22:29" x14ac:dyDescent="0.45">
      <c r="V50" s="3"/>
      <c r="W50"/>
    </row>
    <row r="51" spans="22:29" x14ac:dyDescent="0.45">
      <c r="V51" s="3"/>
      <c r="W51"/>
    </row>
    <row r="52" spans="22:29" x14ac:dyDescent="0.45">
      <c r="V52" s="3"/>
      <c r="W52"/>
    </row>
    <row r="53" spans="22:29" x14ac:dyDescent="0.45">
      <c r="V53" s="3"/>
      <c r="W53"/>
      <c r="AC53"/>
    </row>
    <row r="54" spans="22:29" x14ac:dyDescent="0.45">
      <c r="V54" s="3"/>
      <c r="W54"/>
      <c r="AC54"/>
    </row>
    <row r="55" spans="22:29" x14ac:dyDescent="0.45">
      <c r="V55" s="3"/>
      <c r="W55"/>
      <c r="AC55"/>
    </row>
    <row r="56" spans="22:29" x14ac:dyDescent="0.45">
      <c r="V56" s="3"/>
      <c r="W56"/>
      <c r="AC56"/>
    </row>
    <row r="57" spans="22:29" x14ac:dyDescent="0.45">
      <c r="V57" s="3"/>
      <c r="W57"/>
      <c r="AC57"/>
    </row>
    <row r="58" spans="22:29" x14ac:dyDescent="0.45">
      <c r="V58" s="3"/>
      <c r="W58"/>
      <c r="AC58"/>
    </row>
    <row r="59" spans="22:29" x14ac:dyDescent="0.45">
      <c r="V59" s="3"/>
      <c r="W59"/>
      <c r="AC59"/>
    </row>
    <row r="60" spans="22:29" x14ac:dyDescent="0.45">
      <c r="V60" s="3"/>
      <c r="W60"/>
      <c r="AC60"/>
    </row>
    <row r="61" spans="22:29" x14ac:dyDescent="0.45">
      <c r="V61" s="3"/>
      <c r="W61"/>
      <c r="AC61"/>
    </row>
    <row r="62" spans="22:29" x14ac:dyDescent="0.45">
      <c r="V62" s="3"/>
      <c r="W62"/>
      <c r="AC62"/>
    </row>
    <row r="63" spans="22:29" x14ac:dyDescent="0.45">
      <c r="V63" s="3"/>
      <c r="W63"/>
      <c r="AC63"/>
    </row>
    <row r="64" spans="22:29" x14ac:dyDescent="0.45">
      <c r="V64" s="3"/>
      <c r="W64"/>
      <c r="AC64"/>
    </row>
    <row r="65" spans="14:29" x14ac:dyDescent="0.45">
      <c r="V65" s="3"/>
      <c r="W65"/>
      <c r="AC65"/>
    </row>
    <row r="66" spans="14:29" x14ac:dyDescent="0.45">
      <c r="V66" s="3"/>
      <c r="W66"/>
      <c r="AC66"/>
    </row>
    <row r="67" spans="14:29" x14ac:dyDescent="0.45">
      <c r="V67" s="3"/>
      <c r="W67"/>
      <c r="AC67"/>
    </row>
    <row r="68" spans="14:29" x14ac:dyDescent="0.45">
      <c r="V68" s="3"/>
      <c r="W68"/>
      <c r="AC68"/>
    </row>
    <row r="69" spans="14:29" x14ac:dyDescent="0.45">
      <c r="V69" s="3"/>
      <c r="W69"/>
      <c r="AC69"/>
    </row>
    <row r="70" spans="14:29" x14ac:dyDescent="0.45">
      <c r="V70" s="3"/>
      <c r="W70"/>
      <c r="AC70"/>
    </row>
    <row r="71" spans="14:29" x14ac:dyDescent="0.45">
      <c r="V71" s="3"/>
      <c r="W71"/>
      <c r="AC71"/>
    </row>
    <row r="72" spans="14:29" x14ac:dyDescent="0.45">
      <c r="AC72"/>
    </row>
    <row r="73" spans="14:29" x14ac:dyDescent="0.45">
      <c r="AC73"/>
    </row>
    <row r="74" spans="14:29" x14ac:dyDescent="0.45">
      <c r="AC74"/>
    </row>
    <row r="75" spans="14:29" x14ac:dyDescent="0.45">
      <c r="Q75" s="28"/>
      <c r="R75" s="28"/>
      <c r="S75" s="28"/>
      <c r="T75" s="28"/>
      <c r="U75" s="28"/>
      <c r="AB75" s="1"/>
      <c r="AC75"/>
    </row>
    <row r="76" spans="14:29" x14ac:dyDescent="0.45">
      <c r="N76" s="1"/>
      <c r="P76" s="30"/>
      <c r="Q76" s="12"/>
      <c r="R76" s="12"/>
      <c r="S76" s="12"/>
      <c r="T76" s="12"/>
      <c r="U76" s="12"/>
      <c r="AB76" s="1"/>
      <c r="AC76"/>
    </row>
    <row r="77" spans="14:29" x14ac:dyDescent="0.45">
      <c r="N77" s="1"/>
      <c r="Q77" s="12"/>
      <c r="R77" s="12"/>
      <c r="S77" s="12"/>
      <c r="T77" s="12"/>
      <c r="U77" s="12"/>
      <c r="AB77" s="1"/>
      <c r="AC77"/>
    </row>
    <row r="78" spans="14:29" x14ac:dyDescent="0.45">
      <c r="N78" s="1"/>
      <c r="Q78" s="12"/>
      <c r="R78" s="12"/>
      <c r="S78" s="12"/>
      <c r="T78" s="12"/>
      <c r="U78" s="12"/>
      <c r="AB78" s="1"/>
      <c r="AC78"/>
    </row>
    <row r="79" spans="14:29" x14ac:dyDescent="0.45">
      <c r="N79" s="1"/>
      <c r="Q79" s="12"/>
      <c r="R79" s="12"/>
      <c r="S79" s="12"/>
      <c r="T79" s="12"/>
      <c r="U79" s="12"/>
      <c r="AB79" s="1"/>
      <c r="AC79"/>
    </row>
    <row r="80" spans="14:29" x14ac:dyDescent="0.45">
      <c r="N80" s="1"/>
      <c r="Q80" s="12"/>
      <c r="R80" s="12"/>
      <c r="S80" s="12"/>
      <c r="T80" s="12"/>
      <c r="U80" s="12"/>
      <c r="AB80" s="1"/>
      <c r="AC80"/>
    </row>
    <row r="81" spans="14:29" x14ac:dyDescent="0.45">
      <c r="N81" s="1"/>
      <c r="Q81" s="12"/>
      <c r="R81" s="12"/>
      <c r="S81" s="12"/>
      <c r="T81" s="12"/>
      <c r="U81" s="12"/>
      <c r="AB81" s="1"/>
      <c r="AC81"/>
    </row>
    <row r="82" spans="14:29" x14ac:dyDescent="0.45">
      <c r="N82" s="1"/>
      <c r="Q82" s="12"/>
      <c r="R82" s="12"/>
      <c r="S82" s="12"/>
      <c r="T82" s="12"/>
      <c r="U82" s="12"/>
      <c r="AB82" s="1"/>
      <c r="AC82"/>
    </row>
    <row r="83" spans="14:29" x14ac:dyDescent="0.45">
      <c r="N83" s="1"/>
      <c r="Q83" s="12"/>
      <c r="R83" s="12"/>
      <c r="S83" s="12"/>
      <c r="T83" s="12"/>
      <c r="U83" s="12"/>
      <c r="AB83" s="1"/>
      <c r="AC83"/>
    </row>
    <row r="84" spans="14:29" x14ac:dyDescent="0.45">
      <c r="N84" s="1"/>
      <c r="Q84" s="12"/>
      <c r="R84" s="12"/>
      <c r="S84" s="12"/>
      <c r="T84" s="12"/>
      <c r="U84" s="12"/>
      <c r="AB84" s="1"/>
      <c r="AC84"/>
    </row>
    <row r="85" spans="14:29" x14ac:dyDescent="0.45">
      <c r="N85" s="1"/>
      <c r="Q85" s="12"/>
      <c r="R85" s="12"/>
      <c r="S85" s="12"/>
      <c r="T85" s="12"/>
      <c r="U85" s="12"/>
      <c r="AB85" s="1"/>
      <c r="AC85"/>
    </row>
    <row r="86" spans="14:29" x14ac:dyDescent="0.45">
      <c r="N86" s="1"/>
      <c r="Q86" s="12"/>
      <c r="R86" s="12"/>
      <c r="S86" s="12"/>
      <c r="T86" s="12"/>
      <c r="U86" s="12"/>
      <c r="AB86" s="1"/>
      <c r="AC86"/>
    </row>
    <row r="87" spans="14:29" x14ac:dyDescent="0.45">
      <c r="Q87" s="12"/>
      <c r="R87" s="12"/>
      <c r="S87" s="12"/>
      <c r="T87" s="12"/>
      <c r="U87" s="12"/>
      <c r="AB87" s="1"/>
      <c r="AC87"/>
    </row>
    <row r="88" spans="14:29" x14ac:dyDescent="0.45">
      <c r="Q88" s="12"/>
      <c r="R88" s="12"/>
      <c r="S88" s="12"/>
      <c r="T88" s="12"/>
      <c r="U88" s="12"/>
      <c r="AB88" s="1"/>
      <c r="AC88"/>
    </row>
    <row r="89" spans="14:29" x14ac:dyDescent="0.45">
      <c r="Q89" s="12"/>
      <c r="R89" s="12"/>
      <c r="S89" s="12"/>
      <c r="T89" s="12"/>
      <c r="U89" s="12"/>
      <c r="AB89" s="1"/>
      <c r="AC89"/>
    </row>
    <row r="90" spans="14:29" x14ac:dyDescent="0.45">
      <c r="Q90" s="12"/>
      <c r="R90" s="12"/>
      <c r="S90" s="12"/>
      <c r="T90" s="12"/>
      <c r="U90" s="12"/>
      <c r="AB90" s="1"/>
      <c r="AC90"/>
    </row>
    <row r="91" spans="14:29" x14ac:dyDescent="0.45">
      <c r="Q91" s="12"/>
      <c r="R91" s="12"/>
      <c r="S91" s="12"/>
      <c r="T91" s="12"/>
      <c r="U91" s="12"/>
      <c r="AB91" s="1"/>
      <c r="AC91"/>
    </row>
    <row r="92" spans="14:29" x14ac:dyDescent="0.45">
      <c r="Q92" s="12"/>
      <c r="R92" s="12"/>
      <c r="S92" s="12"/>
      <c r="T92" s="12"/>
      <c r="U92" s="12"/>
      <c r="AB92" s="1"/>
      <c r="AC92"/>
    </row>
    <row r="93" spans="14:29" x14ac:dyDescent="0.45">
      <c r="Q93" s="12"/>
      <c r="R93" s="12"/>
      <c r="S93" s="12"/>
      <c r="T93" s="12"/>
      <c r="U93" s="12"/>
      <c r="AB93" s="1"/>
      <c r="AC93"/>
    </row>
    <row r="94" spans="14:29" x14ac:dyDescent="0.45">
      <c r="Q94" s="12"/>
      <c r="R94" s="12"/>
      <c r="S94" s="12"/>
      <c r="T94" s="12"/>
      <c r="U94" s="12"/>
      <c r="AB94" s="1"/>
      <c r="AC94"/>
    </row>
    <row r="95" spans="14:29" x14ac:dyDescent="0.45">
      <c r="Q95" s="12"/>
      <c r="R95" s="12"/>
      <c r="S95" s="12"/>
      <c r="T95" s="12"/>
      <c r="U95" s="12"/>
      <c r="AB95" s="1"/>
      <c r="AC95"/>
    </row>
    <row r="96" spans="14:29" x14ac:dyDescent="0.45">
      <c r="Q96" s="12"/>
      <c r="R96" s="12"/>
      <c r="S96" s="12"/>
      <c r="T96" s="12"/>
      <c r="U96" s="12"/>
      <c r="AB96" s="1"/>
      <c r="AC96"/>
    </row>
  </sheetData>
  <sheetProtection algorithmName="SHA-512" hashValue="dmdub710v2X/X6vO/zfWs5P8V3Nnpse3fyveEVJeFw4QOuAbZBN2fZKpBaSavozzo0TWZxA1aFsltDrTuvazdw==" saltValue="+0ZFaWuNIIe9wjZXmrYdCQ==" spinCount="100000" sheet="1" objects="1" scenarios="1"/>
  <phoneticPr fontId="2" type="noConversion"/>
  <conditionalFormatting sqref="M37">
    <cfRule type="expression" dxfId="6" priority="1">
      <formula>$G$7=$L$18</formula>
    </cfRule>
  </conditionalFormatting>
  <conditionalFormatting sqref="O37">
    <cfRule type="expression" dxfId="5" priority="2">
      <formula>$G$7=$N$18</formula>
    </cfRule>
  </conditionalFormatting>
  <conditionalFormatting sqref="P37">
    <cfRule type="expression" dxfId="4" priority="3">
      <formula>$G$7=$O$18</formula>
    </cfRule>
  </conditionalFormatting>
  <conditionalFormatting sqref="Q37">
    <cfRule type="expression" dxfId="3" priority="4">
      <formula>$G$7=$P$18</formula>
    </cfRule>
  </conditionalFormatting>
  <conditionalFormatting sqref="R37">
    <cfRule type="expression" dxfId="2" priority="5">
      <formula>$G$7=$Q$18</formula>
    </cfRule>
  </conditionalFormatting>
  <conditionalFormatting sqref="U37">
    <cfRule type="expression" dxfId="1" priority="6">
      <formula>$G$7=$T$18</formula>
    </cfRule>
  </conditionalFormatting>
  <conditionalFormatting sqref="T37">
    <cfRule type="expression" priority="7">
      <formula>$G$7=$S$18</formula>
    </cfRule>
  </conditionalFormatting>
  <conditionalFormatting sqref="S37">
    <cfRule type="expression" dxfId="0" priority="8">
      <formula>$G$7=$R$18</formula>
    </cfRule>
  </conditionalFormatting>
  <pageMargins left="0.25" right="0.25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Opskrift</vt:lpstr>
      <vt:lpstr>Mål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Pernille Bendsen</dc:creator>
  <cp:lastModifiedBy>Pernille Bendsen</cp:lastModifiedBy>
  <cp:lastPrinted>2021-05-08T13:39:02Z</cp:lastPrinted>
  <dcterms:created xsi:type="dcterms:W3CDTF">2021-01-30T10:58:03Z</dcterms:created>
  <dcterms:modified xsi:type="dcterms:W3CDTF">2021-05-20T14:44:03Z</dcterms:modified>
</cp:coreProperties>
</file>