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d.docs.live.net/6e2af659dd60247f/Dokumenter/"/>
    </mc:Choice>
  </mc:AlternateContent>
  <xr:revisionPtr revIDLastSave="93" documentId="8_{6F22BCB6-0CAE-4CAC-9759-612D6CB37704}" xr6:coauthVersionLast="46" xr6:coauthVersionMax="46" xr10:uidLastSave="{EF9501FE-6D0A-4656-A1D7-54A34C1C1E9C}"/>
  <workbookProtection workbookAlgorithmName="SHA-512" workbookHashValue="B9mMbGi9lqQsN+KuhSL/X7UmfPwyBP2luithPPo56Qx0n5ALVGCMMAMFJKuWoVw1BHQgcscAEcJsADhvKG1R8g==" workbookSaltValue="uI+C+Cqz0HtzGIOKR3sMQw==" workbookSpinCount="100000" lockStructure="1"/>
  <bookViews>
    <workbookView xWindow="-25320" yWindow="-120" windowWidth="25440" windowHeight="15390" xr2:uid="{DAFE0112-A54E-4134-83A4-ED4D63F5AAF3}"/>
  </bookViews>
  <sheets>
    <sheet name="Opskrift" sheetId="1" r:id="rId1"/>
    <sheet name="Mål"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a="1"/>
  <c r="F6" i="3" s="1"/>
  <c r="B28" i="3" l="1" a="1"/>
  <c r="B28" i="3" s="1"/>
  <c r="G42" i="1" s="1"/>
  <c r="R24" i="1" s="1"/>
  <c r="R56" i="1" s="1"/>
  <c r="C7" i="3"/>
  <c r="C6" i="3"/>
  <c r="C4" i="3"/>
  <c r="C3" i="3"/>
  <c r="B41" i="3" a="1"/>
  <c r="B41" i="3" s="1"/>
  <c r="G65" i="1" s="1"/>
  <c r="B40" i="3" a="1"/>
  <c r="B40" i="3" s="1"/>
  <c r="G64" i="1" s="1"/>
  <c r="B39" i="3" a="1"/>
  <c r="B39" i="3" s="1"/>
  <c r="G63" i="1" s="1"/>
  <c r="B38" i="3" a="1"/>
  <c r="B38" i="3" s="1"/>
  <c r="G62" i="1" s="1"/>
  <c r="B37" i="3" a="1"/>
  <c r="B37" i="3" s="1"/>
  <c r="G60" i="1" s="1"/>
  <c r="B36" i="3" a="1"/>
  <c r="B36" i="3" s="1"/>
  <c r="B35" i="3" a="1"/>
  <c r="B35" i="3" s="1"/>
  <c r="G58" i="1" s="1"/>
  <c r="R39" i="1" s="1"/>
  <c r="S39" i="1" s="1"/>
  <c r="B34" i="3" a="1"/>
  <c r="B34" i="3" s="1"/>
  <c r="G57" i="1" s="1"/>
  <c r="R38" i="1" s="1"/>
  <c r="B32" i="3" a="1"/>
  <c r="B32" i="3" s="1"/>
  <c r="G47" i="1" s="1"/>
  <c r="B30" i="3" a="1"/>
  <c r="B30" i="3" s="1"/>
  <c r="G44" i="1" s="1"/>
  <c r="B29" i="3" a="1"/>
  <c r="B29" i="3" s="1"/>
  <c r="G43" i="1" s="1"/>
  <c r="B27" i="3" a="1"/>
  <c r="B27" i="3" s="1"/>
  <c r="G41" i="1" s="1"/>
  <c r="B26" i="3" a="1"/>
  <c r="B26" i="3" s="1"/>
  <c r="G40" i="1" s="1"/>
  <c r="B25" i="3" a="1"/>
  <c r="B25" i="3" s="1"/>
  <c r="G39" i="1" s="1"/>
  <c r="B24" i="3" a="1"/>
  <c r="B24" i="3" s="1"/>
  <c r="G38" i="1" s="1"/>
  <c r="B23" i="3" a="1"/>
  <c r="B23" i="3" s="1"/>
  <c r="G37" i="1" s="1"/>
  <c r="R20" i="1" s="1"/>
  <c r="B22" i="3" a="1"/>
  <c r="B22" i="3" s="1"/>
  <c r="G36" i="1" s="1"/>
  <c r="B19" i="3" a="1"/>
  <c r="B19" i="3" s="1"/>
  <c r="G30" i="1" s="1"/>
  <c r="B18" i="3" a="1"/>
  <c r="B18" i="3" s="1"/>
  <c r="G29" i="1" s="1"/>
  <c r="R11" i="1" s="1"/>
  <c r="B16" i="3" a="1"/>
  <c r="B16" i="3" s="1"/>
  <c r="G25" i="1" s="1"/>
  <c r="R22" i="1" s="1"/>
  <c r="B15" i="3" a="1"/>
  <c r="B15" i="3" s="1"/>
  <c r="G24" i="1" s="1"/>
  <c r="B14" i="3" a="1"/>
  <c r="B14" i="3" s="1"/>
  <c r="G23" i="1" s="1"/>
  <c r="R8" i="1" s="1"/>
  <c r="F5" i="3" a="1"/>
  <c r="F5" i="3" s="1"/>
  <c r="F4" i="3" a="1"/>
  <c r="F4" i="3" s="1"/>
  <c r="B20" i="3" s="1"/>
  <c r="G31" i="1" s="1"/>
  <c r="R26" i="1" l="1"/>
  <c r="R27" i="1"/>
  <c r="R30" i="1"/>
  <c r="R31" i="1"/>
  <c r="S31" i="1" s="1"/>
  <c r="R15" i="1"/>
  <c r="G33" i="1"/>
  <c r="V14" i="3"/>
  <c r="R19" i="1"/>
  <c r="X12" i="3"/>
  <c r="G59" i="1"/>
  <c r="V16" i="3" s="1"/>
  <c r="B17" i="3"/>
  <c r="G26" i="1" s="1"/>
  <c r="G11" i="1"/>
  <c r="G10" i="1"/>
  <c r="S38" i="1"/>
  <c r="R9" i="1"/>
  <c r="S9" i="1" s="1"/>
  <c r="R16" i="1" s="1"/>
  <c r="B42" i="3" l="1"/>
  <c r="G66" i="1" s="1"/>
  <c r="G12" i="1"/>
  <c r="S26" i="1"/>
  <c r="R41" i="1"/>
  <c r="R40" i="1" s="1"/>
  <c r="S40" i="1" s="1"/>
  <c r="R48" i="1"/>
  <c r="S48" i="1" s="1"/>
  <c r="S30" i="1"/>
  <c r="S20" i="1"/>
  <c r="S22" i="1"/>
  <c r="R28" i="1" l="1"/>
  <c r="S28" i="1" s="1"/>
  <c r="G27" i="1" s="1"/>
  <c r="R55" i="1"/>
  <c r="S41" i="1"/>
  <c r="R42" i="1" s="1"/>
  <c r="R50" i="1"/>
  <c r="S50" i="1" s="1"/>
  <c r="R47" i="1"/>
  <c r="S47" i="1" s="1"/>
  <c r="R49" i="1"/>
  <c r="S49" i="1" s="1"/>
  <c r="R21" i="1"/>
  <c r="S21" i="1" s="1"/>
  <c r="S19" i="1"/>
  <c r="R46" i="1"/>
  <c r="S46" i="1" s="1"/>
  <c r="R29" i="1"/>
  <c r="S29" i="1" s="1"/>
  <c r="G28" i="1" s="1"/>
  <c r="S24" i="1"/>
  <c r="R44" i="1" l="1"/>
  <c r="S56" i="1"/>
  <c r="S16" i="1"/>
  <c r="S42" i="1" l="1"/>
  <c r="R35" i="1"/>
  <c r="R54" i="1" s="1"/>
  <c r="S54" i="1" l="1"/>
  <c r="S35" i="1"/>
  <c r="S11" i="1"/>
  <c r="S44" i="1"/>
  <c r="S45" i="1" s="1"/>
  <c r="G61" i="1" s="1"/>
  <c r="Z12" i="3" s="1"/>
  <c r="G51" i="1" s="1"/>
  <c r="R43" i="1"/>
  <c r="S43" i="1" s="1"/>
  <c r="S55" i="1"/>
  <c r="R14" i="1" l="1"/>
  <c r="S14" i="1" s="1"/>
  <c r="S15" i="1" s="1"/>
  <c r="G32" i="1" s="1"/>
  <c r="R12" i="1"/>
  <c r="S8" i="1"/>
  <c r="R10" i="1" s="1"/>
  <c r="S57" i="1"/>
  <c r="G48" i="1"/>
  <c r="R45" i="1"/>
  <c r="R51" i="1"/>
  <c r="S51" i="1"/>
  <c r="Y12" i="3" s="1"/>
  <c r="R13" i="1" l="1"/>
  <c r="H51" i="1"/>
  <c r="S10" i="1" l="1"/>
  <c r="T10" i="1"/>
  <c r="R32" i="1"/>
  <c r="S32" i="1" s="1"/>
  <c r="U7" i="3" s="1"/>
  <c r="V7" i="3" s="1"/>
  <c r="H15" i="1" s="1"/>
  <c r="S13" i="1"/>
  <c r="S12" i="1"/>
  <c r="G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Pernille Bendsen</author>
  </authors>
  <commentList>
    <comment ref="C10" authorId="0" shapeId="0" xr:uid="{E9EDE954-62FC-4EDD-83A4-30C5E770F4E6}">
      <text>
        <r>
          <rPr>
            <b/>
            <sz val="9"/>
            <color indexed="81"/>
            <rFont val="Tahoma"/>
            <charset val="1"/>
          </rPr>
          <t>Pernille Bendsen:</t>
        </r>
        <r>
          <rPr>
            <sz val="9"/>
            <color indexed="81"/>
            <rFont val="Tahoma"/>
            <charset val="1"/>
          </rPr>
          <t xml:space="preserve">
Denne opskrift er tilpasset et mave og ryg stykke med tætte snoninger og struktur mønster på ærmer og siden fra krop. Hvis du har snoninger blandet ens over hele blusen skal de to strikkefastheder være ens.</t>
        </r>
      </text>
    </comment>
    <comment ref="S11" authorId="0" shapeId="0" xr:uid="{F81BCD0B-03DC-450A-AF5A-ECA66560015C}">
      <text>
        <r>
          <rPr>
            <b/>
            <sz val="9"/>
            <color indexed="81"/>
            <rFont val="Tahoma"/>
            <charset val="1"/>
          </rPr>
          <t>Pernille Bendsen:</t>
        </r>
        <r>
          <rPr>
            <sz val="9"/>
            <color indexed="81"/>
            <rFont val="Tahoma"/>
            <charset val="1"/>
          </rPr>
          <t xml:space="preserve">
Hvis masketallet her antal afviger lidt fra det fra det optimale med hensyn til snoningerne, så kan du godt tilpasse med 1-3 masker og for opskriften opdateres med det samme.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<sst xmlns="http://schemas.openxmlformats.org/spreadsheetml/2006/main" count="331" uniqueCount="165">
  <si>
    <t>Mål A</t>
  </si>
  <si>
    <t>Masker</t>
  </si>
  <si>
    <t>pinde = 10cm</t>
  </si>
  <si>
    <t>masker = 10cm</t>
  </si>
  <si>
    <t>Strikkefasthed kanter</t>
  </si>
  <si>
    <t>Strikkefasthed mønster</t>
  </si>
  <si>
    <t>Antal masker til for og bagstykke</t>
  </si>
  <si>
    <t>Mål B</t>
  </si>
  <si>
    <t>Mål B1</t>
  </si>
  <si>
    <t>Mål B2</t>
  </si>
  <si>
    <t>Strik til mønster stykket måler</t>
  </si>
  <si>
    <t>cm</t>
  </si>
  <si>
    <t>pinde før udtagninger begyndes</t>
  </si>
  <si>
    <t>masker ud på første pind</t>
  </si>
  <si>
    <t xml:space="preserve">Tag 1 maske ud i hver side på hver </t>
  </si>
  <si>
    <t>pind</t>
  </si>
  <si>
    <t>cm eller ønsket længde</t>
  </si>
  <si>
    <t>I alt udtages</t>
  </si>
  <si>
    <t>masker i hver side</t>
  </si>
  <si>
    <t xml:space="preserve">Til i alt </t>
  </si>
  <si>
    <t>masker</t>
  </si>
  <si>
    <t>Ærmegab</t>
  </si>
  <si>
    <t>Mål C</t>
  </si>
  <si>
    <t>Mål D</t>
  </si>
  <si>
    <t>Mål E</t>
  </si>
  <si>
    <t>Mål F</t>
  </si>
  <si>
    <t>Mål G</t>
  </si>
  <si>
    <t>Mål H</t>
  </si>
  <si>
    <t>Mål I</t>
  </si>
  <si>
    <t>Mål J</t>
  </si>
  <si>
    <t>Mål K</t>
  </si>
  <si>
    <t>Mål L</t>
  </si>
  <si>
    <t>Luk i hver side</t>
  </si>
  <si>
    <t>nu lukkes eller strikkes samme i hver side 1 maske på hver</t>
  </si>
  <si>
    <t xml:space="preserve">i alt </t>
  </si>
  <si>
    <t>gange</t>
  </si>
  <si>
    <t>Mål A1</t>
  </si>
  <si>
    <t xml:space="preserve">strik til arbejdet måler </t>
  </si>
  <si>
    <t>Brede af nederste kant</t>
  </si>
  <si>
    <t>Brede af nederst på mønster</t>
  </si>
  <si>
    <t>Brede bluse lige inden ærmegab</t>
  </si>
  <si>
    <t>Fra øverst på kant til ærmegab</t>
  </si>
  <si>
    <t>Brede af skulderstykke</t>
  </si>
  <si>
    <t>Brede af skrå halsstykke</t>
  </si>
  <si>
    <t>Lige stykke midt på hals</t>
  </si>
  <si>
    <t>Halsudskæring hele vejen rundt</t>
  </si>
  <si>
    <t>højde af skrå halsstykke</t>
  </si>
  <si>
    <t>Sæt de midterste</t>
  </si>
  <si>
    <t>Strik hver skulder for sig</t>
  </si>
  <si>
    <t xml:space="preserve">Luk på halssiden afskulderen </t>
  </si>
  <si>
    <t>masker på hver anden pind</t>
  </si>
  <si>
    <t xml:space="preserve">Samtidigt når ærmegabet måler </t>
  </si>
  <si>
    <t>lukkes skulderen fra ærmesiden med</t>
  </si>
  <si>
    <t>Kontrol masketælling</t>
  </si>
  <si>
    <t>Mål a</t>
  </si>
  <si>
    <t>Mål b</t>
  </si>
  <si>
    <t>Brede af nederste kant ærme</t>
  </si>
  <si>
    <t>Brede af nederst ærme mønster</t>
  </si>
  <si>
    <t>Mål c</t>
  </si>
  <si>
    <t>Brede af ærme inden ærmegab</t>
  </si>
  <si>
    <t>længde af ærme fra øverst på kant til ærmegab</t>
  </si>
  <si>
    <t>Antal masker til kant på for og bagstykke</t>
  </si>
  <si>
    <t>Antal masker til kant på ærme</t>
  </si>
  <si>
    <t>Antal masker nederst på ærme</t>
  </si>
  <si>
    <t>Mål d</t>
  </si>
  <si>
    <t>Mål e</t>
  </si>
  <si>
    <t>Mål f</t>
  </si>
  <si>
    <t>Mål g</t>
  </si>
  <si>
    <t>Total længde af ærme</t>
  </si>
  <si>
    <t>Luk de resterende masker</t>
  </si>
  <si>
    <t>halsmasker på hjælpepind</t>
  </si>
  <si>
    <t>Udfra afrundede masketal</t>
  </si>
  <si>
    <t>resterende masker på en hjælpepind</t>
  </si>
  <si>
    <t>Hals</t>
  </si>
  <si>
    <t xml:space="preserve">Strik de </t>
  </si>
  <si>
    <t>og</t>
  </si>
  <si>
    <t>på hver af siderne på halsen</t>
  </si>
  <si>
    <t>Kontrol måling af ærmegab</t>
  </si>
  <si>
    <t>Mål a1</t>
  </si>
  <si>
    <t>Længe af ærmekant</t>
  </si>
  <si>
    <t>L13&gt;0</t>
  </si>
  <si>
    <t>L13=0</t>
  </si>
  <si>
    <t>Mønsteret er perfekt</t>
  </si>
  <si>
    <t>L13&lt;0</t>
  </si>
  <si>
    <t>Højde nederste kant</t>
  </si>
  <si>
    <t>Mål fra nedeste kant til hals starter</t>
  </si>
  <si>
    <t>Mål fra nedeste kant til højeste punkt til skulder</t>
  </si>
  <si>
    <t>Mål i cm</t>
  </si>
  <si>
    <t>Mål C1</t>
  </si>
  <si>
    <t>Udfra afrundede masketal (max variation 1cm)</t>
  </si>
  <si>
    <t>Beregnet (max variation 1cm)</t>
  </si>
  <si>
    <t>Kontrol, skal være mindre end B1</t>
  </si>
  <si>
    <t>Kontrol, skal være ca. = B1 (max variation 1cm)</t>
  </si>
  <si>
    <t>Step 1</t>
  </si>
  <si>
    <t>Step 2</t>
  </si>
  <si>
    <t>Mål M</t>
  </si>
  <si>
    <t>Mål N</t>
  </si>
  <si>
    <t>Højde af hele ærmegab</t>
  </si>
  <si>
    <t>Lige lukning til ærmegab (kan godt være 0)</t>
  </si>
  <si>
    <t>Brede af skrå del af ærmegab (kan godt være 0)</t>
  </si>
  <si>
    <t>Højde af skrå del af ærmegab (kan godt være 0)</t>
  </si>
  <si>
    <t>Højde af skulderstykke (kan godt være 0)</t>
  </si>
  <si>
    <t>Step 3</t>
  </si>
  <si>
    <t>brede af skrå del af ærmegab (kan godt være 0)</t>
  </si>
  <si>
    <t>højde af skrå del af ærmegab (kan godt være 0)</t>
  </si>
  <si>
    <t>Mål h</t>
  </si>
  <si>
    <t>masker for lidt i mønsteret over hals og skulder som skal fordeles, det kan være på den lige del af halsstykket hvis det er vigtigt at hals uskæringen er bred eller på skulder aflukningen</t>
  </si>
  <si>
    <t>Afrundet antal masker</t>
  </si>
  <si>
    <t>Her har du så din personlige strikkeopskrift. Du skal strikke efter "Afrundet antal masker" og hvis du justerer i antal masker farves feltet blå så du ved du har justeret</t>
  </si>
  <si>
    <t xml:space="preserve">Nu skrikkes </t>
  </si>
  <si>
    <t>Nu lukkes eller strikkes sammen i hver side 1 maske på hver</t>
  </si>
  <si>
    <t>masker for meget i mønsteret over hals og skulder som skal fordeles, det kan være på den lige del af halsstykket hvis det er vigtigt at hals uskæringen er bred eller på skulder aflukningen</t>
  </si>
  <si>
    <t>Ærmegabsindtagninger fortsættes imens</t>
  </si>
  <si>
    <t xml:space="preserve">Pernille Bendsen Strikkeopskrift - © pernillesstrik.dk </t>
  </si>
  <si>
    <t>Halsudskæring cm ud fra afrundede masketal</t>
  </si>
  <si>
    <t>og saml maskerne fra midt hals</t>
  </si>
  <si>
    <t>I alt</t>
  </si>
  <si>
    <t>Antal masker nederst krop</t>
  </si>
  <si>
    <t>masker på hverside</t>
  </si>
  <si>
    <t xml:space="preserve">til slut lukkes de sidste </t>
  </si>
  <si>
    <t xml:space="preserve">luk derefter på halssiden afskulderen </t>
  </si>
  <si>
    <t>maske på hver anden pind</t>
  </si>
  <si>
    <t>Strik til halsen har den ønskede længde</t>
  </si>
  <si>
    <t>Antal masker nederst ærme</t>
  </si>
  <si>
    <t>cm er ærmeskulders omkreds større end ærmegab, ca. 2 cm kan justeres når du syr blusen sammen. 
Er der større forkel skal du overveje dine mål eller om der er en slags læg på skulderen.</t>
  </si>
  <si>
    <t>cm er ærmeskulders omkreds mindre end ærmegab, ikke mere end 2 cm kan justeres når du syr blusen sammen. 
Overvej at gøre ærmet lidt bredere eller ærmegabet lidt mindre højt.</t>
  </si>
  <si>
    <t>Vælg størrelse</t>
  </si>
  <si>
    <t>2-3 år</t>
  </si>
  <si>
    <t>3-4 år</t>
  </si>
  <si>
    <t>4-5 år</t>
  </si>
  <si>
    <t>5-6 år</t>
  </si>
  <si>
    <t>6-7 år</t>
  </si>
  <si>
    <t>7-8 år</t>
  </si>
  <si>
    <t>1-2 år</t>
  </si>
  <si>
    <t>Fra nederste kant til ærmegab</t>
  </si>
  <si>
    <t>Her er de vigtigste mål du skal tjekke:</t>
  </si>
  <si>
    <t>Her er alle mål og nogle kontrol beregninger:</t>
  </si>
  <si>
    <t>cm eller ønsket længde mellem kant og ærmegab</t>
  </si>
  <si>
    <t>Når kanten måler</t>
  </si>
  <si>
    <t>Skift til mønsterpinde og tag</t>
  </si>
  <si>
    <t>Ryg</t>
  </si>
  <si>
    <t>Begynder du at justerer mål skal du tjekker alle kontolfelter</t>
  </si>
  <si>
    <t>Du skal vælge den rigtige størrelse og tjekke de 3 vigtigste mål. 
Alle mål er fleksible og kan justeres, hvis du har specifikke ønsker.</t>
  </si>
  <si>
    <t>masker fra nakken</t>
  </si>
  <si>
    <t>strik</t>
  </si>
  <si>
    <t xml:space="preserve">cm </t>
  </si>
  <si>
    <t>skift til mønsterpinde og tag</t>
  </si>
  <si>
    <t>mens der lukkes til hals</t>
  </si>
  <si>
    <t xml:space="preserve">Sæt i stedet de </t>
  </si>
  <si>
    <t>Strik som forstykke dog uden at lukke af til hals</t>
  </si>
  <si>
    <t>Du skal måle din strikkefasthed for den kantstik (blå felt) og det mønster (grøn felt) du ønsker at strikke.</t>
  </si>
  <si>
    <t>Begynder du at justerer mål skal du tjekke kontolfelterne</t>
  </si>
  <si>
    <t>Strik til arbejdet måler</t>
  </si>
  <si>
    <t>Total mål til hals starter</t>
  </si>
  <si>
    <t>Total mål til højeste punkt til skulder</t>
  </si>
  <si>
    <t>totalt antal masker</t>
  </si>
  <si>
    <t>masker på skulderen</t>
  </si>
  <si>
    <t>kant</t>
  </si>
  <si>
    <r>
      <t xml:space="preserve">masker </t>
    </r>
    <r>
      <rPr>
        <b/>
        <sz val="11"/>
        <color theme="1"/>
        <rFont val="Calibri"/>
        <family val="2"/>
        <scheme val="minor"/>
      </rPr>
      <t>ind</t>
    </r>
    <r>
      <rPr>
        <sz val="11"/>
        <color theme="1"/>
        <rFont val="Calibri"/>
        <family val="2"/>
        <scheme val="minor"/>
      </rPr>
      <t xml:space="preserve"> på første pind</t>
    </r>
  </si>
  <si>
    <t>Brede af skrå del af ærmegab (er 0 ved instiks ærmegab)</t>
  </si>
  <si>
    <t>Højde af skrå del af ærmegab (er 0 ved instiks ærmegab)</t>
  </si>
  <si>
    <t>Strikkefasthed m. tætte snoninger midt mave</t>
  </si>
  <si>
    <r>
      <t xml:space="preserve">masker </t>
    </r>
    <r>
      <rPr>
        <b/>
        <sz val="11"/>
        <color theme="1"/>
        <rFont val="Calibri"/>
        <family val="2"/>
        <scheme val="minor"/>
      </rPr>
      <t>ud</t>
    </r>
    <r>
      <rPr>
        <sz val="11"/>
        <color theme="1"/>
        <rFont val="Calibri"/>
        <family val="2"/>
        <scheme val="minor"/>
      </rPr>
      <t xml:space="preserve"> midt hvor det tætte mønster skal strikkes</t>
    </r>
  </si>
  <si>
    <t xml:space="preserve">Strik til hele arbejdet måler </t>
  </si>
  <si>
    <t>Masketal der skal passe til snoningsmønster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</si>
</sst>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b/>
      <sz val="11"/>
      <color theme="1"/>
      <name val="Calibri"/>
      <family val="2"/>
      <scheme val="minor"/>
    </font>
    <font>
      <sz val="8"/>
      <name val="Calibri"/>
      <family val="2"/>
      <scheme val="minor"/>
    </font>
    <font>
      <sz val="11"/>
      <color theme="0" tint="-0.249977111117893"/>
      <name val="Calibri"/>
      <family val="2"/>
      <scheme val="minor"/>
    </font>
    <font>
      <b/>
      <sz val="18"/>
      <color theme="1"/>
      <name val="Calibri"/>
      <family val="2"/>
      <scheme val="minor"/>
    </font>
    <font>
      <b/>
      <sz val="11"/>
      <color theme="0" tint="-0.249977111117893"/>
      <name val="Calibri"/>
      <family val="2"/>
      <scheme val="minor"/>
    </font>
    <font>
      <i/>
      <sz val="11"/>
      <color theme="1"/>
      <name val="Calibri"/>
      <family val="2"/>
      <scheme val="minor"/>
    </font>
    <font>
      <b/>
      <sz val="12"/>
      <color theme="1"/>
      <name val="Calibri"/>
      <family val="2"/>
      <scheme val="minor"/>
    </font>
    <font>
      <b/>
      <sz val="11"/>
      <color rgb="FF002060"/>
      <name val="Calibri"/>
      <family val="2"/>
      <scheme val="minor"/>
    </font>
    <font>
      <sz val="9"/>
      <color indexed="81"/>
      <name val="Tahoma"/>
      <charset val="1"/>
    </font>
    <font>
      <b/>
      <sz val="9"/>
      <color indexed="81"/>
      <name val="Tahoma"/>
      <charset val="1"/>
    </font>
  </fonts>
  <fills count="6">
    <fill>
      <patternFill patternType="none"/>
    </fill>
    <fill>
      <patternFill patternType="gray125"/>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6" tint="0.59999389629810485"/>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107">
    <xf numFmtId="0" fontId="0" fillId="0" borderId="0" xfId="0"/>
    <xf numFmtId="0" fontId="0" fillId="0" borderId="0" xfId="0" applyAlignment="1">
      <alignment horizontal="right"/>
    </xf>
    <xf numFmtId="0" fontId="1" fillId="0" borderId="0" xfId="0" applyFont="1" applyAlignment="1">
      <alignment horizontal="right"/>
    </xf>
    <xf numFmtId="0" fontId="0" fillId="0" borderId="0" xfId="0" applyAlignment="1">
      <alignment horizontal="center"/>
    </xf>
    <xf numFmtId="164" fontId="0" fillId="0" borderId="0" xfId="0" applyNumberFormat="1" applyAlignment="1">
      <alignment horizontal="center"/>
    </xf>
    <xf numFmtId="0" fontId="1" fillId="0" borderId="0" xfId="0" applyFont="1" applyAlignment="1">
      <alignment horizontal="center"/>
    </xf>
    <xf numFmtId="164" fontId="0" fillId="5" borderId="1" xfId="0" applyNumberFormat="1" applyFill="1" applyBorder="1"/>
    <xf numFmtId="0" fontId="3" fillId="0" borderId="0" xfId="0" applyFont="1" applyAlignment="1">
      <alignment horizontal="right"/>
    </xf>
    <xf numFmtId="0" fontId="4" fillId="0" borderId="0" xfId="0" applyFont="1"/>
    <xf numFmtId="0" fontId="0" fillId="0" borderId="0" xfId="0" applyBorder="1" applyAlignment="1">
      <alignment horizontal="left" wrapText="1"/>
    </xf>
    <xf numFmtId="0" fontId="0" fillId="0" borderId="0" xfId="0" applyBorder="1" applyAlignment="1">
      <alignment horizontal="left" vertical="top" wrapText="1"/>
    </xf>
    <xf numFmtId="0" fontId="0" fillId="0" borderId="0" xfId="0" applyFont="1" applyAlignment="1">
      <alignment horizontal="right"/>
    </xf>
    <xf numFmtId="164" fontId="0" fillId="0" borderId="1" xfId="0" applyNumberFormat="1" applyBorder="1" applyAlignment="1">
      <alignment horizontal="center"/>
    </xf>
    <xf numFmtId="0" fontId="3" fillId="0" borderId="0" xfId="0" applyFont="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2" fontId="3" fillId="0" borderId="0" xfId="0" applyNumberFormat="1" applyFont="1" applyAlignment="1" applyProtection="1">
      <alignment horizontal="center"/>
      <protection locked="0"/>
    </xf>
    <xf numFmtId="1" fontId="3" fillId="0" borderId="0" xfId="0" applyNumberFormat="1" applyFont="1" applyAlignment="1" applyProtection="1">
      <alignment horizontal="center"/>
      <protection locked="0"/>
    </xf>
    <xf numFmtId="0" fontId="6" fillId="0" borderId="0" xfId="0" applyFont="1"/>
    <xf numFmtId="1" fontId="0" fillId="4" borderId="1" xfId="0" applyNumberFormat="1" applyFill="1" applyBorder="1" applyAlignment="1">
      <alignment horizontal="center"/>
    </xf>
    <xf numFmtId="1" fontId="0" fillId="0" borderId="0" xfId="0" applyNumberFormat="1"/>
    <xf numFmtId="0" fontId="0" fillId="0" borderId="0" xfId="0" applyBorder="1" applyAlignment="1">
      <alignment vertical="center" wrapText="1"/>
    </xf>
    <xf numFmtId="0" fontId="0" fillId="0" borderId="0" xfId="0" applyAlignment="1">
      <alignment horizontal="center" vertical="center"/>
    </xf>
    <xf numFmtId="0" fontId="0" fillId="0" borderId="0" xfId="0" applyFill="1" applyAlignment="1">
      <alignment horizontal="center"/>
    </xf>
    <xf numFmtId="1" fontId="0" fillId="0" borderId="0" xfId="0" applyNumberFormat="1" applyFill="1" applyAlignment="1">
      <alignment horizontal="center"/>
    </xf>
    <xf numFmtId="1" fontId="0" fillId="0" borderId="0" xfId="0" applyNumberFormat="1" applyFill="1" applyAlignment="1" applyProtection="1">
      <alignment horizontal="center"/>
    </xf>
    <xf numFmtId="0" fontId="0" fillId="4" borderId="2" xfId="0" applyFill="1" applyBorder="1" applyProtection="1"/>
    <xf numFmtId="0" fontId="0" fillId="4" borderId="4" xfId="0" applyFill="1" applyBorder="1" applyProtection="1"/>
    <xf numFmtId="0" fontId="0" fillId="4" borderId="3" xfId="0" applyFill="1" applyBorder="1" applyProtection="1"/>
    <xf numFmtId="0" fontId="0" fillId="0" borderId="0" xfId="0" applyAlignment="1"/>
    <xf numFmtId="0" fontId="1" fillId="0" borderId="0" xfId="0" applyFont="1" applyAlignment="1">
      <alignment horizontal="center"/>
    </xf>
    <xf numFmtId="0" fontId="1" fillId="0" borderId="0" xfId="0" applyFont="1" applyAlignment="1">
      <alignment horizontal="center"/>
    </xf>
    <xf numFmtId="0" fontId="1" fillId="0" borderId="0" xfId="0" applyFont="1" applyBorder="1" applyAlignment="1">
      <alignment horizontal="left" vertical="center"/>
    </xf>
    <xf numFmtId="0" fontId="0" fillId="0" borderId="0" xfId="0" applyBorder="1" applyAlignment="1">
      <alignment vertical="top" wrapText="1"/>
    </xf>
    <xf numFmtId="0" fontId="0" fillId="0" borderId="0" xfId="0" applyBorder="1"/>
    <xf numFmtId="0" fontId="3" fillId="0" borderId="0" xfId="0" applyFont="1" applyBorder="1" applyAlignment="1" applyProtection="1">
      <alignment horizontal="center"/>
      <protection locked="0"/>
    </xf>
    <xf numFmtId="0" fontId="0" fillId="0" borderId="1" xfId="0" applyBorder="1" applyAlignment="1">
      <alignment horizontal="center"/>
    </xf>
    <xf numFmtId="164" fontId="0" fillId="5" borderId="3" xfId="0" applyNumberFormat="1" applyFill="1" applyBorder="1"/>
    <xf numFmtId="164" fontId="0" fillId="5" borderId="2" xfId="0" applyNumberFormat="1" applyFill="1" applyBorder="1"/>
    <xf numFmtId="0" fontId="0" fillId="0" borderId="0" xfId="0" applyAlignment="1">
      <alignment horizontal="left"/>
    </xf>
    <xf numFmtId="0" fontId="0" fillId="4" borderId="1" xfId="0" applyFill="1" applyBorder="1" applyProtection="1"/>
    <xf numFmtId="0" fontId="0" fillId="0" borderId="9" xfId="0" applyBorder="1" applyAlignment="1">
      <alignment horizontal="right"/>
    </xf>
    <xf numFmtId="0" fontId="0" fillId="0" borderId="9" xfId="0" applyBorder="1" applyAlignment="1">
      <alignment horizontal="center" vertical="center"/>
    </xf>
    <xf numFmtId="0" fontId="0" fillId="0" borderId="9" xfId="0" applyBorder="1" applyAlignment="1">
      <alignment horizontal="left" vertical="center"/>
    </xf>
    <xf numFmtId="164" fontId="0" fillId="0" borderId="9" xfId="0" applyNumberFormat="1" applyBorder="1" applyAlignment="1">
      <alignment horizontal="center" vertical="center"/>
    </xf>
    <xf numFmtId="164" fontId="0" fillId="0" borderId="9" xfId="0" applyNumberFormat="1" applyBorder="1" applyAlignment="1">
      <alignment horizontal="left" vertical="center"/>
    </xf>
    <xf numFmtId="0" fontId="0" fillId="0" borderId="10" xfId="0" applyBorder="1" applyAlignment="1">
      <alignment horizontal="left"/>
    </xf>
    <xf numFmtId="0" fontId="0" fillId="0" borderId="8" xfId="0" applyBorder="1" applyAlignment="1">
      <alignment horizontal="left"/>
    </xf>
    <xf numFmtId="0" fontId="0" fillId="0" borderId="11" xfId="0" applyBorder="1" applyAlignment="1">
      <alignment horizontal="left"/>
    </xf>
    <xf numFmtId="0" fontId="1" fillId="0" borderId="0" xfId="0" applyFont="1" applyAlignment="1">
      <alignment horizontal="center" vertical="center"/>
    </xf>
    <xf numFmtId="0" fontId="1" fillId="0" borderId="0" xfId="0" applyFont="1" applyAlignment="1">
      <alignment horizontal="left" vertical="center"/>
    </xf>
    <xf numFmtId="0" fontId="0" fillId="0" borderId="13" xfId="0" applyBorder="1" applyAlignment="1">
      <alignment horizontal="right"/>
    </xf>
    <xf numFmtId="0" fontId="0" fillId="0" borderId="13" xfId="0" applyBorder="1" applyAlignment="1">
      <alignment horizontal="center" vertical="center"/>
    </xf>
    <xf numFmtId="0" fontId="0" fillId="0" borderId="13" xfId="0" applyBorder="1" applyAlignment="1">
      <alignment horizontal="left" vertical="center"/>
    </xf>
    <xf numFmtId="0" fontId="0" fillId="0" borderId="12" xfId="0" applyBorder="1" applyAlignment="1">
      <alignment horizontal="right"/>
    </xf>
    <xf numFmtId="0" fontId="0" fillId="0" borderId="12" xfId="0" applyBorder="1" applyAlignment="1">
      <alignment horizontal="center" vertical="center"/>
    </xf>
    <xf numFmtId="0" fontId="0" fillId="0" borderId="12" xfId="0" applyBorder="1" applyAlignment="1">
      <alignment horizontal="left" vertical="center"/>
    </xf>
    <xf numFmtId="0" fontId="0" fillId="0" borderId="18" xfId="0" applyBorder="1" applyAlignment="1">
      <alignment horizontal="right"/>
    </xf>
    <xf numFmtId="0" fontId="0" fillId="0" borderId="18" xfId="0" applyBorder="1" applyAlignment="1">
      <alignment horizontal="center" vertical="center"/>
    </xf>
    <xf numFmtId="164" fontId="0" fillId="0" borderId="0" xfId="0" applyNumberFormat="1" applyBorder="1" applyAlignment="1">
      <alignment horizontal="left" vertical="top" wrapText="1"/>
    </xf>
    <xf numFmtId="164" fontId="0" fillId="0" borderId="0" xfId="0" applyNumberFormat="1" applyBorder="1" applyAlignment="1">
      <alignment vertical="top" wrapText="1"/>
    </xf>
    <xf numFmtId="0" fontId="1" fillId="0" borderId="0" xfId="0" applyFont="1"/>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14" xfId="0" applyBorder="1" applyAlignment="1">
      <alignment horizontal="left"/>
    </xf>
    <xf numFmtId="0" fontId="7" fillId="0" borderId="0" xfId="0" applyFont="1" applyAlignment="1">
      <alignment horizontal="left"/>
    </xf>
    <xf numFmtId="0" fontId="7" fillId="0" borderId="0" xfId="0" applyFont="1" applyBorder="1" applyAlignment="1">
      <alignment horizontal="left"/>
    </xf>
    <xf numFmtId="0" fontId="0" fillId="3" borderId="2" xfId="0" applyFill="1" applyBorder="1"/>
    <xf numFmtId="0" fontId="0" fillId="3" borderId="3" xfId="0" applyFill="1" applyBorder="1"/>
    <xf numFmtId="0" fontId="0" fillId="2" borderId="2" xfId="0" applyFill="1" applyBorder="1"/>
    <xf numFmtId="0" fontId="0" fillId="2" borderId="3" xfId="0" applyFill="1" applyBorder="1"/>
    <xf numFmtId="0" fontId="0" fillId="0" borderId="0" xfId="0" applyBorder="1" applyAlignment="1">
      <alignment horizontal="right"/>
    </xf>
    <xf numFmtId="0" fontId="5" fillId="0" borderId="0" xfId="0" applyFont="1" applyBorder="1" applyAlignment="1" applyProtection="1">
      <alignment horizontal="center"/>
      <protection locked="0"/>
    </xf>
    <xf numFmtId="0" fontId="1" fillId="0" borderId="0" xfId="0" applyFont="1" applyBorder="1" applyAlignment="1">
      <alignment horizontal="left"/>
    </xf>
    <xf numFmtId="0" fontId="0" fillId="0" borderId="0" xfId="0" applyFill="1" applyBorder="1" applyAlignment="1">
      <alignment horizontal="center"/>
    </xf>
    <xf numFmtId="0" fontId="1" fillId="0" borderId="0" xfId="0" applyFont="1" applyBorder="1" applyAlignment="1">
      <alignment horizontal="right"/>
    </xf>
    <xf numFmtId="164" fontId="3" fillId="0" borderId="0" xfId="0" applyNumberFormat="1" applyFont="1" applyBorder="1" applyAlignment="1" applyProtection="1">
      <alignment horizontal="center"/>
      <protection locked="0"/>
    </xf>
    <xf numFmtId="1" fontId="0" fillId="0" borderId="0" xfId="0" applyNumberFormat="1" applyFill="1" applyBorder="1" applyAlignment="1">
      <alignment horizontal="center"/>
    </xf>
    <xf numFmtId="0" fontId="0" fillId="0" borderId="19" xfId="0" applyBorder="1" applyAlignment="1"/>
    <xf numFmtId="0" fontId="0" fillId="0" borderId="7" xfId="0" applyBorder="1" applyAlignment="1"/>
    <xf numFmtId="0" fontId="0" fillId="0" borderId="20" xfId="0" applyBorder="1" applyAlignment="1"/>
    <xf numFmtId="0" fontId="0" fillId="0" borderId="10" xfId="0" applyBorder="1" applyAlignment="1"/>
    <xf numFmtId="0" fontId="0" fillId="0" borderId="8" xfId="0" applyBorder="1" applyAlignment="1"/>
    <xf numFmtId="0" fontId="0" fillId="0" borderId="11" xfId="0" applyBorder="1" applyAlignment="1"/>
    <xf numFmtId="0" fontId="0" fillId="0" borderId="0" xfId="0" applyBorder="1" applyAlignment="1"/>
    <xf numFmtId="0" fontId="3" fillId="0" borderId="0" xfId="0" applyFont="1" applyBorder="1" applyAlignment="1" applyProtection="1">
      <protection locked="0"/>
    </xf>
    <xf numFmtId="1" fontId="0" fillId="0" borderId="0" xfId="0" applyNumberFormat="1" applyFill="1" applyBorder="1" applyAlignment="1"/>
    <xf numFmtId="0" fontId="0" fillId="3" borderId="1" xfId="0" applyFill="1" applyBorder="1"/>
    <xf numFmtId="0" fontId="1" fillId="0" borderId="0" xfId="0" applyFont="1" applyFill="1" applyAlignment="1">
      <alignment horizontal="left"/>
    </xf>
    <xf numFmtId="0" fontId="0" fillId="0" borderId="0" xfId="0" applyFill="1"/>
    <xf numFmtId="1" fontId="0" fillId="0" borderId="1" xfId="0" applyNumberFormat="1" applyFill="1" applyBorder="1" applyAlignment="1" applyProtection="1">
      <alignment horizontal="center"/>
    </xf>
    <xf numFmtId="0" fontId="8" fillId="0" borderId="0" xfId="0" applyFont="1"/>
    <xf numFmtId="0" fontId="8" fillId="0" borderId="0" xfId="0" applyFont="1" applyAlignment="1">
      <alignment horizontal="right"/>
    </xf>
    <xf numFmtId="0" fontId="0" fillId="0" borderId="5" xfId="0" applyBorder="1" applyAlignment="1">
      <alignment horizontal="left" wrapText="1"/>
    </xf>
    <xf numFmtId="0" fontId="0" fillId="0" borderId="7" xfId="0" applyBorder="1" applyAlignment="1">
      <alignment horizontal="left" wrapText="1"/>
    </xf>
    <xf numFmtId="0" fontId="0" fillId="0" borderId="6" xfId="0" applyBorder="1" applyAlignment="1">
      <alignment horizontal="left" wrapText="1"/>
    </xf>
    <xf numFmtId="0" fontId="0" fillId="0" borderId="0" xfId="0" applyBorder="1" applyAlignment="1">
      <alignment horizontal="left" vertical="top" wrapText="1"/>
    </xf>
    <xf numFmtId="0" fontId="1" fillId="0" borderId="0" xfId="0" applyFont="1" applyAlignment="1">
      <alignment horizontal="center"/>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6" xfId="0" applyBorder="1" applyAlignment="1">
      <alignment horizontal="left" vertical="top" wrapText="1"/>
    </xf>
    <xf numFmtId="164" fontId="0" fillId="0" borderId="0" xfId="0" applyNumberFormat="1" applyBorder="1" applyAlignment="1">
      <alignment horizontal="left" vertical="top" wrapText="1"/>
    </xf>
  </cellXfs>
  <cellStyles count="1">
    <cellStyle name="Normal" xfId="0" builtinId="0"/>
  </cellStyles>
  <dxfs count="29">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9" tint="0.59996337778862885"/>
        </patternFill>
      </fill>
    </dxf>
    <dxf>
      <fill>
        <patternFill>
          <bgColor rgb="FFEBB4A9"/>
        </patternFill>
      </fill>
    </dxf>
    <dxf>
      <fill>
        <patternFill>
          <bgColor rgb="FFEBB4A9"/>
        </patternFill>
      </fill>
    </dxf>
    <dxf>
      <fill>
        <patternFill>
          <bgColor rgb="FFC6E0B4"/>
        </patternFill>
      </fill>
    </dxf>
    <dxf>
      <fill>
        <patternFill>
          <bgColor rgb="FFEBB4A9"/>
        </patternFill>
      </fill>
    </dxf>
    <dxf>
      <fill>
        <patternFill>
          <bgColor rgb="FFEBB4A9"/>
        </patternFill>
      </fill>
    </dxf>
    <dxf>
      <fill>
        <patternFill>
          <bgColor rgb="FFEBB4A9"/>
        </patternFill>
      </fill>
    </dxf>
    <dxf>
      <fill>
        <patternFill>
          <bgColor theme="9" tint="0.59996337778862885"/>
        </patternFill>
      </fill>
    </dxf>
    <dxf>
      <fill>
        <patternFill>
          <bgColor rgb="FFEBB4A9"/>
        </patternFill>
      </fill>
    </dxf>
    <dxf>
      <fill>
        <patternFill>
          <bgColor rgb="FFFF7C80"/>
        </patternFill>
      </fill>
    </dxf>
    <dxf>
      <fill>
        <gradientFill type="path" left="0.5" right="0.5" top="0.5" bottom="0.5">
          <stop position="0">
            <color theme="0"/>
          </stop>
          <stop position="1">
            <color rgb="FF92D050"/>
          </stop>
        </gradientFill>
      </fill>
    </dxf>
    <dxf>
      <fill>
        <patternFill>
          <bgColor theme="9" tint="0.59996337778862885"/>
        </patternFill>
      </fill>
    </dxf>
    <dxf>
      <fill>
        <patternFill>
          <bgColor rgb="FFEBB4A9"/>
        </patternFill>
      </fill>
    </dxf>
    <dxf>
      <fill>
        <patternFill>
          <bgColor rgb="FFEBB4A9"/>
        </patternFill>
      </fill>
    </dxf>
    <dxf>
      <fill>
        <patternFill>
          <bgColor theme="9" tint="0.59996337778862885"/>
        </patternFill>
      </fill>
    </dxf>
    <dxf>
      <fill>
        <patternFill>
          <bgColor rgb="FFEBB4A9"/>
        </patternFill>
      </fill>
    </dxf>
    <dxf>
      <fill>
        <patternFill>
          <bgColor rgb="FFEBB4A9"/>
        </patternFill>
      </fill>
    </dxf>
    <dxf>
      <fill>
        <patternFill>
          <bgColor rgb="FFEBB4A9"/>
        </patternFill>
      </fill>
    </dxf>
    <dxf>
      <fill>
        <patternFill>
          <bgColor theme="9" tint="0.59996337778862885"/>
        </patternFill>
      </fill>
    </dxf>
    <dxf>
      <fill>
        <patternFill>
          <bgColor rgb="FFEBB4A9"/>
        </patternFill>
      </fill>
    </dxf>
    <dxf>
      <font>
        <color auto="1"/>
      </font>
      <fill>
        <patternFill>
          <bgColor rgb="FFEBB4A9"/>
        </patternFill>
      </fill>
    </dxf>
    <dxf>
      <font>
        <color auto="1"/>
      </font>
      <fill>
        <patternFill>
          <bgColor rgb="FFEBB4A9"/>
        </patternFill>
      </fill>
    </dxf>
    <dxf>
      <font>
        <color auto="1"/>
      </font>
      <fill>
        <patternFill>
          <bgColor rgb="FFC6E0B4"/>
        </patternFill>
      </fill>
    </dxf>
  </dxfs>
  <tableStyles count="0" defaultTableStyle="TableStyleMedium2" defaultPivotStyle="PivotStyleLight16"/>
  <colors>
    <mruColors>
      <color rgb="FFEBB4A9"/>
      <color rgb="FFC6E0B4"/>
      <color rgb="FFFF7C80"/>
      <color rgb="FFE4BBB0"/>
      <color rgb="FF721C3B"/>
      <color rgb="FF4ED054"/>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0</xdr:col>
      <xdr:colOff>857250</xdr:colOff>
      <xdr:row>1</xdr:row>
      <xdr:rowOff>47625</xdr:rowOff>
    </xdr:from>
    <xdr:to>
      <xdr:col>0</xdr:col>
      <xdr:colOff>1895475</xdr:colOff>
      <xdr:row>4</xdr:row>
      <xdr:rowOff>209550</xdr:rowOff>
    </xdr:to>
    <xdr:pic>
      <xdr:nvPicPr>
        <xdr:cNvPr id="5" name="Grafik 4" descr="Badge 1 med massiv udfyldning">
          <a:extLst>
            <a:ext uri="{FF2B5EF4-FFF2-40B4-BE49-F238E27FC236}">
              <a16:creationId xmlns:a16="http://schemas.microsoft.com/office/drawing/2014/main" id="{15E13911-B955-4E90-8E1B-7C2E0E3FA3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57250" y="228600"/>
          <a:ext cx="1038225" cy="904875"/>
        </a:xfrm>
        <a:prstGeom prst="rect">
          <a:avLst/>
        </a:prstGeom>
      </xdr:spPr>
    </xdr:pic>
    <xdr:clientData/>
  </xdr:twoCellAnchor>
  <xdr:twoCellAnchor editAs="oneCell">
    <xdr:from>
      <xdr:col>5</xdr:col>
      <xdr:colOff>200025</xdr:colOff>
      <xdr:row>1</xdr:row>
      <xdr:rowOff>28575</xdr:rowOff>
    </xdr:from>
    <xdr:to>
      <xdr:col>6</xdr:col>
      <xdr:colOff>95250</xdr:colOff>
      <xdr:row>4</xdr:row>
      <xdr:rowOff>180975</xdr:rowOff>
    </xdr:to>
    <xdr:pic>
      <xdr:nvPicPr>
        <xdr:cNvPr id="8" name="Grafik 7" descr="Badge med massiv udfyldning">
          <a:extLst>
            <a:ext uri="{FF2B5EF4-FFF2-40B4-BE49-F238E27FC236}">
              <a16:creationId xmlns:a16="http://schemas.microsoft.com/office/drawing/2014/main" id="{80AE98E8-CF6B-4745-AD5F-2A4AA781C3B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229350" y="209550"/>
          <a:ext cx="990600" cy="895350"/>
        </a:xfrm>
        <a:prstGeom prst="rect">
          <a:avLst/>
        </a:prstGeom>
      </xdr:spPr>
    </xdr:pic>
    <xdr:clientData/>
  </xdr:twoCellAnchor>
  <xdr:twoCellAnchor editAs="oneCell">
    <xdr:from>
      <xdr:col>14</xdr:col>
      <xdr:colOff>400050</xdr:colOff>
      <xdr:row>0</xdr:row>
      <xdr:rowOff>95250</xdr:rowOff>
    </xdr:from>
    <xdr:to>
      <xdr:col>16</xdr:col>
      <xdr:colOff>161925</xdr:colOff>
      <xdr:row>4</xdr:row>
      <xdr:rowOff>66675</xdr:rowOff>
    </xdr:to>
    <xdr:pic>
      <xdr:nvPicPr>
        <xdr:cNvPr id="10" name="Grafik 9" descr="Badge 3 med massiv udfyldning">
          <a:extLst>
            <a:ext uri="{FF2B5EF4-FFF2-40B4-BE49-F238E27FC236}">
              <a16:creationId xmlns:a16="http://schemas.microsoft.com/office/drawing/2014/main" id="{8034DC92-F213-4C52-9D4A-C0192C1758B4}"/>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1029950" y="95250"/>
          <a:ext cx="990600" cy="895350"/>
        </a:xfrm>
        <a:prstGeom prst="rect">
          <a:avLst/>
        </a:prstGeom>
      </xdr:spPr>
    </xdr:pic>
    <xdr:clientData/>
  </xdr:twoCellAnchor>
  <xdr:twoCellAnchor>
    <xdr:from>
      <xdr:col>0</xdr:col>
      <xdr:colOff>0</xdr:colOff>
      <xdr:row>13</xdr:row>
      <xdr:rowOff>0</xdr:rowOff>
    </xdr:from>
    <xdr:to>
      <xdr:col>4</xdr:col>
      <xdr:colOff>83970</xdr:colOff>
      <xdr:row>34</xdr:row>
      <xdr:rowOff>36345</xdr:rowOff>
    </xdr:to>
    <xdr:grpSp>
      <xdr:nvGrpSpPr>
        <xdr:cNvPr id="11" name="Gruppe 10">
          <a:extLst>
            <a:ext uri="{FF2B5EF4-FFF2-40B4-BE49-F238E27FC236}">
              <a16:creationId xmlns:a16="http://schemas.microsoft.com/office/drawing/2014/main" id="{EFA43617-BD33-4695-B0A6-BCE86FDD6B11}"/>
            </a:ext>
          </a:extLst>
        </xdr:cNvPr>
        <xdr:cNvGrpSpPr/>
      </xdr:nvGrpSpPr>
      <xdr:grpSpPr>
        <a:xfrm>
          <a:off x="0" y="2847975"/>
          <a:ext cx="5856120" cy="3951120"/>
          <a:chOff x="539238" y="2186974"/>
          <a:chExt cx="5775158" cy="3946358"/>
        </a:xfrm>
      </xdr:grpSpPr>
      <xdr:pic>
        <xdr:nvPicPr>
          <xdr:cNvPr id="12" name="Billede 11">
            <a:extLst>
              <a:ext uri="{FF2B5EF4-FFF2-40B4-BE49-F238E27FC236}">
                <a16:creationId xmlns:a16="http://schemas.microsoft.com/office/drawing/2014/main" id="{67182B40-CF23-44EB-A65E-5DAFAD746DC2}"/>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8158" t="30395" r="12895" b="15658"/>
          <a:stretch/>
        </xdr:blipFill>
        <xdr:spPr>
          <a:xfrm>
            <a:off x="539238" y="2186974"/>
            <a:ext cx="5775158" cy="3946358"/>
          </a:xfrm>
          <a:prstGeom prst="rect">
            <a:avLst/>
          </a:prstGeom>
        </xdr:spPr>
      </xdr:pic>
      <xdr:sp macro="" textlink="">
        <xdr:nvSpPr>
          <xdr:cNvPr id="13" name="Tekstfelt 33">
            <a:extLst>
              <a:ext uri="{FF2B5EF4-FFF2-40B4-BE49-F238E27FC236}">
                <a16:creationId xmlns:a16="http://schemas.microsoft.com/office/drawing/2014/main" id="{1125DBED-F219-451E-A743-ECA4643EBBA6}"/>
              </a:ext>
            </a:extLst>
          </xdr:cNvPr>
          <xdr:cNvSpPr txBox="1"/>
        </xdr:nvSpPr>
        <xdr:spPr>
          <a:xfrm>
            <a:off x="4398511" y="5470076"/>
            <a:ext cx="294283" cy="38779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da-DK" sz="1920">
                <a:ln w="0">
                  <a:solidFill>
                    <a:schemeClr val="accent6"/>
                  </a:solidFill>
                </a:ln>
                <a:effectLst>
                  <a:outerShdw blurRad="38100" dist="19050" dir="2700000" algn="tl" rotWithShape="0">
                    <a:schemeClr val="dk1">
                      <a:alpha val="40000"/>
                    </a:schemeClr>
                  </a:outerShdw>
                </a:effectLst>
              </a:rPr>
              <a:t>A</a:t>
            </a:r>
            <a:r>
              <a:rPr lang="da-DK" sz="1920" b="1">
                <a:solidFill>
                  <a:srgbClr val="00B050"/>
                </a:solidFill>
              </a:rPr>
              <a:t> </a:t>
            </a:r>
          </a:p>
        </xdr:txBody>
      </xdr:sp>
      <xdr:cxnSp macro="">
        <xdr:nvCxnSpPr>
          <xdr:cNvPr id="14" name="Lige pilforbindelse 13">
            <a:extLst>
              <a:ext uri="{FF2B5EF4-FFF2-40B4-BE49-F238E27FC236}">
                <a16:creationId xmlns:a16="http://schemas.microsoft.com/office/drawing/2014/main" id="{82CC5F11-2606-404A-B53D-80C0F2910D29}"/>
              </a:ext>
            </a:extLst>
          </xdr:cNvPr>
          <xdr:cNvCxnSpPr>
            <a:cxnSpLocks/>
          </xdr:cNvCxnSpPr>
        </xdr:nvCxnSpPr>
        <xdr:spPr>
          <a:xfrm>
            <a:off x="4692793" y="5667054"/>
            <a:ext cx="947856" cy="10367"/>
          </a:xfrm>
          <a:prstGeom prst="straightConnector1">
            <a:avLst/>
          </a:prstGeom>
          <a:ln w="28575" cap="flat" cmpd="sng" algn="ctr">
            <a:solidFill>
              <a:schemeClr val="accent6"/>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xnSp macro="">
        <xdr:nvCxnSpPr>
          <xdr:cNvPr id="15" name="Lige pilforbindelse 14">
            <a:extLst>
              <a:ext uri="{FF2B5EF4-FFF2-40B4-BE49-F238E27FC236}">
                <a16:creationId xmlns:a16="http://schemas.microsoft.com/office/drawing/2014/main" id="{B3683EB2-D808-4836-82E9-6F851CE7A3C4}"/>
              </a:ext>
            </a:extLst>
          </xdr:cNvPr>
          <xdr:cNvCxnSpPr>
            <a:cxnSpLocks/>
          </xdr:cNvCxnSpPr>
        </xdr:nvCxnSpPr>
        <xdr:spPr>
          <a:xfrm flipH="1">
            <a:off x="2868764" y="5648364"/>
            <a:ext cx="1476663" cy="0"/>
          </a:xfrm>
          <a:prstGeom prst="straightConnector1">
            <a:avLst/>
          </a:prstGeom>
          <a:ln w="28575" cap="flat" cmpd="sng" algn="ctr">
            <a:solidFill>
              <a:schemeClr val="accent6"/>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sp macro="" textlink="">
        <xdr:nvSpPr>
          <xdr:cNvPr id="16" name="Tekstfelt 36">
            <a:extLst>
              <a:ext uri="{FF2B5EF4-FFF2-40B4-BE49-F238E27FC236}">
                <a16:creationId xmlns:a16="http://schemas.microsoft.com/office/drawing/2014/main" id="{E0783E07-E6A8-4A0E-ACE6-1E1E4E6B78E0}"/>
              </a:ext>
            </a:extLst>
          </xdr:cNvPr>
          <xdr:cNvSpPr txBox="1"/>
        </xdr:nvSpPr>
        <xdr:spPr>
          <a:xfrm>
            <a:off x="3166771" y="3463701"/>
            <a:ext cx="490829" cy="38779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da-DK" sz="1920">
                <a:ln w="0">
                  <a:solidFill>
                    <a:schemeClr val="accent6"/>
                  </a:solidFill>
                </a:ln>
                <a:effectLst>
                  <a:outerShdw blurRad="38100" dist="19050" dir="2700000" algn="tl" rotWithShape="0">
                    <a:schemeClr val="dk1">
                      <a:alpha val="40000"/>
                    </a:schemeClr>
                  </a:outerShdw>
                </a:effectLst>
              </a:rPr>
              <a:t>C1</a:t>
            </a:r>
            <a:r>
              <a:rPr lang="da-DK" sz="1920" b="1">
                <a:solidFill>
                  <a:srgbClr val="00B050"/>
                </a:solidFill>
              </a:rPr>
              <a:t> </a:t>
            </a:r>
          </a:p>
        </xdr:txBody>
      </xdr:sp>
      <xdr:cxnSp macro="">
        <xdr:nvCxnSpPr>
          <xdr:cNvPr id="17" name="Lige pilforbindelse 16">
            <a:extLst>
              <a:ext uri="{FF2B5EF4-FFF2-40B4-BE49-F238E27FC236}">
                <a16:creationId xmlns:a16="http://schemas.microsoft.com/office/drawing/2014/main" id="{2BCEF8E3-EEC8-45AA-A500-FF938CB0D485}"/>
              </a:ext>
            </a:extLst>
          </xdr:cNvPr>
          <xdr:cNvCxnSpPr>
            <a:cxnSpLocks/>
            <a:stCxn id="16" idx="3"/>
          </xdr:cNvCxnSpPr>
        </xdr:nvCxnSpPr>
        <xdr:spPr>
          <a:xfrm>
            <a:off x="3657600" y="3657600"/>
            <a:ext cx="2040556" cy="0"/>
          </a:xfrm>
          <a:prstGeom prst="straightConnector1">
            <a:avLst/>
          </a:prstGeom>
          <a:ln w="28575" cap="flat" cmpd="sng" algn="ctr">
            <a:solidFill>
              <a:schemeClr val="accent6"/>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xnSp macro="">
        <xdr:nvCxnSpPr>
          <xdr:cNvPr id="18" name="Lige pilforbindelse 17">
            <a:extLst>
              <a:ext uri="{FF2B5EF4-FFF2-40B4-BE49-F238E27FC236}">
                <a16:creationId xmlns:a16="http://schemas.microsoft.com/office/drawing/2014/main" id="{6895F480-EA7B-4104-B69D-746975BE8468}"/>
              </a:ext>
            </a:extLst>
          </xdr:cNvPr>
          <xdr:cNvCxnSpPr>
            <a:cxnSpLocks/>
            <a:stCxn id="16" idx="1"/>
          </xdr:cNvCxnSpPr>
        </xdr:nvCxnSpPr>
        <xdr:spPr>
          <a:xfrm flipH="1">
            <a:off x="2820203" y="3657600"/>
            <a:ext cx="346568" cy="0"/>
          </a:xfrm>
          <a:prstGeom prst="straightConnector1">
            <a:avLst/>
          </a:prstGeom>
          <a:ln w="28575" cap="flat" cmpd="sng" algn="ctr">
            <a:solidFill>
              <a:schemeClr val="accent6"/>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sp macro="" textlink="">
        <xdr:nvSpPr>
          <xdr:cNvPr id="19" name="Tekstfelt 39">
            <a:extLst>
              <a:ext uri="{FF2B5EF4-FFF2-40B4-BE49-F238E27FC236}">
                <a16:creationId xmlns:a16="http://schemas.microsoft.com/office/drawing/2014/main" id="{9CB0F07B-A6BC-4D1D-ACC2-EFE6764C1768}"/>
              </a:ext>
            </a:extLst>
          </xdr:cNvPr>
          <xdr:cNvSpPr txBox="1"/>
        </xdr:nvSpPr>
        <xdr:spPr>
          <a:xfrm>
            <a:off x="4580185" y="5265518"/>
            <a:ext cx="289357" cy="39239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da-DK" sz="1920">
                <a:ln w="0">
                  <a:solidFill>
                    <a:schemeClr val="accent6"/>
                  </a:solidFill>
                </a:ln>
                <a:effectLst>
                  <a:outerShdw blurRad="38100" dist="19050" dir="2700000" algn="tl" rotWithShape="0">
                    <a:schemeClr val="dk1">
                      <a:alpha val="40000"/>
                    </a:schemeClr>
                  </a:outerShdw>
                </a:effectLst>
              </a:rPr>
              <a:t>C </a:t>
            </a:r>
            <a:r>
              <a:rPr lang="da-DK" sz="1920" b="1">
                <a:solidFill>
                  <a:srgbClr val="00B050"/>
                </a:solidFill>
              </a:rPr>
              <a:t> </a:t>
            </a:r>
          </a:p>
        </xdr:txBody>
      </xdr:sp>
      <xdr:cxnSp macro="">
        <xdr:nvCxnSpPr>
          <xdr:cNvPr id="20" name="Lige pilforbindelse 19">
            <a:extLst>
              <a:ext uri="{FF2B5EF4-FFF2-40B4-BE49-F238E27FC236}">
                <a16:creationId xmlns:a16="http://schemas.microsoft.com/office/drawing/2014/main" id="{8BC43024-4B2D-4ECD-9021-B085A8069681}"/>
              </a:ext>
            </a:extLst>
          </xdr:cNvPr>
          <xdr:cNvCxnSpPr>
            <a:cxnSpLocks/>
            <a:stCxn id="19" idx="3"/>
          </xdr:cNvCxnSpPr>
        </xdr:nvCxnSpPr>
        <xdr:spPr>
          <a:xfrm flipV="1">
            <a:off x="4869542" y="5459418"/>
            <a:ext cx="828613" cy="2295"/>
          </a:xfrm>
          <a:prstGeom prst="straightConnector1">
            <a:avLst/>
          </a:prstGeom>
          <a:ln w="28575" cap="flat" cmpd="sng" algn="ctr">
            <a:solidFill>
              <a:schemeClr val="accent6"/>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xnSp macro="">
        <xdr:nvCxnSpPr>
          <xdr:cNvPr id="21" name="Lige pilforbindelse 20">
            <a:extLst>
              <a:ext uri="{FF2B5EF4-FFF2-40B4-BE49-F238E27FC236}">
                <a16:creationId xmlns:a16="http://schemas.microsoft.com/office/drawing/2014/main" id="{50F50387-05F1-4EAA-A834-B825A6ADADE4}"/>
              </a:ext>
            </a:extLst>
          </xdr:cNvPr>
          <xdr:cNvCxnSpPr>
            <a:cxnSpLocks/>
            <a:stCxn id="19" idx="1"/>
          </xdr:cNvCxnSpPr>
        </xdr:nvCxnSpPr>
        <xdr:spPr>
          <a:xfrm flipH="1" flipV="1">
            <a:off x="2902231" y="5459418"/>
            <a:ext cx="1677954" cy="2295"/>
          </a:xfrm>
          <a:prstGeom prst="straightConnector1">
            <a:avLst/>
          </a:prstGeom>
          <a:ln w="28575" cap="flat" cmpd="sng" algn="ctr">
            <a:solidFill>
              <a:schemeClr val="accent6"/>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sp macro="" textlink="">
        <xdr:nvSpPr>
          <xdr:cNvPr id="22" name="Tekstfelt 42">
            <a:extLst>
              <a:ext uri="{FF2B5EF4-FFF2-40B4-BE49-F238E27FC236}">
                <a16:creationId xmlns:a16="http://schemas.microsoft.com/office/drawing/2014/main" id="{7B65716F-5337-435A-83BC-71DEA341C970}"/>
              </a:ext>
            </a:extLst>
          </xdr:cNvPr>
          <xdr:cNvSpPr txBox="1"/>
        </xdr:nvSpPr>
        <xdr:spPr>
          <a:xfrm>
            <a:off x="4206469" y="3908299"/>
            <a:ext cx="294283" cy="38779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da-DK" sz="1920">
                <a:ln w="0">
                  <a:solidFill>
                    <a:schemeClr val="accent6"/>
                  </a:solidFill>
                </a:ln>
                <a:effectLst>
                  <a:outerShdw blurRad="38100" dist="19050" dir="2700000" algn="tl" rotWithShape="0">
                    <a:schemeClr val="dk1">
                      <a:alpha val="40000"/>
                    </a:schemeClr>
                  </a:outerShdw>
                </a:effectLst>
              </a:rPr>
              <a:t>B </a:t>
            </a:r>
          </a:p>
        </xdr:txBody>
      </xdr:sp>
      <xdr:cxnSp macro="">
        <xdr:nvCxnSpPr>
          <xdr:cNvPr id="23" name="Lige pilforbindelse 22">
            <a:extLst>
              <a:ext uri="{FF2B5EF4-FFF2-40B4-BE49-F238E27FC236}">
                <a16:creationId xmlns:a16="http://schemas.microsoft.com/office/drawing/2014/main" id="{5DA4FDFF-4AB8-41A5-AADF-6CDC481BE860}"/>
              </a:ext>
            </a:extLst>
          </xdr:cNvPr>
          <xdr:cNvCxnSpPr>
            <a:cxnSpLocks/>
            <a:stCxn id="22" idx="2"/>
          </xdr:cNvCxnSpPr>
        </xdr:nvCxnSpPr>
        <xdr:spPr>
          <a:xfrm>
            <a:off x="4353611" y="4296097"/>
            <a:ext cx="0" cy="1637589"/>
          </a:xfrm>
          <a:prstGeom prst="straightConnector1">
            <a:avLst/>
          </a:prstGeom>
          <a:ln w="28575" cap="flat" cmpd="sng" algn="ctr">
            <a:solidFill>
              <a:schemeClr val="accent6"/>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sp macro="" textlink="">
        <xdr:nvSpPr>
          <xdr:cNvPr id="24" name="Tekstfelt 45">
            <a:extLst>
              <a:ext uri="{FF2B5EF4-FFF2-40B4-BE49-F238E27FC236}">
                <a16:creationId xmlns:a16="http://schemas.microsoft.com/office/drawing/2014/main" id="{62217287-9E93-4C15-B060-DB9428C3CE98}"/>
              </a:ext>
            </a:extLst>
          </xdr:cNvPr>
          <xdr:cNvSpPr txBox="1"/>
        </xdr:nvSpPr>
        <xdr:spPr>
          <a:xfrm>
            <a:off x="3304175" y="3067667"/>
            <a:ext cx="538470" cy="38779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da-DK" sz="1920">
                <a:ln w="0">
                  <a:solidFill>
                    <a:schemeClr val="accent6"/>
                  </a:solidFill>
                </a:ln>
                <a:effectLst>
                  <a:outerShdw blurRad="38100" dist="19050" dir="2700000" algn="tl" rotWithShape="0">
                    <a:schemeClr val="dk1">
                      <a:alpha val="40000"/>
                    </a:schemeClr>
                  </a:outerShdw>
                </a:effectLst>
              </a:rPr>
              <a:t>B1 </a:t>
            </a:r>
          </a:p>
        </xdr:txBody>
      </xdr:sp>
      <xdr:cxnSp macro="">
        <xdr:nvCxnSpPr>
          <xdr:cNvPr id="25" name="Lige pilforbindelse 24">
            <a:extLst>
              <a:ext uri="{FF2B5EF4-FFF2-40B4-BE49-F238E27FC236}">
                <a16:creationId xmlns:a16="http://schemas.microsoft.com/office/drawing/2014/main" id="{BB540BFC-C56F-4E0F-BD30-F077F340FD90}"/>
              </a:ext>
            </a:extLst>
          </xdr:cNvPr>
          <xdr:cNvCxnSpPr>
            <a:cxnSpLocks/>
            <a:stCxn id="24" idx="0"/>
          </xdr:cNvCxnSpPr>
        </xdr:nvCxnSpPr>
        <xdr:spPr>
          <a:xfrm flipV="1">
            <a:off x="3573410" y="2544417"/>
            <a:ext cx="0" cy="523250"/>
          </a:xfrm>
          <a:prstGeom prst="straightConnector1">
            <a:avLst/>
          </a:prstGeom>
          <a:ln w="28575" cap="flat" cmpd="sng" algn="ctr">
            <a:solidFill>
              <a:schemeClr val="accent6"/>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xnSp macro="">
        <xdr:nvCxnSpPr>
          <xdr:cNvPr id="26" name="Lige pilforbindelse 25">
            <a:extLst>
              <a:ext uri="{FF2B5EF4-FFF2-40B4-BE49-F238E27FC236}">
                <a16:creationId xmlns:a16="http://schemas.microsoft.com/office/drawing/2014/main" id="{6D0EFFB0-7B67-4FBE-8B66-B0926B36ACF2}"/>
              </a:ext>
            </a:extLst>
          </xdr:cNvPr>
          <xdr:cNvCxnSpPr>
            <a:cxnSpLocks/>
            <a:stCxn id="24" idx="2"/>
          </xdr:cNvCxnSpPr>
        </xdr:nvCxnSpPr>
        <xdr:spPr>
          <a:xfrm>
            <a:off x="3573410" y="3455465"/>
            <a:ext cx="0" cy="2478221"/>
          </a:xfrm>
          <a:prstGeom prst="straightConnector1">
            <a:avLst/>
          </a:prstGeom>
          <a:ln w="28575" cap="flat" cmpd="sng" algn="ctr">
            <a:solidFill>
              <a:schemeClr val="accent6"/>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sp macro="" textlink="">
        <xdr:nvSpPr>
          <xdr:cNvPr id="27" name="Tekstfelt 48">
            <a:extLst>
              <a:ext uri="{FF2B5EF4-FFF2-40B4-BE49-F238E27FC236}">
                <a16:creationId xmlns:a16="http://schemas.microsoft.com/office/drawing/2014/main" id="{73302BD2-3FF7-4929-AEB3-4289E40A2730}"/>
              </a:ext>
            </a:extLst>
          </xdr:cNvPr>
          <xdr:cNvSpPr txBox="1"/>
        </xdr:nvSpPr>
        <xdr:spPr>
          <a:xfrm>
            <a:off x="4206469" y="3908299"/>
            <a:ext cx="294283" cy="38779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da-DK" sz="1920">
                <a:ln w="0">
                  <a:solidFill>
                    <a:schemeClr val="accent6"/>
                  </a:solidFill>
                </a:ln>
                <a:effectLst>
                  <a:outerShdw blurRad="38100" dist="19050" dir="2700000" algn="tl" rotWithShape="0">
                    <a:schemeClr val="dk1">
                      <a:alpha val="40000"/>
                    </a:schemeClr>
                  </a:outerShdw>
                </a:effectLst>
              </a:rPr>
              <a:t>B </a:t>
            </a:r>
          </a:p>
        </xdr:txBody>
      </xdr:sp>
      <xdr:cxnSp macro="">
        <xdr:nvCxnSpPr>
          <xdr:cNvPr id="28" name="Lige pilforbindelse 27">
            <a:extLst>
              <a:ext uri="{FF2B5EF4-FFF2-40B4-BE49-F238E27FC236}">
                <a16:creationId xmlns:a16="http://schemas.microsoft.com/office/drawing/2014/main" id="{570A8843-AF3B-4EB2-A080-1E44DC5F8799}"/>
              </a:ext>
            </a:extLst>
          </xdr:cNvPr>
          <xdr:cNvCxnSpPr>
            <a:cxnSpLocks/>
            <a:stCxn id="27" idx="0"/>
          </xdr:cNvCxnSpPr>
        </xdr:nvCxnSpPr>
        <xdr:spPr>
          <a:xfrm flipV="1">
            <a:off x="4353611" y="2856519"/>
            <a:ext cx="0" cy="1051780"/>
          </a:xfrm>
          <a:prstGeom prst="straightConnector1">
            <a:avLst/>
          </a:prstGeom>
          <a:ln w="28575" cap="flat" cmpd="sng" algn="ctr">
            <a:solidFill>
              <a:schemeClr val="accent6"/>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sp macro="" textlink="">
        <xdr:nvSpPr>
          <xdr:cNvPr id="29" name="Tekstfelt 50">
            <a:extLst>
              <a:ext uri="{FF2B5EF4-FFF2-40B4-BE49-F238E27FC236}">
                <a16:creationId xmlns:a16="http://schemas.microsoft.com/office/drawing/2014/main" id="{DB881CB2-EF0D-43BC-9D47-128DAB8BF997}"/>
              </a:ext>
            </a:extLst>
          </xdr:cNvPr>
          <xdr:cNvSpPr txBox="1"/>
        </xdr:nvSpPr>
        <xdr:spPr>
          <a:xfrm>
            <a:off x="2923006" y="4567447"/>
            <a:ext cx="314298" cy="38779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da-DK" sz="1920">
                <a:ln w="0">
                  <a:solidFill>
                    <a:schemeClr val="accent6"/>
                  </a:solidFill>
                </a:ln>
                <a:effectLst>
                  <a:outerShdw blurRad="38100" dist="19050" dir="2700000" algn="tl" rotWithShape="0">
                    <a:schemeClr val="dk1">
                      <a:alpha val="40000"/>
                    </a:schemeClr>
                  </a:outerShdw>
                </a:effectLst>
              </a:rPr>
              <a:t>D</a:t>
            </a:r>
          </a:p>
        </xdr:txBody>
      </xdr:sp>
      <xdr:cxnSp macro="">
        <xdr:nvCxnSpPr>
          <xdr:cNvPr id="30" name="Lige pilforbindelse 29">
            <a:extLst>
              <a:ext uri="{FF2B5EF4-FFF2-40B4-BE49-F238E27FC236}">
                <a16:creationId xmlns:a16="http://schemas.microsoft.com/office/drawing/2014/main" id="{72300F15-BE60-48BE-8CDF-96CF2013DED5}"/>
              </a:ext>
            </a:extLst>
          </xdr:cNvPr>
          <xdr:cNvCxnSpPr>
            <a:cxnSpLocks/>
            <a:stCxn id="29" idx="0"/>
          </xdr:cNvCxnSpPr>
        </xdr:nvCxnSpPr>
        <xdr:spPr>
          <a:xfrm flipH="1" flipV="1">
            <a:off x="3059977" y="3511763"/>
            <a:ext cx="20178" cy="1055684"/>
          </a:xfrm>
          <a:prstGeom prst="straightConnector1">
            <a:avLst/>
          </a:prstGeom>
          <a:ln w="28575" cap="flat" cmpd="sng" algn="ctr">
            <a:solidFill>
              <a:schemeClr val="accent6"/>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xnSp macro="">
        <xdr:nvCxnSpPr>
          <xdr:cNvPr id="31" name="Lige pilforbindelse 30">
            <a:extLst>
              <a:ext uri="{FF2B5EF4-FFF2-40B4-BE49-F238E27FC236}">
                <a16:creationId xmlns:a16="http://schemas.microsoft.com/office/drawing/2014/main" id="{A47DF39D-320A-44D8-BD34-AAB273C51C22}"/>
              </a:ext>
            </a:extLst>
          </xdr:cNvPr>
          <xdr:cNvCxnSpPr>
            <a:cxnSpLocks/>
            <a:stCxn id="29" idx="2"/>
          </xdr:cNvCxnSpPr>
        </xdr:nvCxnSpPr>
        <xdr:spPr>
          <a:xfrm>
            <a:off x="3080155" y="4955245"/>
            <a:ext cx="19577" cy="940181"/>
          </a:xfrm>
          <a:prstGeom prst="straightConnector1">
            <a:avLst/>
          </a:prstGeom>
          <a:ln w="28575" cap="flat" cmpd="sng" algn="ctr">
            <a:solidFill>
              <a:schemeClr val="accent6"/>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sp macro="" textlink="">
        <xdr:nvSpPr>
          <xdr:cNvPr id="32" name="Tekstfelt 53">
            <a:extLst>
              <a:ext uri="{FF2B5EF4-FFF2-40B4-BE49-F238E27FC236}">
                <a16:creationId xmlns:a16="http://schemas.microsoft.com/office/drawing/2014/main" id="{BB015E0A-24E8-4381-9051-D36801B9E014}"/>
              </a:ext>
            </a:extLst>
          </xdr:cNvPr>
          <xdr:cNvSpPr txBox="1"/>
        </xdr:nvSpPr>
        <xdr:spPr>
          <a:xfrm>
            <a:off x="5012428" y="5545888"/>
            <a:ext cx="552659" cy="38779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da-DK" sz="1920">
                <a:ln w="0">
                  <a:solidFill>
                    <a:schemeClr val="accent6"/>
                  </a:solidFill>
                </a:ln>
                <a:effectLst>
                  <a:outerShdw blurRad="38100" dist="19050" dir="2700000" algn="tl" rotWithShape="0">
                    <a:schemeClr val="dk1">
                      <a:alpha val="40000"/>
                    </a:schemeClr>
                  </a:outerShdw>
                </a:effectLst>
              </a:rPr>
              <a:t>A1</a:t>
            </a:r>
            <a:r>
              <a:rPr lang="da-DK" sz="1920" b="1">
                <a:solidFill>
                  <a:srgbClr val="00B050"/>
                </a:solidFill>
              </a:rPr>
              <a:t> </a:t>
            </a:r>
          </a:p>
        </xdr:txBody>
      </xdr:sp>
      <xdr:cxnSp macro="">
        <xdr:nvCxnSpPr>
          <xdr:cNvPr id="33" name="Lige pilforbindelse 32">
            <a:extLst>
              <a:ext uri="{FF2B5EF4-FFF2-40B4-BE49-F238E27FC236}">
                <a16:creationId xmlns:a16="http://schemas.microsoft.com/office/drawing/2014/main" id="{C3AC6503-C5C8-483A-B3F7-C7A6944B6692}"/>
              </a:ext>
            </a:extLst>
          </xdr:cNvPr>
          <xdr:cNvCxnSpPr>
            <a:cxnSpLocks/>
          </xdr:cNvCxnSpPr>
        </xdr:nvCxnSpPr>
        <xdr:spPr>
          <a:xfrm>
            <a:off x="5023769" y="5556546"/>
            <a:ext cx="0" cy="377140"/>
          </a:xfrm>
          <a:prstGeom prst="straightConnector1">
            <a:avLst/>
          </a:prstGeom>
          <a:ln w="28575" cap="flat" cmpd="sng" algn="ctr">
            <a:solidFill>
              <a:schemeClr val="accent6"/>
            </a:solidFill>
            <a:prstDash val="solid"/>
            <a:round/>
            <a:headEnd type="arrow" w="med" len="med"/>
            <a:tailEnd type="arrow" w="med" len="med"/>
          </a:ln>
        </xdr:spPr>
        <xdr:style>
          <a:lnRef idx="0">
            <a:scrgbClr r="0" g="0" b="0"/>
          </a:lnRef>
          <a:fillRef idx="0">
            <a:scrgbClr r="0" g="0" b="0"/>
          </a:fillRef>
          <a:effectRef idx="0">
            <a:scrgbClr r="0" g="0" b="0"/>
          </a:effectRef>
          <a:fontRef idx="minor">
            <a:schemeClr val="tx1"/>
          </a:fontRef>
        </xdr:style>
      </xdr:cxnSp>
      <xdr:cxnSp macro="">
        <xdr:nvCxnSpPr>
          <xdr:cNvPr id="34" name="Lige pilforbindelse 33">
            <a:extLst>
              <a:ext uri="{FF2B5EF4-FFF2-40B4-BE49-F238E27FC236}">
                <a16:creationId xmlns:a16="http://schemas.microsoft.com/office/drawing/2014/main" id="{7E3B8573-24F6-4E75-8F78-BC52A634F5E9}"/>
              </a:ext>
            </a:extLst>
          </xdr:cNvPr>
          <xdr:cNvCxnSpPr>
            <a:cxnSpLocks/>
          </xdr:cNvCxnSpPr>
        </xdr:nvCxnSpPr>
        <xdr:spPr>
          <a:xfrm flipH="1" flipV="1">
            <a:off x="2696522" y="2516073"/>
            <a:ext cx="12995" cy="939393"/>
          </a:xfrm>
          <a:prstGeom prst="straightConnector1">
            <a:avLst/>
          </a:prstGeom>
          <a:ln w="19050" cap="flat" cmpd="sng" algn="ctr">
            <a:solidFill>
              <a:schemeClr val="accent6"/>
            </a:solidFill>
            <a:prstDash val="solid"/>
            <a:round/>
            <a:headEnd type="arrow" w="med" len="med"/>
            <a:tailEnd type="arrow" w="med" len="med"/>
          </a:ln>
        </xdr:spPr>
        <xdr:style>
          <a:lnRef idx="0">
            <a:scrgbClr r="0" g="0" b="0"/>
          </a:lnRef>
          <a:fillRef idx="0">
            <a:scrgbClr r="0" g="0" b="0"/>
          </a:fillRef>
          <a:effectRef idx="0">
            <a:scrgbClr r="0" g="0" b="0"/>
          </a:effectRef>
          <a:fontRef idx="minor">
            <a:schemeClr val="tx1"/>
          </a:fontRef>
        </xdr:style>
      </xdr:cxnSp>
      <xdr:sp macro="" textlink="">
        <xdr:nvSpPr>
          <xdr:cNvPr id="35" name="Tekstfelt 97">
            <a:extLst>
              <a:ext uri="{FF2B5EF4-FFF2-40B4-BE49-F238E27FC236}">
                <a16:creationId xmlns:a16="http://schemas.microsoft.com/office/drawing/2014/main" id="{3F9B314E-A0E5-4CB5-AC58-7A156B245F61}"/>
              </a:ext>
            </a:extLst>
          </xdr:cNvPr>
          <xdr:cNvSpPr txBox="1"/>
        </xdr:nvSpPr>
        <xdr:spPr>
          <a:xfrm>
            <a:off x="2661886" y="2782524"/>
            <a:ext cx="294283" cy="38779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da-DK" sz="1920"/>
              <a:t>c </a:t>
            </a:r>
          </a:p>
        </xdr:txBody>
      </xdr:sp>
    </xdr:grpSp>
    <xdr:clientData/>
  </xdr:twoCellAnchor>
  <xdr:twoCellAnchor>
    <xdr:from>
      <xdr:col>2</xdr:col>
      <xdr:colOff>361950</xdr:colOff>
      <xdr:row>36</xdr:row>
      <xdr:rowOff>66673</xdr:rowOff>
    </xdr:from>
    <xdr:to>
      <xdr:col>3</xdr:col>
      <xdr:colOff>1724025</xdr:colOff>
      <xdr:row>53</xdr:row>
      <xdr:rowOff>95249</xdr:rowOff>
    </xdr:to>
    <xdr:grpSp>
      <xdr:nvGrpSpPr>
        <xdr:cNvPr id="36" name="Gruppe 35">
          <a:extLst>
            <a:ext uri="{FF2B5EF4-FFF2-40B4-BE49-F238E27FC236}">
              <a16:creationId xmlns:a16="http://schemas.microsoft.com/office/drawing/2014/main" id="{775FBD7F-979A-4F14-B983-AC3D613D3C75}"/>
            </a:ext>
          </a:extLst>
        </xdr:cNvPr>
        <xdr:cNvGrpSpPr/>
      </xdr:nvGrpSpPr>
      <xdr:grpSpPr>
        <a:xfrm>
          <a:off x="3076575" y="7200898"/>
          <a:ext cx="2362200" cy="3219451"/>
          <a:chOff x="957992" y="3386701"/>
          <a:chExt cx="1665981" cy="2466499"/>
        </a:xfrm>
      </xdr:grpSpPr>
      <xdr:pic>
        <xdr:nvPicPr>
          <xdr:cNvPr id="37" name="Billede 36" descr="Et billede, der indeholder tekst&#10;&#10;Automatisk genereret beskrivelse">
            <a:extLst>
              <a:ext uri="{FF2B5EF4-FFF2-40B4-BE49-F238E27FC236}">
                <a16:creationId xmlns:a16="http://schemas.microsoft.com/office/drawing/2014/main" id="{79D70622-7634-47EB-ADDC-DE73603A110A}"/>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957992" y="3386701"/>
            <a:ext cx="1665981" cy="2466499"/>
          </a:xfrm>
          <a:prstGeom prst="rect">
            <a:avLst/>
          </a:prstGeom>
        </xdr:spPr>
      </xdr:pic>
      <xdr:cxnSp macro="">
        <xdr:nvCxnSpPr>
          <xdr:cNvPr id="38" name="Lige pilforbindelse 37">
            <a:extLst>
              <a:ext uri="{FF2B5EF4-FFF2-40B4-BE49-F238E27FC236}">
                <a16:creationId xmlns:a16="http://schemas.microsoft.com/office/drawing/2014/main" id="{027A7C40-68EC-4D09-A45B-DB7E8A0CE3D8}"/>
              </a:ext>
            </a:extLst>
          </xdr:cNvPr>
          <xdr:cNvCxnSpPr>
            <a:cxnSpLocks/>
          </xdr:cNvCxnSpPr>
        </xdr:nvCxnSpPr>
        <xdr:spPr>
          <a:xfrm flipV="1">
            <a:off x="1507728" y="5394984"/>
            <a:ext cx="625699" cy="17123"/>
          </a:xfrm>
          <a:prstGeom prst="straightConnector1">
            <a:avLst/>
          </a:prstGeom>
          <a:ln w="19050" cap="flat" cmpd="sng" algn="ctr">
            <a:solidFill>
              <a:schemeClr val="accent6"/>
            </a:solidFill>
            <a:prstDash val="solid"/>
            <a:round/>
            <a:headEnd type="arrow" w="med" len="med"/>
            <a:tailEnd type="arrow" w="med" len="med"/>
          </a:ln>
        </xdr:spPr>
        <xdr:style>
          <a:lnRef idx="0">
            <a:scrgbClr r="0" g="0" b="0"/>
          </a:lnRef>
          <a:fillRef idx="0">
            <a:scrgbClr r="0" g="0" b="0"/>
          </a:fillRef>
          <a:effectRef idx="0">
            <a:scrgbClr r="0" g="0" b="0"/>
          </a:effectRef>
          <a:fontRef idx="minor">
            <a:schemeClr val="tx1"/>
          </a:fontRef>
        </xdr:style>
      </xdr:cxnSp>
      <xdr:cxnSp macro="">
        <xdr:nvCxnSpPr>
          <xdr:cNvPr id="39" name="Lige pilforbindelse 38">
            <a:extLst>
              <a:ext uri="{FF2B5EF4-FFF2-40B4-BE49-F238E27FC236}">
                <a16:creationId xmlns:a16="http://schemas.microsoft.com/office/drawing/2014/main" id="{163C7F09-C976-4C95-8DBC-A4DE1BE5C2CF}"/>
              </a:ext>
            </a:extLst>
          </xdr:cNvPr>
          <xdr:cNvCxnSpPr>
            <a:cxnSpLocks/>
          </xdr:cNvCxnSpPr>
        </xdr:nvCxnSpPr>
        <xdr:spPr>
          <a:xfrm>
            <a:off x="1433220" y="5326746"/>
            <a:ext cx="0" cy="309510"/>
          </a:xfrm>
          <a:prstGeom prst="straightConnector1">
            <a:avLst/>
          </a:prstGeom>
          <a:ln w="19050" cap="flat" cmpd="sng" algn="ctr">
            <a:solidFill>
              <a:schemeClr val="accent6"/>
            </a:solidFill>
            <a:prstDash val="solid"/>
            <a:round/>
            <a:headEnd type="arrow" w="med" len="med"/>
            <a:tailEnd type="arrow" w="med" len="med"/>
          </a:ln>
        </xdr:spPr>
        <xdr:style>
          <a:lnRef idx="0">
            <a:scrgbClr r="0" g="0" b="0"/>
          </a:lnRef>
          <a:fillRef idx="0">
            <a:scrgbClr r="0" g="0" b="0"/>
          </a:fillRef>
          <a:effectRef idx="0">
            <a:scrgbClr r="0" g="0" b="0"/>
          </a:effectRef>
          <a:fontRef idx="minor">
            <a:schemeClr val="tx1"/>
          </a:fontRef>
        </xdr:style>
      </xdr:cxnSp>
      <xdr:cxnSp macro="">
        <xdr:nvCxnSpPr>
          <xdr:cNvPr id="40" name="Lige pilforbindelse 39">
            <a:extLst>
              <a:ext uri="{FF2B5EF4-FFF2-40B4-BE49-F238E27FC236}">
                <a16:creationId xmlns:a16="http://schemas.microsoft.com/office/drawing/2014/main" id="{C2B94960-F0C9-4CD2-B220-716E4604885C}"/>
              </a:ext>
            </a:extLst>
          </xdr:cNvPr>
          <xdr:cNvCxnSpPr>
            <a:cxnSpLocks/>
          </xdr:cNvCxnSpPr>
        </xdr:nvCxnSpPr>
        <xdr:spPr>
          <a:xfrm>
            <a:off x="1437172" y="5257234"/>
            <a:ext cx="785241" cy="0"/>
          </a:xfrm>
          <a:prstGeom prst="straightConnector1">
            <a:avLst/>
          </a:prstGeom>
          <a:ln w="19050" cap="flat" cmpd="sng" algn="ctr">
            <a:solidFill>
              <a:schemeClr val="accent6"/>
            </a:solidFill>
            <a:prstDash val="solid"/>
            <a:round/>
            <a:headEnd type="arrow" w="med" len="med"/>
            <a:tailEnd type="arrow" w="med" len="med"/>
          </a:ln>
        </xdr:spPr>
        <xdr:style>
          <a:lnRef idx="0">
            <a:scrgbClr r="0" g="0" b="0"/>
          </a:lnRef>
          <a:fillRef idx="0">
            <a:scrgbClr r="0" g="0" b="0"/>
          </a:fillRef>
          <a:effectRef idx="0">
            <a:scrgbClr r="0" g="0" b="0"/>
          </a:effectRef>
          <a:fontRef idx="minor">
            <a:schemeClr val="tx1"/>
          </a:fontRef>
        </xdr:style>
      </xdr:cxnSp>
      <xdr:sp macro="" textlink="">
        <xdr:nvSpPr>
          <xdr:cNvPr id="41" name="Tekstfelt 116">
            <a:extLst>
              <a:ext uri="{FF2B5EF4-FFF2-40B4-BE49-F238E27FC236}">
                <a16:creationId xmlns:a16="http://schemas.microsoft.com/office/drawing/2014/main" id="{E13C378C-4AB3-4CDA-82B0-391E8E6EEB35}"/>
              </a:ext>
            </a:extLst>
          </xdr:cNvPr>
          <xdr:cNvSpPr txBox="1"/>
        </xdr:nvSpPr>
        <xdr:spPr>
          <a:xfrm>
            <a:off x="1641051" y="5310131"/>
            <a:ext cx="294283" cy="38779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da-DK" sz="1920"/>
              <a:t>a </a:t>
            </a:r>
          </a:p>
        </xdr:txBody>
      </xdr:sp>
      <xdr:sp macro="" textlink="">
        <xdr:nvSpPr>
          <xdr:cNvPr id="42" name="Tekstfelt 117">
            <a:extLst>
              <a:ext uri="{FF2B5EF4-FFF2-40B4-BE49-F238E27FC236}">
                <a16:creationId xmlns:a16="http://schemas.microsoft.com/office/drawing/2014/main" id="{ADC3F5D7-FA6B-4A1B-923B-C4F93886E175}"/>
              </a:ext>
            </a:extLst>
          </xdr:cNvPr>
          <xdr:cNvSpPr txBox="1"/>
        </xdr:nvSpPr>
        <xdr:spPr>
          <a:xfrm>
            <a:off x="1166752" y="5314134"/>
            <a:ext cx="549323" cy="38779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da-DK" sz="1920"/>
              <a:t>a1 </a:t>
            </a:r>
          </a:p>
        </xdr:txBody>
      </xdr:sp>
      <xdr:sp macro="" textlink="">
        <xdr:nvSpPr>
          <xdr:cNvPr id="43" name="Tekstfelt 118">
            <a:extLst>
              <a:ext uri="{FF2B5EF4-FFF2-40B4-BE49-F238E27FC236}">
                <a16:creationId xmlns:a16="http://schemas.microsoft.com/office/drawing/2014/main" id="{F39CC2E9-B543-40EE-980D-80C1B8E0457E}"/>
              </a:ext>
            </a:extLst>
          </xdr:cNvPr>
          <xdr:cNvSpPr txBox="1"/>
        </xdr:nvSpPr>
        <xdr:spPr>
          <a:xfrm>
            <a:off x="1716238" y="5019219"/>
            <a:ext cx="294283" cy="38779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da-DK" sz="1920"/>
              <a:t>b </a:t>
            </a:r>
          </a:p>
        </xdr:txBody>
      </xdr:sp>
      <xdr:cxnSp macro="">
        <xdr:nvCxnSpPr>
          <xdr:cNvPr id="44" name="Lige pilforbindelse 43">
            <a:extLst>
              <a:ext uri="{FF2B5EF4-FFF2-40B4-BE49-F238E27FC236}">
                <a16:creationId xmlns:a16="http://schemas.microsoft.com/office/drawing/2014/main" id="{054D3D42-35EA-428F-895C-87EAA79AA724}"/>
              </a:ext>
            </a:extLst>
          </xdr:cNvPr>
          <xdr:cNvCxnSpPr>
            <a:cxnSpLocks/>
          </xdr:cNvCxnSpPr>
        </xdr:nvCxnSpPr>
        <xdr:spPr>
          <a:xfrm flipV="1">
            <a:off x="1057746" y="3637244"/>
            <a:ext cx="1359435" cy="38260"/>
          </a:xfrm>
          <a:prstGeom prst="straightConnector1">
            <a:avLst/>
          </a:prstGeom>
          <a:ln w="19050" cap="flat" cmpd="sng" algn="ctr">
            <a:solidFill>
              <a:schemeClr val="accent6"/>
            </a:solidFill>
            <a:prstDash val="solid"/>
            <a:round/>
            <a:headEnd type="arrow" w="med" len="med"/>
            <a:tailEnd type="arrow" w="med" len="med"/>
          </a:ln>
        </xdr:spPr>
        <xdr:style>
          <a:lnRef idx="0">
            <a:scrgbClr r="0" g="0" b="0"/>
          </a:lnRef>
          <a:fillRef idx="0">
            <a:scrgbClr r="0" g="0" b="0"/>
          </a:fillRef>
          <a:effectRef idx="0">
            <a:scrgbClr r="0" g="0" b="0"/>
          </a:effectRef>
          <a:fontRef idx="minor">
            <a:schemeClr val="tx1"/>
          </a:fontRef>
        </xdr:style>
      </xdr:cxnSp>
      <xdr:sp macro="" textlink="">
        <xdr:nvSpPr>
          <xdr:cNvPr id="45" name="Tekstfelt 120">
            <a:extLst>
              <a:ext uri="{FF2B5EF4-FFF2-40B4-BE49-F238E27FC236}">
                <a16:creationId xmlns:a16="http://schemas.microsoft.com/office/drawing/2014/main" id="{AA7A0240-B81E-4218-93E9-1416AE31E3FD}"/>
              </a:ext>
            </a:extLst>
          </xdr:cNvPr>
          <xdr:cNvSpPr txBox="1"/>
        </xdr:nvSpPr>
        <xdr:spPr>
          <a:xfrm>
            <a:off x="1620898" y="3586020"/>
            <a:ext cx="294283" cy="38779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da-DK" sz="1920"/>
              <a:t>c </a:t>
            </a:r>
          </a:p>
        </xdr:txBody>
      </xdr:sp>
      <xdr:sp macro="" textlink="">
        <xdr:nvSpPr>
          <xdr:cNvPr id="46" name="Tekstfelt 128">
            <a:extLst>
              <a:ext uri="{FF2B5EF4-FFF2-40B4-BE49-F238E27FC236}">
                <a16:creationId xmlns:a16="http://schemas.microsoft.com/office/drawing/2014/main" id="{1514F249-51E6-49E1-B65E-13EE667CAB6D}"/>
              </a:ext>
            </a:extLst>
          </xdr:cNvPr>
          <xdr:cNvSpPr txBox="1"/>
        </xdr:nvSpPr>
        <xdr:spPr>
          <a:xfrm>
            <a:off x="1811358" y="4377321"/>
            <a:ext cx="484950" cy="38779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da-DK" sz="1920"/>
              <a:t>h </a:t>
            </a:r>
          </a:p>
        </xdr:txBody>
      </xdr:sp>
      <xdr:cxnSp macro="">
        <xdr:nvCxnSpPr>
          <xdr:cNvPr id="47" name="Lige pilforbindelse 46">
            <a:extLst>
              <a:ext uri="{FF2B5EF4-FFF2-40B4-BE49-F238E27FC236}">
                <a16:creationId xmlns:a16="http://schemas.microsoft.com/office/drawing/2014/main" id="{94584ABA-E011-49B9-A88B-1C47DE1EAC3D}"/>
              </a:ext>
            </a:extLst>
          </xdr:cNvPr>
          <xdr:cNvCxnSpPr>
            <a:cxnSpLocks/>
          </xdr:cNvCxnSpPr>
        </xdr:nvCxnSpPr>
        <xdr:spPr>
          <a:xfrm flipH="1">
            <a:off x="2012266" y="3526840"/>
            <a:ext cx="10830" cy="2021805"/>
          </a:xfrm>
          <a:prstGeom prst="straightConnector1">
            <a:avLst/>
          </a:prstGeom>
          <a:ln w="19050" cap="flat" cmpd="sng" algn="ctr">
            <a:solidFill>
              <a:schemeClr val="accent6"/>
            </a:solidFill>
            <a:prstDash val="solid"/>
            <a:round/>
            <a:headEnd type="arrow" w="med" len="med"/>
            <a:tailEnd type="arrow" w="med" len="med"/>
          </a:ln>
        </xdr:spPr>
        <xdr:style>
          <a:lnRef idx="0">
            <a:scrgbClr r="0" g="0" b="0"/>
          </a:lnRef>
          <a:fillRef idx="0">
            <a:scrgbClr r="0" g="0" b="0"/>
          </a:fillRef>
          <a:effectRef idx="0">
            <a:scrgbClr r="0" g="0" b="0"/>
          </a:effectRef>
          <a:fontRef idx="minor">
            <a:schemeClr val="tx1"/>
          </a:fontRef>
        </xdr:style>
      </xdr:cxnSp>
    </xdr:grp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4DEF6-E380-47CD-A7EC-FE9B17AB7592}">
  <sheetPr>
    <pageSetUpPr fitToPage="1"/>
  </sheetPr>
  <dimension ref="A1:AF84"/>
  <sheetViews>
    <sheetView showGridLines="0" tabSelected="1" zoomScaleNormal="100" workbookViewId="0">
      <selection activeCell="V3" sqref="P3:V57"/>
    </sheetView>
  </sheetViews>
  <sheetFormatPr defaultRowHeight="14.25" x14ac:dyDescent="0.45"/>
  <cols>
    <col min="1" max="1" width="27.796875" customWidth="1"/>
    <col min="2" max="2" width="10.1328125" customWidth="1"/>
    <col min="3" max="3" width="14" bestFit="1" customWidth="1"/>
    <col min="4" max="4" width="28.796875" customWidth="1"/>
    <col min="5" max="5" width="4.59765625" customWidth="1"/>
    <col min="6" max="6" width="15.265625" customWidth="1"/>
    <col min="7" max="7" width="8.86328125" customWidth="1"/>
    <col min="8" max="14" width="5.73046875" customWidth="1"/>
    <col min="15" max="15" width="7.06640625" customWidth="1"/>
    <col min="16" max="16" width="10.1328125" customWidth="1"/>
    <col min="17" max="17" width="40.3984375" style="1" customWidth="1"/>
    <col min="18" max="18" width="12.73046875" style="15" hidden="1" customWidth="1"/>
    <col min="19" max="19" width="11" style="24" customWidth="1"/>
    <col min="20" max="20" width="35.3984375" customWidth="1"/>
    <col min="21" max="21" width="3.86328125" customWidth="1"/>
    <col min="23" max="23" width="9.1328125" bestFit="1" customWidth="1"/>
    <col min="24" max="24" width="41.86328125" bestFit="1" customWidth="1"/>
    <col min="25" max="25" width="22.3984375" style="1" bestFit="1" customWidth="1"/>
    <col min="26" max="26" width="4.73046875" customWidth="1"/>
    <col min="27" max="27" width="13.265625" bestFit="1" customWidth="1"/>
    <col min="29" max="29" width="23.86328125" customWidth="1"/>
    <col min="36" max="37" width="9.1328125" customWidth="1"/>
    <col min="38" max="38" width="25.59765625" customWidth="1"/>
    <col min="39" max="42" width="9.1328125" customWidth="1"/>
    <col min="43" max="68" width="9.06640625" customWidth="1"/>
  </cols>
  <sheetData>
    <row r="1" spans="1:30" x14ac:dyDescent="0.45">
      <c r="A1" s="19" t="s">
        <v>113</v>
      </c>
    </row>
    <row r="4" spans="1:30" ht="30" customHeight="1" thickBot="1" x14ac:dyDescent="0.75">
      <c r="B4" s="8" t="s">
        <v>93</v>
      </c>
      <c r="G4" s="8" t="s">
        <v>94</v>
      </c>
      <c r="Q4" s="8" t="s">
        <v>102</v>
      </c>
      <c r="R4" s="13"/>
    </row>
    <row r="5" spans="1:30" ht="30" customHeight="1" thickBot="1" x14ac:dyDescent="0.5">
      <c r="B5" s="95" t="s">
        <v>150</v>
      </c>
      <c r="C5" s="96"/>
      <c r="D5" s="97"/>
      <c r="E5" s="9"/>
      <c r="F5" s="9"/>
      <c r="G5" s="103" t="s">
        <v>142</v>
      </c>
      <c r="H5" s="104"/>
      <c r="I5" s="104"/>
      <c r="J5" s="104"/>
      <c r="K5" s="104"/>
      <c r="L5" s="104"/>
      <c r="M5" s="104"/>
      <c r="N5" s="104"/>
      <c r="O5" s="105"/>
      <c r="Q5" s="100" t="s">
        <v>108</v>
      </c>
      <c r="R5" s="101"/>
      <c r="S5" s="101"/>
      <c r="T5" s="102"/>
    </row>
    <row r="6" spans="1:30" ht="14.65" thickBot="1" x14ac:dyDescent="0.5">
      <c r="Q6" s="22"/>
    </row>
    <row r="7" spans="1:30" ht="15.75" customHeight="1" thickBot="1" x14ac:dyDescent="0.5">
      <c r="B7" s="2" t="s">
        <v>4</v>
      </c>
      <c r="C7" s="89">
        <v>28</v>
      </c>
      <c r="D7" t="s">
        <v>3</v>
      </c>
      <c r="F7" s="2" t="s">
        <v>126</v>
      </c>
      <c r="G7" s="37" t="s">
        <v>129</v>
      </c>
      <c r="R7" s="14" t="s">
        <v>1</v>
      </c>
      <c r="S7" s="90" t="s">
        <v>107</v>
      </c>
    </row>
    <row r="8" spans="1:30" ht="14.65" thickBot="1" x14ac:dyDescent="0.5">
      <c r="B8" s="1"/>
      <c r="Q8" s="2" t="s">
        <v>61</v>
      </c>
      <c r="R8" s="16">
        <f>C7*G23/10</f>
        <v>100.8</v>
      </c>
      <c r="S8" s="26">
        <f>MROUND(R8,1)</f>
        <v>101</v>
      </c>
    </row>
    <row r="9" spans="1:30" ht="16.149999999999999" thickBot="1" x14ac:dyDescent="0.55000000000000004">
      <c r="B9" s="2" t="s">
        <v>5</v>
      </c>
      <c r="C9" s="71">
        <v>26</v>
      </c>
      <c r="D9" t="s">
        <v>3</v>
      </c>
      <c r="G9" s="67" t="s">
        <v>135</v>
      </c>
      <c r="Q9" s="1" t="s">
        <v>138</v>
      </c>
      <c r="R9" s="15">
        <f>G24</f>
        <v>5</v>
      </c>
      <c r="S9" s="26">
        <f>MROUND(R9,1)</f>
        <v>5</v>
      </c>
      <c r="T9" t="s">
        <v>11</v>
      </c>
    </row>
    <row r="10" spans="1:30" ht="14.65" thickBot="1" x14ac:dyDescent="0.5">
      <c r="B10" s="2" t="s">
        <v>161</v>
      </c>
      <c r="C10" s="72">
        <v>37</v>
      </c>
      <c r="D10" t="s">
        <v>3</v>
      </c>
      <c r="F10" s="2" t="s">
        <v>88</v>
      </c>
      <c r="G10" s="27">
        <f>Mål!F4</f>
        <v>36</v>
      </c>
      <c r="H10" t="s">
        <v>40</v>
      </c>
      <c r="Q10" s="1" t="s">
        <v>139</v>
      </c>
      <c r="R10" s="16">
        <f xml:space="preserve"> ABS(R11-S8)</f>
        <v>12.400000000000006</v>
      </c>
      <c r="S10" s="26">
        <f>MROUND(R10,1)</f>
        <v>12</v>
      </c>
      <c r="T10" t="str">
        <f>IF(R10&gt; 0,Mål!V22, Mål!V23)</f>
        <v>masker ud midt hvor det tætte mønster skal strikkes</v>
      </c>
    </row>
    <row r="11" spans="1:30" ht="14.65" thickBot="1" x14ac:dyDescent="0.5">
      <c r="B11" s="1"/>
      <c r="C11" s="72">
        <v>30</v>
      </c>
      <c r="D11" t="s">
        <v>2</v>
      </c>
      <c r="F11" s="2" t="s">
        <v>8</v>
      </c>
      <c r="G11" s="28">
        <f>Mål!F5</f>
        <v>42</v>
      </c>
      <c r="H11" t="s">
        <v>86</v>
      </c>
      <c r="Q11" s="94" t="s">
        <v>6</v>
      </c>
      <c r="R11" s="15">
        <f>((C9+C10)/2)*G29/10</f>
        <v>113.4</v>
      </c>
      <c r="S11" s="92">
        <f>MROUND(R11,1)</f>
        <v>113</v>
      </c>
      <c r="T11" s="93" t="s">
        <v>164</v>
      </c>
    </row>
    <row r="12" spans="1:30" ht="14.65" thickBot="1" x14ac:dyDescent="0.5">
      <c r="F12" s="2" t="s">
        <v>105</v>
      </c>
      <c r="G12" s="29">
        <f>Mål!F6</f>
        <v>28</v>
      </c>
      <c r="H12" t="s">
        <v>68</v>
      </c>
      <c r="Q12" s="1" t="s">
        <v>109</v>
      </c>
      <c r="R12" s="16">
        <f>((G30*C11/10)/((((((C9+C10)/2)*G31/10)-S11)/2)+1))</f>
        <v>62.499999999999851</v>
      </c>
      <c r="S12" s="26">
        <f>MROUND(R12,1)</f>
        <v>62</v>
      </c>
      <c r="T12" t="s">
        <v>12</v>
      </c>
      <c r="AD12" s="23"/>
    </row>
    <row r="13" spans="1:30" x14ac:dyDescent="0.45">
      <c r="Q13" s="1" t="s">
        <v>14</v>
      </c>
      <c r="R13" s="16">
        <f>R12</f>
        <v>62.499999999999851</v>
      </c>
      <c r="S13" s="26">
        <f t="shared" ref="S13" si="0">MROUND(R13,1)</f>
        <v>62</v>
      </c>
      <c r="T13" t="s">
        <v>15</v>
      </c>
    </row>
    <row r="14" spans="1:30" ht="16.149999999999999" thickBot="1" x14ac:dyDescent="0.55000000000000004">
      <c r="G14" s="67" t="s">
        <v>53</v>
      </c>
      <c r="H14" s="67"/>
      <c r="I14" s="67"/>
      <c r="J14" s="67"/>
      <c r="K14" s="67"/>
      <c r="L14" s="67"/>
      <c r="M14" s="67"/>
      <c r="N14" s="67"/>
      <c r="O14" s="67"/>
      <c r="Q14" s="1" t="s">
        <v>17</v>
      </c>
      <c r="R14" s="15">
        <f>ABS((((((C9+C10)/2)*G31/10)-S11)/2))</f>
        <v>0.20000000000000284</v>
      </c>
      <c r="S14" s="26">
        <f>MROUND(R14,1)</f>
        <v>0</v>
      </c>
      <c r="T14" t="s">
        <v>18</v>
      </c>
    </row>
    <row r="15" spans="1:30" ht="15" customHeight="1" thickBot="1" x14ac:dyDescent="0.5">
      <c r="E15" s="10"/>
      <c r="G15" s="20">
        <f>ABS(S15-Mål!U7)</f>
        <v>0</v>
      </c>
      <c r="H15" s="106" t="str">
        <f>IF(Mål!V7&gt;0,Mål!V8,"") &amp; IF(Mål!V7=0,Mål!V9,"") &amp; IF(Mål!V7&lt;0,Mål!V10,"")</f>
        <v>Mønsteret er perfekt</v>
      </c>
      <c r="I15" s="106"/>
      <c r="J15" s="106"/>
      <c r="K15" s="106"/>
      <c r="L15" s="106"/>
      <c r="M15" s="106"/>
      <c r="N15" s="106"/>
      <c r="O15" s="106"/>
      <c r="Q15" s="1" t="s">
        <v>116</v>
      </c>
      <c r="R15" s="15">
        <f>G31*((C9+C10)/2)/10</f>
        <v>113.4</v>
      </c>
      <c r="S15" s="25">
        <f>S11+S14*2</f>
        <v>113</v>
      </c>
      <c r="T15" t="s">
        <v>20</v>
      </c>
    </row>
    <row r="16" spans="1:30" ht="15" customHeight="1" x14ac:dyDescent="0.45">
      <c r="G16" s="61"/>
      <c r="H16" s="106"/>
      <c r="I16" s="106"/>
      <c r="J16" s="106"/>
      <c r="K16" s="106"/>
      <c r="L16" s="106"/>
      <c r="M16" s="106"/>
      <c r="N16" s="106"/>
      <c r="O16" s="106"/>
      <c r="Q16" s="1" t="s">
        <v>152</v>
      </c>
      <c r="R16" s="18">
        <f>G30+S9</f>
        <v>30</v>
      </c>
      <c r="S16" s="26">
        <f t="shared" ref="S16" si="1">MROUND(R16,1)</f>
        <v>30</v>
      </c>
      <c r="T16" t="s">
        <v>137</v>
      </c>
    </row>
    <row r="17" spans="6:32" x14ac:dyDescent="0.45">
      <c r="G17" s="61"/>
      <c r="H17" s="106"/>
      <c r="I17" s="106"/>
      <c r="J17" s="106"/>
      <c r="K17" s="106"/>
      <c r="L17" s="106"/>
      <c r="M17" s="106"/>
      <c r="N17" s="106"/>
      <c r="O17" s="106"/>
      <c r="S17" s="26"/>
    </row>
    <row r="18" spans="6:32" x14ac:dyDescent="0.45">
      <c r="H18" s="106"/>
      <c r="I18" s="106"/>
      <c r="J18" s="106"/>
      <c r="K18" s="106"/>
      <c r="L18" s="106"/>
      <c r="M18" s="106"/>
      <c r="N18" s="106"/>
      <c r="O18" s="106"/>
      <c r="Q18" s="2" t="s">
        <v>21</v>
      </c>
      <c r="S18" s="26"/>
    </row>
    <row r="19" spans="6:32" x14ac:dyDescent="0.45">
      <c r="H19" s="60"/>
      <c r="I19" s="60"/>
      <c r="J19" s="60"/>
      <c r="K19" s="60"/>
      <c r="L19" s="60"/>
      <c r="M19" s="60"/>
      <c r="N19" s="60"/>
      <c r="O19" s="60"/>
      <c r="Q19" s="1" t="s">
        <v>32</v>
      </c>
      <c r="R19" s="15">
        <f>G36*C9/10</f>
        <v>7.8</v>
      </c>
      <c r="S19" s="26">
        <f t="shared" ref="S19:S32" si="2">MROUND(R19,1)</f>
        <v>8</v>
      </c>
      <c r="T19" t="s">
        <v>20</v>
      </c>
    </row>
    <row r="20" spans="6:32" x14ac:dyDescent="0.45">
      <c r="G20" s="62" t="s">
        <v>136</v>
      </c>
      <c r="H20" s="60"/>
      <c r="I20" s="60"/>
      <c r="J20" s="60"/>
      <c r="K20" s="60"/>
      <c r="L20" s="60"/>
      <c r="M20" s="60"/>
      <c r="N20" s="60"/>
      <c r="O20" s="60"/>
      <c r="Q20" s="1" t="s">
        <v>110</v>
      </c>
      <c r="R20" s="17">
        <f>IF(G37&lt;&gt; 0, (G38*$C$10/10)/(G37*$C$9/10), 0)</f>
        <v>0</v>
      </c>
      <c r="S20" s="26">
        <f t="shared" si="2"/>
        <v>0</v>
      </c>
      <c r="T20" t="s">
        <v>15</v>
      </c>
    </row>
    <row r="21" spans="6:32" x14ac:dyDescent="0.45">
      <c r="G21" t="s">
        <v>151</v>
      </c>
      <c r="Q21" s="1" t="s">
        <v>34</v>
      </c>
      <c r="R21" s="15">
        <f>(G37*$C$9/10)</f>
        <v>0</v>
      </c>
      <c r="S21" s="26">
        <f t="shared" si="2"/>
        <v>0</v>
      </c>
      <c r="T21" t="s">
        <v>35</v>
      </c>
    </row>
    <row r="22" spans="6:32" ht="14.65" thickBot="1" x14ac:dyDescent="0.5">
      <c r="G22" s="5" t="s">
        <v>87</v>
      </c>
      <c r="Q22" s="1" t="s">
        <v>163</v>
      </c>
      <c r="R22" s="15">
        <f>G25</f>
        <v>38</v>
      </c>
      <c r="S22" s="26">
        <f t="shared" si="2"/>
        <v>38</v>
      </c>
      <c r="T22" t="s">
        <v>11</v>
      </c>
      <c r="AC22" s="99"/>
      <c r="AD22" s="99"/>
      <c r="AE22" s="99"/>
      <c r="AF22" s="99"/>
    </row>
    <row r="23" spans="6:32" x14ac:dyDescent="0.45">
      <c r="F23" s="2" t="s">
        <v>0</v>
      </c>
      <c r="G23" s="27">
        <f>Mål!B14</f>
        <v>36</v>
      </c>
      <c r="H23" t="s">
        <v>38</v>
      </c>
      <c r="Q23" s="1" t="s">
        <v>112</v>
      </c>
      <c r="S23" s="26"/>
      <c r="T23" t="s">
        <v>147</v>
      </c>
      <c r="AA23" s="1"/>
      <c r="AC23" s="1"/>
    </row>
    <row r="24" spans="6:32" x14ac:dyDescent="0.45">
      <c r="F24" s="2" t="s">
        <v>36</v>
      </c>
      <c r="G24" s="28">
        <f>Mål!B15</f>
        <v>5</v>
      </c>
      <c r="H24" t="s">
        <v>84</v>
      </c>
      <c r="Q24" s="1" t="s">
        <v>47</v>
      </c>
      <c r="R24" s="15">
        <f>(G42*C10/10)</f>
        <v>25.16</v>
      </c>
      <c r="S24" s="26">
        <f t="shared" si="2"/>
        <v>25</v>
      </c>
      <c r="T24" t="s">
        <v>70</v>
      </c>
      <c r="AA24" s="1"/>
      <c r="AC24" s="1"/>
    </row>
    <row r="25" spans="6:32" x14ac:dyDescent="0.45">
      <c r="F25" s="2" t="s">
        <v>7</v>
      </c>
      <c r="G25" s="28">
        <f>Mål!B16</f>
        <v>38</v>
      </c>
      <c r="H25" t="s">
        <v>153</v>
      </c>
      <c r="Q25" s="2" t="s">
        <v>48</v>
      </c>
      <c r="S25" s="26"/>
      <c r="AA25" s="1"/>
      <c r="AC25" s="1"/>
    </row>
    <row r="26" spans="6:32" ht="14.65" thickBot="1" x14ac:dyDescent="0.5">
      <c r="F26" s="2" t="s">
        <v>8</v>
      </c>
      <c r="G26" s="29">
        <f>Mål!B17</f>
        <v>42</v>
      </c>
      <c r="H26" t="s">
        <v>154</v>
      </c>
      <c r="Q26" s="1" t="s">
        <v>49</v>
      </c>
      <c r="R26" s="15">
        <f>(G43*C10/10)-((G44*C11/10)/(2))</f>
        <v>6.9499999999999993</v>
      </c>
      <c r="S26" s="26">
        <f>MROUND(R26,1)</f>
        <v>7</v>
      </c>
      <c r="T26" t="s">
        <v>118</v>
      </c>
      <c r="AA26" s="1"/>
      <c r="AC26" s="1"/>
    </row>
    <row r="27" spans="6:32" ht="14.65" thickBot="1" x14ac:dyDescent="0.5">
      <c r="F27" s="7" t="s">
        <v>9</v>
      </c>
      <c r="G27" s="38">
        <f>S22+(10*S28*2/C10)</f>
        <v>41.783783783783782</v>
      </c>
      <c r="H27" t="s">
        <v>91</v>
      </c>
      <c r="Q27" s="1" t="s">
        <v>120</v>
      </c>
      <c r="R27" s="16">
        <f>(G43*C10/10)/(G44*C11/10)*(2)</f>
        <v>2.1583333333333332</v>
      </c>
      <c r="S27" s="25">
        <v>1</v>
      </c>
      <c r="T27" t="s">
        <v>121</v>
      </c>
      <c r="AA27" s="1"/>
      <c r="AC27" s="1"/>
    </row>
    <row r="28" spans="6:32" ht="14.65" thickBot="1" x14ac:dyDescent="0.5">
      <c r="F28" s="7" t="s">
        <v>9</v>
      </c>
      <c r="G28" s="39">
        <f>G24+G30+S29+G41</f>
        <v>42</v>
      </c>
      <c r="H28" t="s">
        <v>92</v>
      </c>
      <c r="Q28" s="1" t="s">
        <v>34</v>
      </c>
      <c r="R28" s="18">
        <f>(G44*C10-S26)/10/2</f>
        <v>7.05</v>
      </c>
      <c r="S28" s="26">
        <f t="shared" si="2"/>
        <v>7</v>
      </c>
      <c r="T28" t="s">
        <v>35</v>
      </c>
      <c r="AA28" s="1"/>
      <c r="AC28" s="1"/>
    </row>
    <row r="29" spans="6:32" x14ac:dyDescent="0.45">
      <c r="F29" s="2" t="s">
        <v>22</v>
      </c>
      <c r="G29" s="27">
        <f>Mål!B18</f>
        <v>36</v>
      </c>
      <c r="H29" t="s">
        <v>39</v>
      </c>
      <c r="Q29" s="1" t="s">
        <v>51</v>
      </c>
      <c r="R29" s="15">
        <f>G39</f>
        <v>12</v>
      </c>
      <c r="S29" s="26">
        <f t="shared" si="2"/>
        <v>12</v>
      </c>
      <c r="T29" t="s">
        <v>11</v>
      </c>
      <c r="AA29" s="1"/>
      <c r="AC29" s="1"/>
    </row>
    <row r="30" spans="6:32" x14ac:dyDescent="0.45">
      <c r="F30" s="2" t="s">
        <v>23</v>
      </c>
      <c r="G30" s="28">
        <f>Mål!B19</f>
        <v>25</v>
      </c>
      <c r="H30" t="s">
        <v>41</v>
      </c>
      <c r="Q30" s="1" t="s">
        <v>52</v>
      </c>
      <c r="R30" s="16">
        <f>IF(G41&lt;&gt; 0, (G40*C9/10)/(G41*C11/10/2), (G40*C9/10))</f>
        <v>20.8</v>
      </c>
      <c r="S30" s="26">
        <f t="shared" si="2"/>
        <v>21</v>
      </c>
      <c r="T30" t="s">
        <v>50</v>
      </c>
      <c r="AA30" s="1"/>
      <c r="AC30" s="1"/>
    </row>
    <row r="31" spans="6:32" ht="14.65" thickBot="1" x14ac:dyDescent="0.5">
      <c r="F31" s="2" t="s">
        <v>88</v>
      </c>
      <c r="G31" s="29">
        <f>Mål!B20</f>
        <v>36</v>
      </c>
      <c r="H31" t="s">
        <v>40</v>
      </c>
      <c r="Q31" s="1" t="s">
        <v>34</v>
      </c>
      <c r="R31" s="15">
        <f>IF(G41&lt;&gt;0,(G41*C11/10/2),1)</f>
        <v>1</v>
      </c>
      <c r="S31" s="25">
        <f>MROUND(R31,1)-1</f>
        <v>0</v>
      </c>
      <c r="T31" t="s">
        <v>35</v>
      </c>
    </row>
    <row r="32" spans="6:32" ht="14.65" thickBot="1" x14ac:dyDescent="0.5">
      <c r="F32" s="7" t="s">
        <v>88</v>
      </c>
      <c r="G32" s="38">
        <f>10*S15/((C9+C10)/2)</f>
        <v>35.873015873015873</v>
      </c>
      <c r="H32" t="s">
        <v>89</v>
      </c>
      <c r="Q32" s="1" t="s">
        <v>119</v>
      </c>
      <c r="R32" s="15">
        <f>(S15-(S19*2+S21*2+S24+S26*2+S28*2+S30*S31*2))/2</f>
        <v>22</v>
      </c>
      <c r="S32" s="26">
        <f t="shared" si="2"/>
        <v>22</v>
      </c>
      <c r="T32" t="s">
        <v>156</v>
      </c>
    </row>
    <row r="33" spans="6:22" ht="14.65" thickBot="1" x14ac:dyDescent="0.5">
      <c r="F33" s="7" t="s">
        <v>88</v>
      </c>
      <c r="G33" s="6">
        <f>G36*2+G37*2+G40*2+G43*2+G42</f>
        <v>35.799999999999997</v>
      </c>
      <c r="H33" t="s">
        <v>90</v>
      </c>
      <c r="S33" s="26"/>
      <c r="V33" s="1"/>
    </row>
    <row r="34" spans="6:22" x14ac:dyDescent="0.45">
      <c r="Q34" s="2" t="s">
        <v>140</v>
      </c>
      <c r="S34" s="26"/>
      <c r="T34" t="s">
        <v>149</v>
      </c>
    </row>
    <row r="35" spans="6:22" ht="14.65" thickBot="1" x14ac:dyDescent="0.5">
      <c r="G35" s="31" t="s">
        <v>87</v>
      </c>
      <c r="Q35" s="1" t="s">
        <v>148</v>
      </c>
      <c r="R35" s="15">
        <f>R15-(R19*2+R21*2+R30*R31*2)</f>
        <v>56.2</v>
      </c>
      <c r="S35" s="26">
        <f t="shared" ref="S35" si="3">MROUND(R35,1)</f>
        <v>56</v>
      </c>
      <c r="T35" t="s">
        <v>72</v>
      </c>
    </row>
    <row r="36" spans="6:22" x14ac:dyDescent="0.45">
      <c r="F36" s="11" t="s">
        <v>24</v>
      </c>
      <c r="G36" s="27">
        <f>Mål!B22</f>
        <v>3</v>
      </c>
      <c r="H36" t="s">
        <v>98</v>
      </c>
      <c r="S36" s="26"/>
    </row>
    <row r="37" spans="6:22" x14ac:dyDescent="0.45">
      <c r="F37" s="11" t="s">
        <v>25</v>
      </c>
      <c r="G37" s="28">
        <f>Mål!B23</f>
        <v>0</v>
      </c>
      <c r="H37" t="s">
        <v>159</v>
      </c>
      <c r="S37" s="26"/>
    </row>
    <row r="38" spans="6:22" ht="14.65" customHeight="1" x14ac:dyDescent="0.45">
      <c r="F38" s="11" t="s">
        <v>26</v>
      </c>
      <c r="G38" s="28">
        <f>Mål!B24</f>
        <v>0</v>
      </c>
      <c r="H38" t="s">
        <v>160</v>
      </c>
      <c r="Q38" s="2" t="s">
        <v>62</v>
      </c>
      <c r="R38" s="15">
        <f>C7*G57/10</f>
        <v>39.200000000000003</v>
      </c>
      <c r="S38" s="26">
        <f t="shared" ref="S38:S40" si="4">MROUND(R38,1)</f>
        <v>39</v>
      </c>
      <c r="T38" t="s">
        <v>144</v>
      </c>
    </row>
    <row r="39" spans="6:22" x14ac:dyDescent="0.45">
      <c r="F39" s="2" t="s">
        <v>27</v>
      </c>
      <c r="G39" s="28">
        <f>Mål!B25</f>
        <v>12</v>
      </c>
      <c r="H39" t="s">
        <v>97</v>
      </c>
      <c r="Q39" s="1" t="s">
        <v>157</v>
      </c>
      <c r="R39" s="15">
        <f>G58</f>
        <v>5</v>
      </c>
      <c r="S39" s="26">
        <f t="shared" si="4"/>
        <v>5</v>
      </c>
      <c r="T39" t="s">
        <v>145</v>
      </c>
    </row>
    <row r="40" spans="6:22" x14ac:dyDescent="0.45">
      <c r="F40" s="2" t="s">
        <v>28</v>
      </c>
      <c r="G40" s="28">
        <f>Mål!B26</f>
        <v>8</v>
      </c>
      <c r="H40" t="s">
        <v>42</v>
      </c>
      <c r="Q40" s="1" t="s">
        <v>146</v>
      </c>
      <c r="R40" s="16">
        <f>IF(R41-S38&gt; 0, (R41-S38), 0)</f>
        <v>0</v>
      </c>
      <c r="S40" s="26">
        <f t="shared" si="4"/>
        <v>0</v>
      </c>
      <c r="T40" t="s">
        <v>13</v>
      </c>
    </row>
    <row r="41" spans="6:22" x14ac:dyDescent="0.45">
      <c r="F41" s="11" t="s">
        <v>29</v>
      </c>
      <c r="G41" s="28">
        <f>Mål!B27</f>
        <v>0</v>
      </c>
      <c r="H41" t="s">
        <v>101</v>
      </c>
      <c r="Q41" s="1" t="s">
        <v>63</v>
      </c>
      <c r="R41" s="15">
        <f>IF(Mål!V16&gt; S38, (MROUND(Mål!V16,1)), S38)</f>
        <v>39</v>
      </c>
      <c r="S41" s="26">
        <f>MROUND(R41,1)</f>
        <v>39</v>
      </c>
    </row>
    <row r="42" spans="6:22" ht="14.65" customHeight="1" x14ac:dyDescent="0.45">
      <c r="F42" s="2" t="s">
        <v>30</v>
      </c>
      <c r="G42" s="28">
        <f>Mål!B28</f>
        <v>6.8</v>
      </c>
      <c r="H42" t="s">
        <v>44</v>
      </c>
      <c r="Q42" s="1" t="s">
        <v>12</v>
      </c>
      <c r="R42" s="16">
        <f>(G62*$C$11/10)/(((($C$9*G60/10)-S41)/2)+1)</f>
        <v>3.5121951219512195</v>
      </c>
      <c r="S42" s="26">
        <f>MROUND(R42,1)</f>
        <v>4</v>
      </c>
    </row>
    <row r="43" spans="6:22" ht="15" customHeight="1" x14ac:dyDescent="0.45">
      <c r="F43" s="2" t="s">
        <v>31</v>
      </c>
      <c r="G43" s="28">
        <f>Mål!B29</f>
        <v>3.5</v>
      </c>
      <c r="H43" t="s">
        <v>43</v>
      </c>
      <c r="Q43" s="1" t="s">
        <v>14</v>
      </c>
      <c r="R43" s="16">
        <f>R42</f>
        <v>3.5121951219512195</v>
      </c>
      <c r="S43" s="26">
        <f>MROUND(R43,1)</f>
        <v>4</v>
      </c>
      <c r="T43" t="s">
        <v>15</v>
      </c>
    </row>
    <row r="44" spans="6:22" ht="14.65" thickBot="1" x14ac:dyDescent="0.5">
      <c r="F44" s="2" t="s">
        <v>95</v>
      </c>
      <c r="G44" s="29">
        <f>Mål!B30</f>
        <v>4</v>
      </c>
      <c r="H44" t="s">
        <v>46</v>
      </c>
      <c r="N44" s="61"/>
      <c r="O44" s="61"/>
      <c r="Q44" s="1" t="s">
        <v>17</v>
      </c>
      <c r="R44" s="15">
        <f>((((C9*G60/10)-S41)/2))</f>
        <v>19.5</v>
      </c>
      <c r="S44" s="26">
        <f>MROUND(R44,1)</f>
        <v>20</v>
      </c>
      <c r="T44" t="s">
        <v>18</v>
      </c>
    </row>
    <row r="45" spans="6:22" x14ac:dyDescent="0.45">
      <c r="Q45" s="1" t="s">
        <v>19</v>
      </c>
      <c r="R45" s="15">
        <f>S41+2*S44</f>
        <v>79</v>
      </c>
      <c r="S45" s="25">
        <f>(S41+2*S44)</f>
        <v>79</v>
      </c>
      <c r="T45" t="s">
        <v>20</v>
      </c>
    </row>
    <row r="46" spans="6:22" ht="14.65" thickBot="1" x14ac:dyDescent="0.5">
      <c r="G46" s="31" t="s">
        <v>87</v>
      </c>
      <c r="H46" s="60"/>
      <c r="I46" s="60"/>
      <c r="J46" s="60"/>
      <c r="K46" s="60"/>
      <c r="L46" s="60"/>
      <c r="M46" s="60"/>
      <c r="N46" s="60"/>
      <c r="O46" s="60"/>
      <c r="Q46" s="1" t="s">
        <v>10</v>
      </c>
      <c r="R46" s="15">
        <f>G62</f>
        <v>24</v>
      </c>
      <c r="S46" s="26">
        <f t="shared" ref="S46:S50" si="5">MROUND(R46,1)</f>
        <v>24</v>
      </c>
      <c r="T46" t="s">
        <v>16</v>
      </c>
    </row>
    <row r="47" spans="6:22" ht="14.65" thickBot="1" x14ac:dyDescent="0.5">
      <c r="F47" s="2" t="s">
        <v>96</v>
      </c>
      <c r="G47" s="41">
        <f>Mål!B32</f>
        <v>35</v>
      </c>
      <c r="H47" t="s">
        <v>45</v>
      </c>
      <c r="Q47" s="1" t="s">
        <v>32</v>
      </c>
      <c r="R47" s="15">
        <f>G63*C9/10</f>
        <v>0</v>
      </c>
      <c r="S47" s="26">
        <f t="shared" si="5"/>
        <v>0</v>
      </c>
      <c r="T47" t="s">
        <v>20</v>
      </c>
    </row>
    <row r="48" spans="6:22" ht="14.65" thickBot="1" x14ac:dyDescent="0.5">
      <c r="F48" s="7" t="s">
        <v>96</v>
      </c>
      <c r="G48" s="6">
        <f>10*(S54+S56+S55*2)/C7</f>
        <v>35.714285714285715</v>
      </c>
      <c r="H48" t="s">
        <v>114</v>
      </c>
      <c r="Q48" s="1" t="s">
        <v>33</v>
      </c>
      <c r="R48" s="17">
        <f>IF(G64&lt;&gt;0,((G65*$C$10/10)/(G64*$C$9/10)),0)</f>
        <v>0</v>
      </c>
      <c r="S48" s="26">
        <f t="shared" si="5"/>
        <v>0</v>
      </c>
      <c r="T48" t="s">
        <v>15</v>
      </c>
    </row>
    <row r="49" spans="5:20" x14ac:dyDescent="0.45">
      <c r="F49" s="7"/>
      <c r="Q49" s="1" t="s">
        <v>34</v>
      </c>
      <c r="R49" s="15">
        <f>(G64*$C$9/10)</f>
        <v>0</v>
      </c>
      <c r="S49" s="26">
        <f t="shared" si="5"/>
        <v>0</v>
      </c>
      <c r="T49" t="s">
        <v>35</v>
      </c>
    </row>
    <row r="50" spans="5:20" ht="16.149999999999999" thickBot="1" x14ac:dyDescent="0.55000000000000004">
      <c r="G50" s="68" t="s">
        <v>77</v>
      </c>
      <c r="H50" s="33"/>
      <c r="Q50" s="1" t="s">
        <v>37</v>
      </c>
      <c r="R50" s="15">
        <f>G66</f>
        <v>28</v>
      </c>
      <c r="S50" s="26">
        <f t="shared" si="5"/>
        <v>28</v>
      </c>
      <c r="T50" t="s">
        <v>11</v>
      </c>
    </row>
    <row r="51" spans="5:20" ht="14.65" thickBot="1" x14ac:dyDescent="0.5">
      <c r="G51" s="12">
        <f>ABS(Mål!X12-Mål!Z12)</f>
        <v>0.38461538461538325</v>
      </c>
      <c r="H51" s="98" t="str">
        <f>IF((Mål!X12-Mål!Y12)&gt;0,Mål!V20,Mål!V19)</f>
        <v>cm er ærmeskulders omkreds mindre end ærmegab, ikke mere end 2 cm kan justeres når du syr blusen sammen. 
Overvej at gøre ærmet lidt bredere eller ærmegabet lidt mindre højt.</v>
      </c>
      <c r="I51" s="98"/>
      <c r="J51" s="98"/>
      <c r="K51" s="98"/>
      <c r="L51" s="98"/>
      <c r="M51" s="98"/>
      <c r="N51" s="98"/>
      <c r="O51" s="98"/>
      <c r="Q51" s="1" t="s">
        <v>69</v>
      </c>
      <c r="R51" s="15">
        <f>S45-S49*2-S47*2</f>
        <v>79</v>
      </c>
      <c r="S51" s="25">
        <f>S45-S49*2-S47*2</f>
        <v>79</v>
      </c>
    </row>
    <row r="52" spans="5:20" ht="14.65" customHeight="1" x14ac:dyDescent="0.45">
      <c r="H52" s="98"/>
      <c r="I52" s="98"/>
      <c r="J52" s="98"/>
      <c r="K52" s="98"/>
      <c r="L52" s="98"/>
      <c r="M52" s="98"/>
      <c r="N52" s="98"/>
      <c r="O52" s="98"/>
      <c r="Q52" s="2"/>
      <c r="S52" s="25"/>
    </row>
    <row r="53" spans="5:20" x14ac:dyDescent="0.45">
      <c r="H53" s="98"/>
      <c r="I53" s="98"/>
      <c r="J53" s="98"/>
      <c r="K53" s="98"/>
      <c r="L53" s="98"/>
      <c r="M53" s="98"/>
      <c r="N53" s="98"/>
      <c r="O53" s="98"/>
      <c r="Q53" s="2" t="s">
        <v>73</v>
      </c>
      <c r="R53" s="16"/>
      <c r="S53" s="25"/>
    </row>
    <row r="54" spans="5:20" x14ac:dyDescent="0.45">
      <c r="H54" s="98"/>
      <c r="I54" s="98"/>
      <c r="J54" s="98"/>
      <c r="K54" s="98"/>
      <c r="L54" s="98"/>
      <c r="M54" s="98"/>
      <c r="N54" s="98"/>
      <c r="O54" s="98"/>
      <c r="Q54" s="1" t="s">
        <v>74</v>
      </c>
      <c r="R54" s="16">
        <f>(R35*10/C10)*C7/10</f>
        <v>42.529729729729731</v>
      </c>
      <c r="S54" s="26">
        <f t="shared" ref="S54" si="6">MROUND(R54,1)</f>
        <v>43</v>
      </c>
      <c r="T54" t="s">
        <v>143</v>
      </c>
    </row>
    <row r="55" spans="5:20" x14ac:dyDescent="0.45">
      <c r="H55" s="98"/>
      <c r="I55" s="98"/>
      <c r="J55" s="98"/>
      <c r="K55" s="98"/>
      <c r="L55" s="98"/>
      <c r="M55" s="98"/>
      <c r="N55" s="98"/>
      <c r="O55" s="98"/>
      <c r="Q55" s="1" t="s">
        <v>75</v>
      </c>
      <c r="R55" s="16">
        <f>(C7/10)*(IMSQRT(POWER((G44),2)+POWER((G43-(S26*10/C7)),2))+(G26-(G25+G44))+(S26*10/C7))</f>
        <v>18.544695751729446</v>
      </c>
      <c r="S55" s="26">
        <f>MROUND(R55,1)</f>
        <v>19</v>
      </c>
      <c r="T55" t="s">
        <v>76</v>
      </c>
    </row>
    <row r="56" spans="5:20" ht="14.65" thickBot="1" x14ac:dyDescent="0.5">
      <c r="G56" s="31" t="s">
        <v>87</v>
      </c>
      <c r="Q56" s="1" t="s">
        <v>115</v>
      </c>
      <c r="R56" s="15">
        <f>(R24*10/C10)*C7/10</f>
        <v>19.04</v>
      </c>
      <c r="S56" s="26">
        <f>MROUND(R56,1)</f>
        <v>19</v>
      </c>
    </row>
    <row r="57" spans="5:20" x14ac:dyDescent="0.45">
      <c r="F57" s="2" t="s">
        <v>54</v>
      </c>
      <c r="G57" s="27">
        <f>Mål!B34</f>
        <v>14</v>
      </c>
      <c r="H57" t="s">
        <v>56</v>
      </c>
      <c r="Q57" s="1" t="s">
        <v>155</v>
      </c>
      <c r="S57" s="25">
        <f>SUM(S54+S56+S55)</f>
        <v>81</v>
      </c>
      <c r="T57" s="40" t="s">
        <v>122</v>
      </c>
    </row>
    <row r="58" spans="5:20" x14ac:dyDescent="0.45">
      <c r="F58" s="2" t="s">
        <v>78</v>
      </c>
      <c r="G58" s="28">
        <f>Mål!B35</f>
        <v>5</v>
      </c>
      <c r="H58" t="s">
        <v>79</v>
      </c>
    </row>
    <row r="59" spans="5:20" x14ac:dyDescent="0.45">
      <c r="F59" s="2" t="s">
        <v>55</v>
      </c>
      <c r="G59" s="28">
        <f>Mål!B36</f>
        <v>15</v>
      </c>
      <c r="H59" t="s">
        <v>57</v>
      </c>
    </row>
    <row r="60" spans="5:20" ht="14.65" thickBot="1" x14ac:dyDescent="0.5">
      <c r="E60" s="1"/>
      <c r="F60" s="2" t="s">
        <v>58</v>
      </c>
      <c r="G60" s="28">
        <f>Mål!B37</f>
        <v>30</v>
      </c>
      <c r="H60" t="s">
        <v>59</v>
      </c>
    </row>
    <row r="61" spans="5:20" ht="14.65" thickBot="1" x14ac:dyDescent="0.5">
      <c r="F61" s="2" t="s">
        <v>58</v>
      </c>
      <c r="G61" s="6">
        <f>10*S45/C9</f>
        <v>30.384615384615383</v>
      </c>
      <c r="H61" t="s">
        <v>71</v>
      </c>
      <c r="O61" s="34"/>
    </row>
    <row r="62" spans="5:20" ht="15.75" customHeight="1" x14ac:dyDescent="0.45">
      <c r="F62" s="2" t="s">
        <v>64</v>
      </c>
      <c r="G62" s="27">
        <f>Mål!B38</f>
        <v>24</v>
      </c>
      <c r="H62" t="s">
        <v>60</v>
      </c>
      <c r="O62" s="33"/>
      <c r="P62" s="35"/>
    </row>
    <row r="63" spans="5:20" ht="14.65" hidden="1" customHeight="1" x14ac:dyDescent="0.45">
      <c r="F63" s="11" t="s">
        <v>65</v>
      </c>
      <c r="G63" s="28">
        <f>Mål!B39</f>
        <v>0</v>
      </c>
      <c r="H63" t="s">
        <v>98</v>
      </c>
      <c r="O63" s="34"/>
    </row>
    <row r="64" spans="5:20" hidden="1" x14ac:dyDescent="0.45">
      <c r="F64" s="11" t="s">
        <v>66</v>
      </c>
      <c r="G64" s="28">
        <f>Mål!B40</f>
        <v>0</v>
      </c>
      <c r="H64" t="s">
        <v>103</v>
      </c>
      <c r="O64" s="34"/>
    </row>
    <row r="65" spans="6:25" hidden="1" x14ac:dyDescent="0.45">
      <c r="F65" s="11" t="s">
        <v>67</v>
      </c>
      <c r="G65" s="28">
        <f>Mål!B41</f>
        <v>0</v>
      </c>
      <c r="H65" t="s">
        <v>104</v>
      </c>
      <c r="O65" s="34"/>
    </row>
    <row r="66" spans="6:25" ht="14.65" thickBot="1" x14ac:dyDescent="0.5">
      <c r="F66" s="2" t="s">
        <v>105</v>
      </c>
      <c r="G66" s="29">
        <f>Mål!B42</f>
        <v>28</v>
      </c>
      <c r="H66" t="s">
        <v>68</v>
      </c>
      <c r="O66" s="34"/>
      <c r="Q66" s="15"/>
      <c r="R66" s="3"/>
      <c r="S66" s="91"/>
      <c r="X66" s="1"/>
      <c r="Y66"/>
    </row>
    <row r="67" spans="6:25" x14ac:dyDescent="0.45">
      <c r="I67" s="33"/>
      <c r="J67" s="33"/>
      <c r="K67" s="33"/>
      <c r="L67" s="33"/>
      <c r="M67" s="33"/>
      <c r="N67" s="33"/>
      <c r="Q67" s="15"/>
      <c r="R67" s="3"/>
      <c r="S67" s="91"/>
      <c r="X67" s="1"/>
      <c r="Y67"/>
    </row>
    <row r="68" spans="6:25" x14ac:dyDescent="0.45">
      <c r="I68" s="34"/>
      <c r="J68" s="34"/>
      <c r="K68" s="34"/>
      <c r="L68" s="34"/>
      <c r="M68" s="34"/>
      <c r="N68" s="34"/>
      <c r="Q68" s="15"/>
      <c r="R68" s="3"/>
      <c r="S68" s="91"/>
      <c r="X68" s="1"/>
      <c r="Y68"/>
    </row>
    <row r="69" spans="6:25" x14ac:dyDescent="0.45">
      <c r="N69" s="1"/>
      <c r="Q69" s="15"/>
      <c r="R69" s="3"/>
      <c r="S69" s="91"/>
      <c r="X69" s="1"/>
      <c r="Y69"/>
    </row>
    <row r="70" spans="6:25" x14ac:dyDescent="0.45">
      <c r="N70" s="1"/>
      <c r="Q70" s="15"/>
      <c r="R70" s="3"/>
      <c r="S70" s="91"/>
      <c r="X70" s="1"/>
      <c r="Y70"/>
    </row>
    <row r="71" spans="6:25" x14ac:dyDescent="0.45">
      <c r="N71" s="1"/>
      <c r="Q71" s="15"/>
      <c r="R71" s="3"/>
      <c r="S71" s="91"/>
      <c r="X71" s="1"/>
      <c r="Y71"/>
    </row>
    <row r="72" spans="6:25" x14ac:dyDescent="0.45">
      <c r="N72" s="1"/>
      <c r="Q72" s="15"/>
      <c r="R72" s="3"/>
      <c r="S72" s="91"/>
      <c r="X72" s="1"/>
      <c r="Y72"/>
    </row>
    <row r="73" spans="6:25" x14ac:dyDescent="0.45">
      <c r="Q73" s="15"/>
      <c r="R73" s="3"/>
      <c r="S73" s="91"/>
      <c r="X73" s="1"/>
      <c r="Y73"/>
    </row>
    <row r="74" spans="6:25" x14ac:dyDescent="0.45">
      <c r="Q74" s="15"/>
      <c r="R74" s="3"/>
      <c r="S74" s="91"/>
      <c r="X74" s="1"/>
      <c r="Y74"/>
    </row>
    <row r="75" spans="6:25" x14ac:dyDescent="0.45">
      <c r="Q75" s="15"/>
      <c r="R75" s="3"/>
      <c r="S75" s="91"/>
      <c r="X75" s="1"/>
      <c r="Y75"/>
    </row>
    <row r="76" spans="6:25" x14ac:dyDescent="0.45">
      <c r="Q76" s="15"/>
      <c r="R76" s="3"/>
      <c r="S76" s="91"/>
      <c r="X76" s="1"/>
      <c r="Y76"/>
    </row>
    <row r="77" spans="6:25" x14ac:dyDescent="0.45">
      <c r="Q77" s="15"/>
      <c r="R77" s="3"/>
      <c r="S77" s="91"/>
      <c r="X77" s="1"/>
      <c r="Y77"/>
    </row>
    <row r="78" spans="6:25" x14ac:dyDescent="0.45">
      <c r="Q78" s="15"/>
      <c r="R78" s="3"/>
      <c r="S78" s="91"/>
      <c r="X78" s="1"/>
      <c r="Y78"/>
    </row>
    <row r="79" spans="6:25" x14ac:dyDescent="0.45">
      <c r="Q79" s="15"/>
      <c r="R79" s="3"/>
      <c r="S79" s="91"/>
      <c r="X79" s="1"/>
      <c r="Y79"/>
    </row>
    <row r="80" spans="6:25" x14ac:dyDescent="0.45">
      <c r="Q80" s="15"/>
      <c r="R80" s="3"/>
      <c r="S80" s="91"/>
      <c r="X80" s="1"/>
      <c r="Y80"/>
    </row>
    <row r="81" spans="17:25" x14ac:dyDescent="0.45">
      <c r="Q81" s="15"/>
      <c r="R81" s="3"/>
      <c r="S81" s="91"/>
      <c r="X81" s="1"/>
      <c r="Y81"/>
    </row>
    <row r="82" spans="17:25" x14ac:dyDescent="0.45">
      <c r="Q82" s="15"/>
      <c r="R82" s="3"/>
      <c r="S82" s="91"/>
      <c r="X82" s="1"/>
      <c r="Y82"/>
    </row>
    <row r="83" spans="17:25" x14ac:dyDescent="0.45">
      <c r="Q83" s="15"/>
      <c r="R83" s="3"/>
      <c r="S83" s="91"/>
      <c r="X83" s="1"/>
      <c r="Y83"/>
    </row>
    <row r="84" spans="17:25" x14ac:dyDescent="0.45">
      <c r="Q84" s="15"/>
      <c r="R84" s="3"/>
      <c r="S84" s="91"/>
      <c r="X84" s="1"/>
      <c r="Y84"/>
    </row>
  </sheetData>
  <sheetProtection algorithmName="SHA-512" hashValue="gjmYzncK5i2NMh6vEVAUreswGKdtk6FBIPFLv91YaRht6cfka6zRZQqzmcrGiHG3TxWiffBuxXAdGGAXiOJ5uw==" saltValue="g/u2aknb39+NAqNHDU2O1Q==" spinCount="100000" sheet="1" objects="1" scenarios="1"/>
  <protectedRanges>
    <protectedRange sqref="S16 S19:S22 S24 S26 S28:S30 S32 S35 S46:S50 S54:S56 S38:S44 S8:S14" name="Område2"/>
    <protectedRange sqref="G62:G66 G7 G10:G12 G23:G26 G29:G31 G36:G44 G47 C7 G57:G60 C9:C11" name="Område1"/>
  </protectedRanges>
  <mergeCells count="6">
    <mergeCell ref="B5:D5"/>
    <mergeCell ref="H51:O55"/>
    <mergeCell ref="AC22:AF22"/>
    <mergeCell ref="Q5:T5"/>
    <mergeCell ref="G5:O5"/>
    <mergeCell ref="H15:O18"/>
  </mergeCells>
  <phoneticPr fontId="2" type="noConversion"/>
  <conditionalFormatting sqref="G51">
    <cfRule type="cellIs" dxfId="28" priority="64" stopIfTrue="1" operator="between">
      <formula>-2</formula>
      <formula>2</formula>
    </cfRule>
    <cfRule type="cellIs" dxfId="27" priority="66" operator="lessThan">
      <formula>-2</formula>
    </cfRule>
    <cfRule type="cellIs" dxfId="26" priority="67" operator="greaterThan">
      <formula>2</formula>
    </cfRule>
  </conditionalFormatting>
  <conditionalFormatting sqref="G27">
    <cfRule type="expression" dxfId="25" priority="36">
      <formula>$G$26-$G$27&lt;-1</formula>
    </cfRule>
    <cfRule type="expression" dxfId="24" priority="37">
      <formula>-1&lt;$G$26-$G$27&gt;1</formula>
    </cfRule>
    <cfRule type="expression" dxfId="23" priority="55">
      <formula>$G$26-$G$27&gt;1</formula>
    </cfRule>
  </conditionalFormatting>
  <conditionalFormatting sqref="G32">
    <cfRule type="expression" dxfId="22" priority="49">
      <formula>1&lt;$G$32-$G$31</formula>
    </cfRule>
    <cfRule type="expression" dxfId="21" priority="50">
      <formula>-1&gt;$G$32-$G$31</formula>
    </cfRule>
    <cfRule type="expression" dxfId="20" priority="52">
      <formula>-1&lt;$G$32-$G$31&gt;1</formula>
    </cfRule>
  </conditionalFormatting>
  <conditionalFormatting sqref="G33">
    <cfRule type="expression" dxfId="19" priority="47">
      <formula>-1&gt;$G$33-$G$31</formula>
    </cfRule>
    <cfRule type="expression" dxfId="18" priority="48">
      <formula>1&lt;$G$33-$G$31</formula>
    </cfRule>
    <cfRule type="expression" dxfId="17" priority="51" stopIfTrue="1">
      <formula>-1&lt;$G$33-$G$31&gt;1</formula>
    </cfRule>
  </conditionalFormatting>
  <conditionalFormatting sqref="G15">
    <cfRule type="cellIs" dxfId="16" priority="44" operator="equal">
      <formula>0</formula>
    </cfRule>
    <cfRule type="cellIs" dxfId="15" priority="46" operator="notEqual">
      <formula>0</formula>
    </cfRule>
  </conditionalFormatting>
  <conditionalFormatting sqref="G28">
    <cfRule type="expression" dxfId="14" priority="33">
      <formula>$G$26-$G$28&gt;1</formula>
    </cfRule>
    <cfRule type="expression" dxfId="13" priority="34">
      <formula>-1&lt;$G$26-$G$28&gt;1</formula>
    </cfRule>
    <cfRule type="expression" dxfId="12" priority="35">
      <formula>$G$26-$G$28&lt;-1</formula>
    </cfRule>
  </conditionalFormatting>
  <conditionalFormatting sqref="G48">
    <cfRule type="expression" dxfId="11" priority="30">
      <formula>-2&gt;$G$48-$G$47</formula>
    </cfRule>
    <cfRule type="expression" dxfId="10" priority="31">
      <formula>2&lt;$G$48-$G$47</formula>
    </cfRule>
    <cfRule type="expression" dxfId="9" priority="32" stopIfTrue="1">
      <formula>-2&lt;$G$48-$G$47&gt;2</formula>
    </cfRule>
  </conditionalFormatting>
  <conditionalFormatting sqref="G61">
    <cfRule type="expression" dxfId="8" priority="27">
      <formula>-2&gt;$G$60-$G$61</formula>
    </cfRule>
    <cfRule type="expression" dxfId="7" priority="28">
      <formula>2&lt;$G$60-$G$61</formula>
    </cfRule>
    <cfRule type="expression" dxfId="6" priority="29">
      <formula>-2&lt;$G$60-$G$61&gt;2</formula>
    </cfRule>
  </conditionalFormatting>
  <conditionalFormatting sqref="S8">
    <cfRule type="cellIs" dxfId="5" priority="7" operator="notEqual">
      <formula>MROUND(R8,1)</formula>
    </cfRule>
  </conditionalFormatting>
  <conditionalFormatting sqref="S9 S11:S14">
    <cfRule type="cellIs" dxfId="4" priority="5" operator="notEqual">
      <formula>MROUND(R9,1)</formula>
    </cfRule>
  </conditionalFormatting>
  <conditionalFormatting sqref="S16:S26">
    <cfRule type="cellIs" dxfId="3" priority="4" operator="notEqual">
      <formula>MROUND(R16,1)</formula>
    </cfRule>
  </conditionalFormatting>
  <conditionalFormatting sqref="S54:S56 S46:S50 S41:S44 S32:S39 S28:S30">
    <cfRule type="cellIs" dxfId="2" priority="3" operator="notEqual">
      <formula>MROUND(R28,1)</formula>
    </cfRule>
  </conditionalFormatting>
  <conditionalFormatting sqref="S40">
    <cfRule type="cellIs" dxfId="1" priority="2" operator="notEqual">
      <formula>MROUND(R40,1)</formula>
    </cfRule>
  </conditionalFormatting>
  <conditionalFormatting sqref="S10">
    <cfRule type="cellIs" dxfId="0" priority="1" operator="notEqual">
      <formula>MROUND(R10,1)</formula>
    </cfRule>
  </conditionalFormatting>
  <pageMargins left="0.23622047244094491" right="0.23622047244094491" top="0.74803149606299213" bottom="0.74803149606299213" header="0.31496062992125984" footer="0.31496062992125984"/>
  <pageSetup paperSize="9" scale="23" orientation="portrait" horizontalDpi="4294967293" verticalDpi="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5EE65E7-3649-43A8-AE9A-F85F315CD35B}">
          <x14:formula1>
            <xm:f>Mål!$K$9:$Q$9</xm:f>
          </x14:formula1>
          <xm:sqref>G7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A92D3-1651-4F8C-B62A-57EB3A7DF2A0}">
  <dimension ref="A1:AL96"/>
  <sheetViews>
    <sheetView showGridLines="0" zoomScaleNormal="100" workbookViewId="0">
      <selection activeCell="N4" sqref="N4"/>
    </sheetView>
  </sheetViews>
  <sheetFormatPr defaultRowHeight="14.25" x14ac:dyDescent="0.45"/>
  <cols>
    <col min="1" max="1" width="14.86328125" customWidth="1"/>
    <col min="2" max="2" width="10.1328125" customWidth="1"/>
    <col min="3" max="3" width="14" bestFit="1" customWidth="1"/>
    <col min="4" max="4" width="28.9296875" customWidth="1"/>
    <col min="5" max="5" width="13.3984375" customWidth="1"/>
    <col min="6" max="6" width="6.265625" customWidth="1"/>
    <col min="7" max="7" width="16" customWidth="1"/>
    <col min="8" max="10" width="6.265625" customWidth="1"/>
    <col min="11" max="16" width="5.3984375" bestFit="1" customWidth="1"/>
    <col min="17" max="17" width="5.3984375" style="1" bestFit="1" customWidth="1"/>
    <col min="18" max="18" width="5.3984375" style="15" bestFit="1" customWidth="1"/>
    <col min="19" max="19" width="5.3984375" style="3" bestFit="1" customWidth="1"/>
    <col min="20" max="24" width="5.3984375" bestFit="1" customWidth="1"/>
    <col min="25" max="25" width="22.3984375" style="1" bestFit="1" customWidth="1"/>
    <col min="26" max="26" width="4.73046875" customWidth="1"/>
    <col min="27" max="27" width="13.265625" bestFit="1" customWidth="1"/>
    <col min="29" max="29" width="23.86328125" customWidth="1"/>
    <col min="36" max="37" width="9.1328125" customWidth="1"/>
    <col min="38" max="38" width="25.59765625" customWidth="1"/>
    <col min="39" max="42" width="9.1328125" customWidth="1"/>
    <col min="43" max="68" width="9.06640625" customWidth="1"/>
  </cols>
  <sheetData>
    <row r="1" spans="1:38" x14ac:dyDescent="0.45">
      <c r="A1" s="19" t="s">
        <v>113</v>
      </c>
    </row>
    <row r="2" spans="1:38" ht="14.65" thickBot="1" x14ac:dyDescent="0.5">
      <c r="P2" s="35"/>
      <c r="Q2" s="22"/>
      <c r="R2" s="74"/>
      <c r="S2" s="75"/>
      <c r="T2" s="35"/>
    </row>
    <row r="3" spans="1:38" ht="15.75" customHeight="1" thickBot="1" x14ac:dyDescent="0.55000000000000004">
      <c r="B3" s="2" t="s">
        <v>4</v>
      </c>
      <c r="C3" s="69">
        <f>Opskrift!C7</f>
        <v>28</v>
      </c>
      <c r="D3" t="s">
        <v>3</v>
      </c>
      <c r="F3" s="67" t="s">
        <v>135</v>
      </c>
      <c r="P3" s="35"/>
      <c r="Q3" s="73"/>
      <c r="R3" s="36"/>
      <c r="S3" s="76"/>
      <c r="T3" s="35"/>
      <c r="AL3" t="s">
        <v>53</v>
      </c>
    </row>
    <row r="4" spans="1:38" ht="14.65" thickBot="1" x14ac:dyDescent="0.5">
      <c r="B4" s="1"/>
      <c r="C4" s="70" t="e">
        <f>Opskrift!#REF!</f>
        <v>#REF!</v>
      </c>
      <c r="D4" t="s">
        <v>2</v>
      </c>
      <c r="E4" s="2" t="s">
        <v>88</v>
      </c>
      <c r="F4" s="27" cm="1">
        <f t="array" ref="F4">_xlfn.IFS(Opskrift!G7=$L$9,L17,Opskrift!G7=$M$9,M17,Opskrift!G7=$N$9,N17,Opskrift!G7=$P$9,P17,Opskrift!G7=$Q$9,Q17,Opskrift!G7=$K$9,K17,Opskrift!G7=$O$9,O17)</f>
        <v>36</v>
      </c>
      <c r="G4" t="s">
        <v>40</v>
      </c>
      <c r="P4" s="35"/>
      <c r="Q4" s="77"/>
      <c r="R4" s="78"/>
      <c r="S4" s="79"/>
      <c r="Y4"/>
    </row>
    <row r="5" spans="1:38" ht="14.65" thickBot="1" x14ac:dyDescent="0.5">
      <c r="B5" s="1"/>
      <c r="E5" s="2" t="s">
        <v>8</v>
      </c>
      <c r="F5" s="28" cm="1">
        <f t="array" ref="F5">_xlfn.IFS(Opskrift!G7=$L$9,L14,Opskrift!G7=$M$9,M14,Opskrift!G7=$N$9,N14,Opskrift!G7=$P$9,P14,Opskrift!G7=$Q$9,Q14,Opskrift!G7=$K$9,K14,Opskrift!G7=$O$9,O14)</f>
        <v>42</v>
      </c>
      <c r="G5" t="s">
        <v>86</v>
      </c>
      <c r="P5" s="35"/>
      <c r="Q5" s="86"/>
      <c r="R5" s="87"/>
      <c r="S5" s="88"/>
      <c r="Y5"/>
    </row>
    <row r="6" spans="1:38" ht="14.65" thickBot="1" x14ac:dyDescent="0.5">
      <c r="B6" s="2" t="s">
        <v>5</v>
      </c>
      <c r="C6" s="71">
        <f>Opskrift!C9</f>
        <v>26</v>
      </c>
      <c r="D6" t="s">
        <v>3</v>
      </c>
      <c r="E6" s="2" t="s">
        <v>105</v>
      </c>
      <c r="F6" s="29" cm="1">
        <f t="array" ref="F6">_xlfn.IFS(Opskrift!G7=$L$9,L36,Opskrift!G7=$M$9,M36,Opskrift!G7=$N$9,N36,Opskrift!G7=$P$9,P36,Opskrift!G7=$Q$9,Q36,Opskrift!G7=$K$9,K36,Opskrift!G7=$O$9,O36)</f>
        <v>28</v>
      </c>
      <c r="G6" t="s">
        <v>68</v>
      </c>
      <c r="R6" s="16"/>
      <c r="S6" s="25"/>
      <c r="U6" t="s">
        <v>53</v>
      </c>
      <c r="Y6"/>
    </row>
    <row r="7" spans="1:38" ht="14.65" thickBot="1" x14ac:dyDescent="0.5">
      <c r="B7" s="1"/>
      <c r="C7" s="72">
        <f>Opskrift!C10</f>
        <v>37</v>
      </c>
      <c r="D7" t="s">
        <v>2</v>
      </c>
      <c r="S7" s="25"/>
      <c r="U7">
        <f>Opskrift!S19*2+Opskrift!S21*2+Opskrift!S27*Opskrift!S28*2+Opskrift!S24+Opskrift!S30*Opskrift!S31*2+2*Opskrift!S26+2*Opskrift!S32</f>
        <v>113</v>
      </c>
      <c r="V7" s="21">
        <f>Opskrift!S15-U7</f>
        <v>0</v>
      </c>
      <c r="Y7"/>
    </row>
    <row r="8" spans="1:38" x14ac:dyDescent="0.45">
      <c r="B8" s="1"/>
      <c r="R8" s="16"/>
      <c r="S8" s="25"/>
      <c r="U8" t="s">
        <v>80</v>
      </c>
      <c r="V8" t="s">
        <v>106</v>
      </c>
      <c r="Y8"/>
    </row>
    <row r="9" spans="1:38" x14ac:dyDescent="0.45">
      <c r="K9" s="50" t="s">
        <v>133</v>
      </c>
      <c r="L9" s="50" t="s">
        <v>127</v>
      </c>
      <c r="M9" s="50" t="s">
        <v>128</v>
      </c>
      <c r="N9" s="50" t="s">
        <v>129</v>
      </c>
      <c r="O9" s="50" t="s">
        <v>130</v>
      </c>
      <c r="P9" s="50" t="s">
        <v>131</v>
      </c>
      <c r="Q9" s="51" t="s">
        <v>132</v>
      </c>
      <c r="S9" s="25"/>
      <c r="U9" t="s">
        <v>81</v>
      </c>
      <c r="V9" t="s">
        <v>82</v>
      </c>
      <c r="Y9"/>
    </row>
    <row r="10" spans="1:38" x14ac:dyDescent="0.45">
      <c r="K10" s="50" t="s">
        <v>11</v>
      </c>
      <c r="L10" s="50" t="s">
        <v>11</v>
      </c>
      <c r="M10" s="50" t="s">
        <v>11</v>
      </c>
      <c r="N10" s="50" t="s">
        <v>11</v>
      </c>
      <c r="O10" s="50" t="s">
        <v>11</v>
      </c>
      <c r="P10" s="50" t="s">
        <v>11</v>
      </c>
      <c r="Q10" s="51" t="s">
        <v>11</v>
      </c>
      <c r="S10" s="25"/>
      <c r="U10" t="s">
        <v>83</v>
      </c>
      <c r="V10" t="s">
        <v>111</v>
      </c>
      <c r="Y10"/>
    </row>
    <row r="11" spans="1:38" x14ac:dyDescent="0.45">
      <c r="B11" s="62" t="s">
        <v>136</v>
      </c>
      <c r="E11" s="42" t="s">
        <v>0</v>
      </c>
      <c r="F11" s="47" t="s">
        <v>38</v>
      </c>
      <c r="G11" s="48"/>
      <c r="H11" s="48"/>
      <c r="I11" s="48"/>
      <c r="J11" s="49"/>
      <c r="K11" s="43">
        <v>30</v>
      </c>
      <c r="L11" s="43">
        <v>32</v>
      </c>
      <c r="M11" s="43">
        <v>34</v>
      </c>
      <c r="N11" s="43">
        <v>36</v>
      </c>
      <c r="O11" s="43">
        <v>38</v>
      </c>
      <c r="P11" s="43">
        <v>40</v>
      </c>
      <c r="Q11" s="44">
        <v>42</v>
      </c>
      <c r="S11" s="25"/>
      <c r="Y11"/>
    </row>
    <row r="12" spans="1:38" x14ac:dyDescent="0.45">
      <c r="B12" t="s">
        <v>141</v>
      </c>
      <c r="E12" s="42" t="s">
        <v>36</v>
      </c>
      <c r="F12" s="47" t="s">
        <v>84</v>
      </c>
      <c r="G12" s="48"/>
      <c r="H12" s="48"/>
      <c r="I12" s="48"/>
      <c r="J12" s="49"/>
      <c r="K12" s="45">
        <v>3</v>
      </c>
      <c r="L12" s="45">
        <v>4</v>
      </c>
      <c r="M12" s="45">
        <v>4.5</v>
      </c>
      <c r="N12" s="45">
        <v>5</v>
      </c>
      <c r="O12" s="45">
        <v>5</v>
      </c>
      <c r="P12" s="45">
        <v>5</v>
      </c>
      <c r="Q12" s="46">
        <v>5</v>
      </c>
      <c r="R12" s="16"/>
      <c r="S12" s="25"/>
      <c r="W12" s="1" t="s">
        <v>77</v>
      </c>
      <c r="X12" s="3">
        <f>Opskrift!G36*2+(SQRT((Opskrift!G37*Opskrift!G37+Opskrift!G38*Opskrift!G38)))*2+(Opskrift!G39-Opskrift!G38)*2</f>
        <v>30</v>
      </c>
      <c r="Y12" s="4">
        <f>Opskrift!G63*2+(SQRT((Opskrift!G65*Opskrift!G65+Opskrift!G64*Opskrift!G64)))*2+(Opskrift!G66-(Opskrift!G62+Opskrift!G65+Opskrift!G58))+(Opskrift!S51*10/Opskrift!C9)</f>
        <v>29.384615384615383</v>
      </c>
      <c r="Z12">
        <f>Opskrift!G61</f>
        <v>30.384615384615383</v>
      </c>
    </row>
    <row r="13" spans="1:38" ht="14.65" thickBot="1" x14ac:dyDescent="0.5">
      <c r="B13" s="32" t="s">
        <v>87</v>
      </c>
      <c r="E13" s="42" t="s">
        <v>7</v>
      </c>
      <c r="F13" s="47" t="s">
        <v>85</v>
      </c>
      <c r="G13" s="48"/>
      <c r="H13" s="48"/>
      <c r="I13" s="48"/>
      <c r="J13" s="49"/>
      <c r="K13" s="43">
        <v>27</v>
      </c>
      <c r="L13" s="43">
        <v>31</v>
      </c>
      <c r="M13" s="43">
        <v>34</v>
      </c>
      <c r="N13" s="43">
        <v>38</v>
      </c>
      <c r="O13" s="43">
        <v>41</v>
      </c>
      <c r="P13" s="43">
        <v>43</v>
      </c>
      <c r="Q13" s="44">
        <v>48</v>
      </c>
      <c r="R13" s="16"/>
      <c r="S13" s="25"/>
      <c r="Y13"/>
    </row>
    <row r="14" spans="1:38" x14ac:dyDescent="0.45">
      <c r="A14" s="2" t="s">
        <v>0</v>
      </c>
      <c r="B14" s="27" cm="1">
        <f t="array" ref="B14">_xlfn.IFS(Opskrift!G7=$L$9,L11,Opskrift!G7=$M$9,M11,Opskrift!G7=$N$9,N11,Opskrift!G7=$P$9,P11,Opskrift!G7=$Q$9,Q11,Opskrift!G7=$K$9,K11,Opskrift!G7=$O$9,O11)</f>
        <v>36</v>
      </c>
      <c r="C14" t="s">
        <v>38</v>
      </c>
      <c r="E14" s="42" t="s">
        <v>8</v>
      </c>
      <c r="F14" s="47" t="s">
        <v>86</v>
      </c>
      <c r="G14" s="48"/>
      <c r="H14" s="48"/>
      <c r="I14" s="48"/>
      <c r="J14" s="49"/>
      <c r="K14" s="43">
        <v>33</v>
      </c>
      <c r="L14" s="43">
        <v>36</v>
      </c>
      <c r="M14" s="43">
        <v>39</v>
      </c>
      <c r="N14" s="43">
        <v>42</v>
      </c>
      <c r="O14" s="43">
        <v>45</v>
      </c>
      <c r="P14" s="43">
        <v>48</v>
      </c>
      <c r="Q14" s="44">
        <v>52</v>
      </c>
      <c r="S14" s="25"/>
      <c r="U14" t="s">
        <v>117</v>
      </c>
      <c r="V14">
        <f>Opskrift!C9*Opskrift!G29/10</f>
        <v>93.6</v>
      </c>
      <c r="Y14"/>
    </row>
    <row r="15" spans="1:38" x14ac:dyDescent="0.45">
      <c r="A15" s="2" t="s">
        <v>36</v>
      </c>
      <c r="B15" s="28" cm="1">
        <f t="array" ref="B15">_xlfn.IFS(Opskrift!G7=$L$9,L12,Opskrift!G7=$M$9,M12,Opskrift!G7=$N$9,N12,Opskrift!G7=$P$9,P12,Opskrift!G7=$Q$9,Q12,Opskrift!G7=$K$9,K12,Opskrift!G7=$O$9,O12)</f>
        <v>5</v>
      </c>
      <c r="C15" t="s">
        <v>84</v>
      </c>
      <c r="E15" s="42" t="s">
        <v>22</v>
      </c>
      <c r="F15" s="47" t="s">
        <v>39</v>
      </c>
      <c r="G15" s="48"/>
      <c r="H15" s="48"/>
      <c r="I15" s="48"/>
      <c r="J15" s="49"/>
      <c r="K15" s="43">
        <v>30</v>
      </c>
      <c r="L15" s="43">
        <v>32</v>
      </c>
      <c r="M15" s="43">
        <v>34</v>
      </c>
      <c r="N15" s="43">
        <v>36</v>
      </c>
      <c r="O15" s="43">
        <v>38</v>
      </c>
      <c r="P15" s="43">
        <v>40</v>
      </c>
      <c r="Q15" s="44">
        <v>42</v>
      </c>
      <c r="S15" s="24"/>
      <c r="Y15"/>
    </row>
    <row r="16" spans="1:38" x14ac:dyDescent="0.45">
      <c r="A16" s="2" t="s">
        <v>7</v>
      </c>
      <c r="B16" s="28" cm="1">
        <f t="array" ref="B16">_xlfn.IFS(Opskrift!G7=$L$9,L13,Opskrift!G7=$M$9,M13,Opskrift!G7=$N$9,N13,Opskrift!G7=$P$9,P13,Opskrift!G7=$Q$9,Q13,Opskrift!G7=$K$9,K13,Opskrift!G7=$O$9,O13)</f>
        <v>38</v>
      </c>
      <c r="C16" t="s">
        <v>85</v>
      </c>
      <c r="E16" s="42" t="s">
        <v>23</v>
      </c>
      <c r="F16" s="47" t="s">
        <v>134</v>
      </c>
      <c r="G16" s="48"/>
      <c r="H16" s="48"/>
      <c r="I16" s="48"/>
      <c r="J16" s="49"/>
      <c r="K16" s="43">
        <v>18</v>
      </c>
      <c r="L16" s="43">
        <v>20</v>
      </c>
      <c r="M16" s="43">
        <v>22</v>
      </c>
      <c r="N16" s="43">
        <v>25</v>
      </c>
      <c r="O16" s="43">
        <v>27</v>
      </c>
      <c r="P16" s="43">
        <v>29</v>
      </c>
      <c r="Q16" s="44">
        <v>31</v>
      </c>
      <c r="S16" s="24"/>
      <c r="U16" t="s">
        <v>123</v>
      </c>
      <c r="V16">
        <f>Opskrift!C9*Opskrift!G59/10</f>
        <v>39</v>
      </c>
      <c r="Y16"/>
    </row>
    <row r="17" spans="1:25" ht="14.65" thickBot="1" x14ac:dyDescent="0.5">
      <c r="A17" s="2" t="s">
        <v>8</v>
      </c>
      <c r="B17" s="29">
        <f>F5</f>
        <v>42</v>
      </c>
      <c r="C17" t="s">
        <v>86</v>
      </c>
      <c r="E17" s="42" t="s">
        <v>88</v>
      </c>
      <c r="F17" s="47" t="s">
        <v>40</v>
      </c>
      <c r="G17" s="48"/>
      <c r="H17" s="48"/>
      <c r="I17" s="48"/>
      <c r="J17" s="49"/>
      <c r="K17" s="43">
        <v>30</v>
      </c>
      <c r="L17" s="43">
        <v>32</v>
      </c>
      <c r="M17" s="43">
        <v>34</v>
      </c>
      <c r="N17" s="43">
        <v>36</v>
      </c>
      <c r="O17" s="43">
        <v>38</v>
      </c>
      <c r="P17" s="43">
        <v>40</v>
      </c>
      <c r="Q17" s="44">
        <v>42</v>
      </c>
      <c r="S17" s="24"/>
      <c r="Y17"/>
    </row>
    <row r="18" spans="1:25" x14ac:dyDescent="0.45">
      <c r="A18" s="2" t="s">
        <v>22</v>
      </c>
      <c r="B18" s="27" cm="1">
        <f t="array" ref="B18">_xlfn.IFS(Opskrift!G7=$L$9,L15,Opskrift!G7=$M$9,M15,Opskrift!G7=$N$9,N15,Opskrift!G7=$P$9,P15,Opskrift!G7=$Q$9,Q15,Opskrift!G7=$K$9,K15,Opskrift!G7=$O$9,O15)</f>
        <v>36</v>
      </c>
      <c r="C18" t="s">
        <v>39</v>
      </c>
      <c r="E18" s="42" t="s">
        <v>24</v>
      </c>
      <c r="F18" s="47" t="s">
        <v>98</v>
      </c>
      <c r="G18" s="48"/>
      <c r="H18" s="48"/>
      <c r="I18" s="48"/>
      <c r="J18" s="49"/>
      <c r="K18" s="43">
        <v>2.5</v>
      </c>
      <c r="L18" s="43">
        <v>2.5</v>
      </c>
      <c r="M18" s="43">
        <v>3</v>
      </c>
      <c r="N18" s="43">
        <v>3</v>
      </c>
      <c r="O18" s="43">
        <v>3</v>
      </c>
      <c r="P18" s="43">
        <v>3.5</v>
      </c>
      <c r="Q18" s="44">
        <v>4</v>
      </c>
      <c r="S18" s="24"/>
      <c r="Y18"/>
    </row>
    <row r="19" spans="1:25" x14ac:dyDescent="0.45">
      <c r="A19" s="2" t="s">
        <v>23</v>
      </c>
      <c r="B19" s="28" cm="1">
        <f t="array" ref="B19">_xlfn.IFS(Opskrift!G7=$L$9,L16,Opskrift!G7=$M$9,M16,Opskrift!G7=$N$9,N16,Opskrift!G7=$P$9,P16,Opskrift!G7=$Q$9,Q16,Opskrift!G7=$K$9,K16,Opskrift!G7=$O$9,O16)</f>
        <v>25</v>
      </c>
      <c r="C19" t="s">
        <v>41</v>
      </c>
      <c r="E19" s="42" t="s">
        <v>25</v>
      </c>
      <c r="F19" s="47" t="s">
        <v>99</v>
      </c>
      <c r="G19" s="48"/>
      <c r="H19" s="48"/>
      <c r="I19" s="48"/>
      <c r="J19" s="49"/>
      <c r="K19" s="43">
        <v>0</v>
      </c>
      <c r="L19" s="43">
        <v>0</v>
      </c>
      <c r="M19" s="43">
        <v>0</v>
      </c>
      <c r="N19" s="43">
        <v>0</v>
      </c>
      <c r="O19" s="43">
        <v>0</v>
      </c>
      <c r="P19" s="43">
        <v>0</v>
      </c>
      <c r="Q19" s="44">
        <v>0</v>
      </c>
      <c r="S19" s="24"/>
      <c r="V19" s="30" t="s">
        <v>124</v>
      </c>
      <c r="Y19"/>
    </row>
    <row r="20" spans="1:25" ht="14.65" thickBot="1" x14ac:dyDescent="0.5">
      <c r="A20" s="2" t="s">
        <v>88</v>
      </c>
      <c r="B20" s="29">
        <f>F4</f>
        <v>36</v>
      </c>
      <c r="C20" t="s">
        <v>40</v>
      </c>
      <c r="E20" s="42" t="s">
        <v>26</v>
      </c>
      <c r="F20" s="47" t="s">
        <v>100</v>
      </c>
      <c r="G20" s="48"/>
      <c r="H20" s="48"/>
      <c r="I20" s="48"/>
      <c r="J20" s="49"/>
      <c r="K20" s="43">
        <v>0</v>
      </c>
      <c r="L20" s="43">
        <v>0</v>
      </c>
      <c r="M20" s="43">
        <v>0</v>
      </c>
      <c r="N20" s="43">
        <v>0</v>
      </c>
      <c r="O20" s="43">
        <v>0</v>
      </c>
      <c r="P20" s="43">
        <v>0</v>
      </c>
      <c r="Q20" s="44">
        <v>0</v>
      </c>
      <c r="S20" s="24"/>
      <c r="V20" s="30" t="s">
        <v>125</v>
      </c>
      <c r="Y20"/>
    </row>
    <row r="21" spans="1:25" ht="14.65" thickBot="1" x14ac:dyDescent="0.5">
      <c r="B21" s="32" t="s">
        <v>87</v>
      </c>
      <c r="E21" s="42" t="s">
        <v>27</v>
      </c>
      <c r="F21" s="47" t="s">
        <v>97</v>
      </c>
      <c r="G21" s="48"/>
      <c r="H21" s="48"/>
      <c r="I21" s="48"/>
      <c r="J21" s="49"/>
      <c r="K21" s="43">
        <v>11</v>
      </c>
      <c r="L21" s="43">
        <v>12</v>
      </c>
      <c r="M21" s="43">
        <v>12</v>
      </c>
      <c r="N21" s="43">
        <v>12</v>
      </c>
      <c r="O21" s="43">
        <v>13</v>
      </c>
      <c r="P21" s="43">
        <v>14</v>
      </c>
      <c r="Q21" s="44">
        <v>15</v>
      </c>
      <c r="Y21"/>
    </row>
    <row r="22" spans="1:25" x14ac:dyDescent="0.45">
      <c r="A22" s="11" t="s">
        <v>24</v>
      </c>
      <c r="B22" s="27" cm="1">
        <f t="array" ref="B22">_xlfn.IFS(Opskrift!G7=$L$9,L18,Opskrift!G7=$M$9,M18,Opskrift!G7=$N$9,N18,Opskrift!G7=$P$9,P18,Opskrift!G7=$Q$9,Q18,Opskrift!G7=$K$9,K18,Opskrift!G7=$O$9,O18)</f>
        <v>3</v>
      </c>
      <c r="C22" t="s">
        <v>98</v>
      </c>
      <c r="E22" s="42" t="s">
        <v>28</v>
      </c>
      <c r="F22" s="47" t="s">
        <v>42</v>
      </c>
      <c r="G22" s="48"/>
      <c r="H22" s="48"/>
      <c r="I22" s="48"/>
      <c r="J22" s="48"/>
      <c r="K22" s="43">
        <v>7</v>
      </c>
      <c r="L22" s="43">
        <v>8</v>
      </c>
      <c r="M22" s="43">
        <v>8</v>
      </c>
      <c r="N22" s="43">
        <v>8</v>
      </c>
      <c r="O22" s="43">
        <v>8.5</v>
      </c>
      <c r="P22" s="43">
        <v>9.5</v>
      </c>
      <c r="Q22" s="44">
        <v>9.5</v>
      </c>
      <c r="V22" t="s">
        <v>162</v>
      </c>
    </row>
    <row r="23" spans="1:25" x14ac:dyDescent="0.45">
      <c r="A23" s="11" t="s">
        <v>25</v>
      </c>
      <c r="B23" s="28" cm="1">
        <f t="array" ref="B23">_xlfn.IFS(Opskrift!G7=$L$9,L19,Opskrift!G7=$M$9,M19,Opskrift!G7=$N$9,N19,Opskrift!G7=$P$9,P19,Opskrift!G7=$Q$9,Q19,Opskrift!G7=$K$9,K19,Opskrift!G7=$O$9,O19)</f>
        <v>0</v>
      </c>
      <c r="C23" t="s">
        <v>99</v>
      </c>
      <c r="E23" s="42" t="s">
        <v>29</v>
      </c>
      <c r="F23" s="48" t="s">
        <v>101</v>
      </c>
      <c r="G23" s="48"/>
      <c r="H23" s="48"/>
      <c r="I23" s="48"/>
      <c r="J23" s="48"/>
      <c r="K23" s="43">
        <v>0</v>
      </c>
      <c r="L23" s="43">
        <v>0</v>
      </c>
      <c r="M23" s="43">
        <v>0</v>
      </c>
      <c r="N23" s="43">
        <v>0</v>
      </c>
      <c r="O23" s="43">
        <v>0</v>
      </c>
      <c r="P23" s="43">
        <v>0</v>
      </c>
      <c r="Q23" s="44">
        <v>0</v>
      </c>
      <c r="V23" t="s">
        <v>158</v>
      </c>
    </row>
    <row r="24" spans="1:25" ht="14.65" customHeight="1" x14ac:dyDescent="0.45">
      <c r="A24" s="11" t="s">
        <v>26</v>
      </c>
      <c r="B24" s="28" cm="1">
        <f t="array" ref="B24">_xlfn.IFS(Opskrift!G7=$L$9,L20,Opskrift!G7=$M$9,M20,Opskrift!G7=$N$9,N20,Opskrift!G7=$P$9,P20,Opskrift!G7=$Q$9,Q20,Opskrift!G7=$K$9,K20,Opskrift!G7=$O$9,O20)</f>
        <v>0</v>
      </c>
      <c r="C24" t="s">
        <v>100</v>
      </c>
      <c r="E24" s="42" t="s">
        <v>30</v>
      </c>
      <c r="F24" s="47" t="s">
        <v>44</v>
      </c>
      <c r="G24" s="48"/>
      <c r="H24" s="48"/>
      <c r="I24" s="48"/>
      <c r="J24" s="48"/>
      <c r="K24" s="43">
        <v>5.3</v>
      </c>
      <c r="L24" s="43">
        <v>6</v>
      </c>
      <c r="M24" s="43">
        <v>6</v>
      </c>
      <c r="N24" s="43">
        <v>6.8</v>
      </c>
      <c r="O24" s="43">
        <v>7</v>
      </c>
      <c r="P24" s="43">
        <v>7.5</v>
      </c>
      <c r="Q24" s="43">
        <v>8</v>
      </c>
    </row>
    <row r="25" spans="1:25" x14ac:dyDescent="0.45">
      <c r="A25" s="2" t="s">
        <v>27</v>
      </c>
      <c r="B25" s="28" cm="1">
        <f t="array" ref="B25">_xlfn.IFS(Opskrift!G7=$L$9,L21,Opskrift!G7=$M$9,M21,Opskrift!G7=$N$9,N21,Opskrift!G7=$P$9,P21,Opskrift!G7=$Q$9,Q21,Opskrift!G7=$K$9,K21,Opskrift!G7=$O$9,O21)</f>
        <v>12</v>
      </c>
      <c r="C25" t="s">
        <v>97</v>
      </c>
      <c r="E25" s="42" t="s">
        <v>31</v>
      </c>
      <c r="F25" s="47" t="s">
        <v>43</v>
      </c>
      <c r="G25" s="48"/>
      <c r="H25" s="48"/>
      <c r="I25" s="48"/>
      <c r="J25" s="48"/>
      <c r="K25" s="43">
        <v>3</v>
      </c>
      <c r="L25" s="43">
        <v>3</v>
      </c>
      <c r="M25" s="43">
        <v>3</v>
      </c>
      <c r="N25" s="43">
        <v>3.5</v>
      </c>
      <c r="O25" s="43">
        <v>3.5</v>
      </c>
      <c r="P25" s="43">
        <v>3.5</v>
      </c>
      <c r="Q25" s="44">
        <v>3.5</v>
      </c>
    </row>
    <row r="26" spans="1:25" ht="14.65" thickBot="1" x14ac:dyDescent="0.5">
      <c r="A26" s="2" t="s">
        <v>28</v>
      </c>
      <c r="B26" s="28" cm="1">
        <f t="array" ref="B26">_xlfn.IFS(Opskrift!G7=$L$9,L22,Opskrift!G7=$M$9,M22,Opskrift!G7=$N$9,N22,Opskrift!G7=$P$9,P22,Opskrift!G7=$Q$9,Q22,Opskrift!G7=$K$9,K22,Opskrift!G7=$O$9,O22)</f>
        <v>8</v>
      </c>
      <c r="C26" t="s">
        <v>42</v>
      </c>
      <c r="E26" s="55" t="s">
        <v>95</v>
      </c>
      <c r="F26" s="63" t="s">
        <v>46</v>
      </c>
      <c r="G26" s="64"/>
      <c r="H26" s="64"/>
      <c r="I26" s="64"/>
      <c r="J26" s="65"/>
      <c r="K26" s="56">
        <v>3.5</v>
      </c>
      <c r="L26" s="56">
        <v>3.5</v>
      </c>
      <c r="M26" s="56">
        <v>3.5</v>
      </c>
      <c r="N26" s="56">
        <v>4</v>
      </c>
      <c r="O26" s="56">
        <v>4.5</v>
      </c>
      <c r="P26" s="56">
        <v>4.5</v>
      </c>
      <c r="Q26" s="57">
        <v>4.5</v>
      </c>
    </row>
    <row r="27" spans="1:25" ht="14.65" thickBot="1" x14ac:dyDescent="0.5">
      <c r="A27" s="11" t="s">
        <v>29</v>
      </c>
      <c r="B27" s="28" cm="1">
        <f t="array" ref="B27">_xlfn.IFS(Opskrift!G7=$L$9,L23,Opskrift!G7=$M$9,M23,Opskrift!G7=$N$9,N23,Opskrift!G7=$P$9,P23,Opskrift!G7=$Q$9,Q23,Opskrift!G7=$K$9,K23,Opskrift!G7=$O$9,O23)</f>
        <v>0</v>
      </c>
      <c r="C27" t="s">
        <v>101</v>
      </c>
      <c r="E27" s="58" t="s">
        <v>96</v>
      </c>
      <c r="F27" s="80" t="s">
        <v>45</v>
      </c>
      <c r="G27" s="81"/>
      <c r="H27" s="81"/>
      <c r="I27" s="81"/>
      <c r="J27" s="82"/>
      <c r="K27" s="59">
        <v>34</v>
      </c>
      <c r="L27" s="59">
        <v>34</v>
      </c>
      <c r="M27" s="59">
        <v>34</v>
      </c>
      <c r="N27" s="59">
        <v>35</v>
      </c>
      <c r="O27" s="59">
        <v>35</v>
      </c>
      <c r="P27" s="59">
        <v>38</v>
      </c>
      <c r="Q27" s="59">
        <v>38</v>
      </c>
    </row>
    <row r="28" spans="1:25" ht="14.65" customHeight="1" x14ac:dyDescent="0.45">
      <c r="A28" s="2" t="s">
        <v>30</v>
      </c>
      <c r="B28" s="28" cm="1">
        <f t="array" ref="B28">_xlfn.IFS(Opskrift!G7=$L$9,L24,Opskrift!G7=$M$9,M24,Opskrift!G7=$N$9,N24,Opskrift!G7=$P$9,P24,Opskrift!G7=$Q$9,Q24,Opskrift!G7=$K$9,K24,Opskrift!G7=$O$9,O24)</f>
        <v>6.8</v>
      </c>
      <c r="C28" t="s">
        <v>44</v>
      </c>
      <c r="E28" s="52" t="s">
        <v>54</v>
      </c>
      <c r="F28" s="66" t="s">
        <v>56</v>
      </c>
      <c r="G28" s="48"/>
      <c r="H28" s="48"/>
      <c r="I28" s="48"/>
      <c r="J28" s="49"/>
      <c r="K28" s="53">
        <v>13</v>
      </c>
      <c r="L28" s="53">
        <v>13</v>
      </c>
      <c r="M28" s="53">
        <v>13</v>
      </c>
      <c r="N28" s="53">
        <v>14</v>
      </c>
      <c r="O28" s="53">
        <v>14</v>
      </c>
      <c r="P28" s="53">
        <v>15</v>
      </c>
      <c r="Q28" s="54">
        <v>15</v>
      </c>
    </row>
    <row r="29" spans="1:25" ht="15" customHeight="1" x14ac:dyDescent="0.45">
      <c r="A29" s="2" t="s">
        <v>31</v>
      </c>
      <c r="B29" s="28" cm="1">
        <f t="array" ref="B29">_xlfn.IFS(Opskrift!G7=$L$9,L25,Opskrift!G7=$M$9,M25,Opskrift!G7=$N$9,N25,Opskrift!G7=$P$9,P25,Opskrift!G7=$Q$9,Q25,Opskrift!G7=$K$9,K25,Opskrift!G7=$O$9,O25)</f>
        <v>3.5</v>
      </c>
      <c r="C29" t="s">
        <v>43</v>
      </c>
      <c r="E29" s="42" t="s">
        <v>78</v>
      </c>
      <c r="F29" s="47" t="s">
        <v>79</v>
      </c>
      <c r="G29" s="48"/>
      <c r="H29" s="48"/>
      <c r="I29" s="48"/>
      <c r="J29" s="49"/>
      <c r="K29" s="43">
        <v>3</v>
      </c>
      <c r="L29" s="43">
        <v>4</v>
      </c>
      <c r="M29" s="43">
        <v>4.5</v>
      </c>
      <c r="N29" s="43">
        <v>5</v>
      </c>
      <c r="O29" s="43">
        <v>5</v>
      </c>
      <c r="P29" s="43">
        <v>5</v>
      </c>
      <c r="Q29" s="44">
        <v>5</v>
      </c>
    </row>
    <row r="30" spans="1:25" ht="14.65" thickBot="1" x14ac:dyDescent="0.5">
      <c r="A30" s="2" t="s">
        <v>95</v>
      </c>
      <c r="B30" s="29" cm="1">
        <f t="array" ref="B30">_xlfn.IFS(Opskrift!G7=$L$9,L26,Opskrift!G7=$M$9,M26,Opskrift!G7=$N$9,N26,Opskrift!G7=$P$9,P26,Opskrift!G7=$Q$9,Q26,Opskrift!G7=$K$9,K26,Opskrift!G7=$O$9,O26)</f>
        <v>4</v>
      </c>
      <c r="C30" t="s">
        <v>46</v>
      </c>
      <c r="E30" s="42" t="s">
        <v>55</v>
      </c>
      <c r="F30" s="47" t="s">
        <v>57</v>
      </c>
      <c r="G30" s="48"/>
      <c r="H30" s="48"/>
      <c r="I30" s="48"/>
      <c r="J30" s="49"/>
      <c r="K30" s="43">
        <v>15</v>
      </c>
      <c r="L30" s="43">
        <v>15</v>
      </c>
      <c r="M30" s="43">
        <v>15</v>
      </c>
      <c r="N30" s="43">
        <v>15</v>
      </c>
      <c r="O30" s="43">
        <v>15</v>
      </c>
      <c r="P30" s="43">
        <v>16</v>
      </c>
      <c r="Q30" s="44">
        <v>16</v>
      </c>
    </row>
    <row r="31" spans="1:25" ht="14.65" thickBot="1" x14ac:dyDescent="0.5">
      <c r="B31" s="32" t="s">
        <v>87</v>
      </c>
      <c r="C31" s="60"/>
      <c r="E31" s="42" t="s">
        <v>58</v>
      </c>
      <c r="F31" s="47" t="s">
        <v>59</v>
      </c>
      <c r="G31" s="48"/>
      <c r="H31" s="48"/>
      <c r="I31" s="48"/>
      <c r="J31" s="49"/>
      <c r="K31" s="43">
        <v>26.5</v>
      </c>
      <c r="L31" s="43">
        <v>29</v>
      </c>
      <c r="M31" s="43">
        <v>30</v>
      </c>
      <c r="N31" s="43">
        <v>30</v>
      </c>
      <c r="O31" s="43">
        <v>32</v>
      </c>
      <c r="P31" s="43">
        <v>35</v>
      </c>
      <c r="Q31" s="44">
        <v>38</v>
      </c>
    </row>
    <row r="32" spans="1:25" ht="14.65" thickBot="1" x14ac:dyDescent="0.5">
      <c r="A32" s="2" t="s">
        <v>96</v>
      </c>
      <c r="B32" s="41" cm="1">
        <f t="array" ref="B32">_xlfn.IFS(Opskrift!G7=$L$9,L27,Opskrift!G7=$M$9,M27,Opskrift!G7=$N$9,N27,Opskrift!G7=$P$9,P27,Opskrift!G7=$Q$9,Q27,Opskrift!G7=$K$9,K27,Opskrift!G7=$O$9,O27)</f>
        <v>35</v>
      </c>
      <c r="C32" t="s">
        <v>45</v>
      </c>
      <c r="E32" s="42" t="s">
        <v>64</v>
      </c>
      <c r="F32" s="47" t="s">
        <v>60</v>
      </c>
      <c r="G32" s="48"/>
      <c r="H32" s="48"/>
      <c r="I32" s="48"/>
      <c r="J32" s="49"/>
      <c r="K32" s="43">
        <v>18</v>
      </c>
      <c r="L32" s="43">
        <v>20</v>
      </c>
      <c r="M32" s="43">
        <v>22</v>
      </c>
      <c r="N32" s="43">
        <v>24</v>
      </c>
      <c r="O32" s="43">
        <v>26</v>
      </c>
      <c r="P32" s="43">
        <v>28</v>
      </c>
      <c r="Q32" s="44">
        <v>30</v>
      </c>
    </row>
    <row r="33" spans="1:17" ht="14.65" thickBot="1" x14ac:dyDescent="0.5">
      <c r="B33" s="32" t="s">
        <v>87</v>
      </c>
      <c r="E33" s="42" t="s">
        <v>65</v>
      </c>
      <c r="F33" s="47" t="s">
        <v>98</v>
      </c>
      <c r="G33" s="47"/>
      <c r="H33" s="47"/>
      <c r="I33" s="47"/>
      <c r="J33" s="47"/>
      <c r="K33" s="43">
        <v>0</v>
      </c>
      <c r="L33" s="43">
        <v>0</v>
      </c>
      <c r="M33" s="43">
        <v>0</v>
      </c>
      <c r="N33" s="43">
        <v>0</v>
      </c>
      <c r="O33" s="43">
        <v>0</v>
      </c>
      <c r="P33" s="43">
        <v>0</v>
      </c>
      <c r="Q33" s="44">
        <v>0</v>
      </c>
    </row>
    <row r="34" spans="1:17" x14ac:dyDescent="0.45">
      <c r="A34" s="2" t="s">
        <v>54</v>
      </c>
      <c r="B34" s="27" cm="1">
        <f t="array" ref="B34">_xlfn.IFS(Opskrift!G7=$L$9,L28,Opskrift!G7=$M$9,M28,Opskrift!G7=$N$9,N28,Opskrift!G7=$P$9,P28,Opskrift!G7=$Q$9,Q28,Opskrift!G7=$K$9,K28,Opskrift!G7=$O$9,O28)</f>
        <v>14</v>
      </c>
      <c r="C34" t="s">
        <v>56</v>
      </c>
      <c r="E34" s="42" t="s">
        <v>66</v>
      </c>
      <c r="F34" s="47" t="s">
        <v>103</v>
      </c>
      <c r="G34" s="47"/>
      <c r="H34" s="47"/>
      <c r="I34" s="47"/>
      <c r="J34" s="47"/>
      <c r="K34" s="43">
        <v>0</v>
      </c>
      <c r="L34" s="43">
        <v>0</v>
      </c>
      <c r="M34" s="43">
        <v>0</v>
      </c>
      <c r="N34" s="43">
        <v>0</v>
      </c>
      <c r="O34" s="43">
        <v>0</v>
      </c>
      <c r="P34" s="43">
        <v>0</v>
      </c>
      <c r="Q34" s="44">
        <v>0</v>
      </c>
    </row>
    <row r="35" spans="1:17" x14ac:dyDescent="0.45">
      <c r="A35" s="2" t="s">
        <v>78</v>
      </c>
      <c r="B35" s="28" cm="1">
        <f t="array" ref="B35">_xlfn.IFS(Opskrift!G7=$L$9,L29,Opskrift!G7=$M$9,M29,Opskrift!G7=$N$9,N29,Opskrift!G7=$P$9,P29,Opskrift!G7=$Q$9,Q29,Opskrift!G7=$K$9,K29,Opskrift!G7=$O$9,O29)</f>
        <v>5</v>
      </c>
      <c r="C35" t="s">
        <v>79</v>
      </c>
      <c r="E35" s="42" t="s">
        <v>67</v>
      </c>
      <c r="F35" s="47" t="s">
        <v>104</v>
      </c>
      <c r="G35" s="47"/>
      <c r="H35" s="47"/>
      <c r="I35" s="47"/>
      <c r="J35" s="47"/>
      <c r="K35" s="43">
        <v>0</v>
      </c>
      <c r="L35" s="43">
        <v>0</v>
      </c>
      <c r="M35" s="43">
        <v>0</v>
      </c>
      <c r="N35" s="43">
        <v>0</v>
      </c>
      <c r="O35" s="43">
        <v>0</v>
      </c>
      <c r="P35" s="43">
        <v>0</v>
      </c>
      <c r="Q35" s="44">
        <v>0</v>
      </c>
    </row>
    <row r="36" spans="1:17" x14ac:dyDescent="0.45">
      <c r="A36" s="2" t="s">
        <v>55</v>
      </c>
      <c r="B36" s="28" cm="1">
        <f t="array" ref="B36">_xlfn.IFS(Opskrift!G7=$L$9,L30,Opskrift!G7=$M$9,M30,Opskrift!G7=$N$9,N30,Opskrift!G7=$P$9,P30,Opskrift!G7=$Q$9,Q30,Opskrift!G7=$K$9,K30,Opskrift!G7=$O$9,O30)</f>
        <v>15</v>
      </c>
      <c r="C36" t="s">
        <v>57</v>
      </c>
      <c r="E36" s="42" t="s">
        <v>105</v>
      </c>
      <c r="F36" s="83" t="s">
        <v>68</v>
      </c>
      <c r="G36" s="84"/>
      <c r="H36" s="84"/>
      <c r="I36" s="84"/>
      <c r="J36" s="85"/>
      <c r="K36" s="43">
        <v>22</v>
      </c>
      <c r="L36" s="43">
        <v>24</v>
      </c>
      <c r="M36" s="43">
        <v>26</v>
      </c>
      <c r="N36" s="43">
        <v>28</v>
      </c>
      <c r="O36" s="43">
        <v>30</v>
      </c>
      <c r="P36" s="43">
        <v>32</v>
      </c>
      <c r="Q36" s="44">
        <v>34</v>
      </c>
    </row>
    <row r="37" spans="1:17" ht="14.65" thickBot="1" x14ac:dyDescent="0.5">
      <c r="A37" s="2" t="s">
        <v>58</v>
      </c>
      <c r="B37" s="29" cm="1">
        <f t="array" ref="B37">_xlfn.IFS(Opskrift!G7=$L$9,L31,Opskrift!G7=$M$9,M31,Opskrift!G7=$N$9,N31,Opskrift!G7=$P$9,P31,Opskrift!G7=$Q$9,Q31,Opskrift!G7=$K$9,K31,Opskrift!G7=$O$9,O31)</f>
        <v>30</v>
      </c>
      <c r="C37" t="s">
        <v>59</v>
      </c>
      <c r="Q37" s="2"/>
    </row>
    <row r="38" spans="1:17" x14ac:dyDescent="0.45">
      <c r="A38" s="2" t="s">
        <v>64</v>
      </c>
      <c r="B38" s="27" cm="1">
        <f t="array" ref="B38">_xlfn.IFS(Opskrift!G7=$L$9,L32,Opskrift!G7=$M$9,M32,Opskrift!G7=$N$9,N32,Opskrift!G7=$P$9,P32,Opskrift!G7=$Q$9,Q32,Opskrift!G7=$K$9,K32,Opskrift!G7=$O$9,O32)</f>
        <v>24</v>
      </c>
      <c r="C38" t="s">
        <v>60</v>
      </c>
    </row>
    <row r="39" spans="1:17" x14ac:dyDescent="0.45">
      <c r="A39" s="11" t="s">
        <v>65</v>
      </c>
      <c r="B39" s="28" cm="1">
        <f t="array" ref="B39">_xlfn.IFS(Opskrift!G7=$L$9,L33,Opskrift!G7=$M$9,M33,Opskrift!G7=$N$9,N33,Opskrift!G7=$P$9,P33,Opskrift!G7=$Q$9,Q33,Opskrift!G7=$K$9,K33,Opskrift!G7=$O$9,O33)</f>
        <v>0</v>
      </c>
      <c r="C39" t="s">
        <v>98</v>
      </c>
    </row>
    <row r="40" spans="1:17" x14ac:dyDescent="0.45">
      <c r="A40" s="11" t="s">
        <v>66</v>
      </c>
      <c r="B40" s="28" cm="1">
        <f t="array" ref="B40">_xlfn.IFS(Opskrift!G7=$L$9,L34,Opskrift!G7=$M$9,M34,Opskrift!G7=$N$9,N34,Opskrift!G7=$P$9,P34,Opskrift!G7=$Q$9,Q34,Opskrift!G7=$K$9,K34,Opskrift!G7=$O$9,O34)</f>
        <v>0</v>
      </c>
      <c r="C40" t="s">
        <v>103</v>
      </c>
    </row>
    <row r="41" spans="1:17" x14ac:dyDescent="0.45">
      <c r="A41" s="11" t="s">
        <v>67</v>
      </c>
      <c r="B41" s="28" cm="1">
        <f t="array" ref="B41">_xlfn.IFS(Opskrift!G7=$L$9,L35,Opskrift!G7=$M$9,M35,Opskrift!G7=$N$9,N35,Opskrift!G7=$P$9,P35,Opskrift!G7=$Q$9,Q35,Opskrift!G7=$K$9,K35,Opskrift!G7=$O$9,O35)</f>
        <v>0</v>
      </c>
      <c r="C41" t="s">
        <v>104</v>
      </c>
    </row>
    <row r="42" spans="1:17" ht="14.65" thickBot="1" x14ac:dyDescent="0.5">
      <c r="A42" s="2" t="s">
        <v>105</v>
      </c>
      <c r="B42" s="29">
        <f>F6</f>
        <v>28</v>
      </c>
      <c r="C42" t="s">
        <v>68</v>
      </c>
    </row>
    <row r="45" spans="1:17" x14ac:dyDescent="0.45">
      <c r="H45" s="34"/>
      <c r="I45" s="34"/>
      <c r="J45" s="34"/>
      <c r="K45" s="34"/>
      <c r="L45" s="34"/>
      <c r="M45" s="34"/>
      <c r="N45" s="34"/>
      <c r="O45" s="34"/>
    </row>
    <row r="46" spans="1:17" x14ac:dyDescent="0.45">
      <c r="H46" s="34"/>
      <c r="I46" s="34"/>
      <c r="J46" s="34"/>
      <c r="K46" s="34"/>
      <c r="L46" s="34"/>
      <c r="M46" s="34"/>
      <c r="N46" s="34"/>
      <c r="O46" s="34"/>
    </row>
    <row r="48" spans="1:17" ht="14.65" customHeight="1" x14ac:dyDescent="0.45"/>
    <row r="50" spans="18:25" x14ac:dyDescent="0.45">
      <c r="R50" s="3"/>
      <c r="S50"/>
    </row>
    <row r="51" spans="18:25" x14ac:dyDescent="0.45">
      <c r="R51" s="3"/>
      <c r="S51"/>
    </row>
    <row r="52" spans="18:25" x14ac:dyDescent="0.45">
      <c r="R52" s="3"/>
      <c r="S52"/>
    </row>
    <row r="53" spans="18:25" x14ac:dyDescent="0.45">
      <c r="R53" s="3"/>
      <c r="S53"/>
      <c r="Y53"/>
    </row>
    <row r="54" spans="18:25" x14ac:dyDescent="0.45">
      <c r="R54" s="3"/>
      <c r="S54"/>
      <c r="Y54"/>
    </row>
    <row r="55" spans="18:25" x14ac:dyDescent="0.45">
      <c r="R55" s="3"/>
      <c r="S55"/>
      <c r="Y55"/>
    </row>
    <row r="56" spans="18:25" x14ac:dyDescent="0.45">
      <c r="R56" s="3"/>
      <c r="S56"/>
      <c r="Y56"/>
    </row>
    <row r="57" spans="18:25" x14ac:dyDescent="0.45">
      <c r="R57" s="3"/>
      <c r="S57"/>
      <c r="Y57"/>
    </row>
    <row r="58" spans="18:25" x14ac:dyDescent="0.45">
      <c r="R58" s="3"/>
      <c r="S58"/>
      <c r="Y58"/>
    </row>
    <row r="59" spans="18:25" x14ac:dyDescent="0.45">
      <c r="R59" s="3"/>
      <c r="S59"/>
      <c r="Y59"/>
    </row>
    <row r="60" spans="18:25" x14ac:dyDescent="0.45">
      <c r="R60" s="3"/>
      <c r="S60"/>
      <c r="Y60"/>
    </row>
    <row r="61" spans="18:25" x14ac:dyDescent="0.45">
      <c r="R61" s="3"/>
      <c r="S61"/>
      <c r="Y61"/>
    </row>
    <row r="62" spans="18:25" x14ac:dyDescent="0.45">
      <c r="R62" s="3"/>
      <c r="S62"/>
      <c r="Y62"/>
    </row>
    <row r="63" spans="18:25" x14ac:dyDescent="0.45">
      <c r="R63" s="3"/>
      <c r="S63"/>
      <c r="Y63"/>
    </row>
    <row r="64" spans="18:25" x14ac:dyDescent="0.45">
      <c r="R64" s="3"/>
      <c r="S64"/>
      <c r="Y64"/>
    </row>
    <row r="65" spans="14:25" x14ac:dyDescent="0.45">
      <c r="R65" s="3"/>
      <c r="S65"/>
      <c r="Y65"/>
    </row>
    <row r="66" spans="14:25" x14ac:dyDescent="0.45">
      <c r="R66" s="3"/>
      <c r="S66"/>
      <c r="Y66"/>
    </row>
    <row r="67" spans="14:25" x14ac:dyDescent="0.45">
      <c r="R67" s="3"/>
      <c r="S67"/>
      <c r="Y67"/>
    </row>
    <row r="68" spans="14:25" x14ac:dyDescent="0.45">
      <c r="R68" s="3"/>
      <c r="S68"/>
      <c r="Y68"/>
    </row>
    <row r="69" spans="14:25" x14ac:dyDescent="0.45">
      <c r="R69" s="3"/>
      <c r="S69"/>
      <c r="Y69"/>
    </row>
    <row r="70" spans="14:25" x14ac:dyDescent="0.45">
      <c r="R70" s="3"/>
      <c r="S70"/>
      <c r="Y70"/>
    </row>
    <row r="71" spans="14:25" x14ac:dyDescent="0.45">
      <c r="R71" s="3"/>
      <c r="S71"/>
      <c r="Y71"/>
    </row>
    <row r="72" spans="14:25" x14ac:dyDescent="0.45">
      <c r="Y72"/>
    </row>
    <row r="73" spans="14:25" x14ac:dyDescent="0.45">
      <c r="Y73"/>
    </row>
    <row r="74" spans="14:25" x14ac:dyDescent="0.45">
      <c r="Y74"/>
    </row>
    <row r="75" spans="14:25" x14ac:dyDescent="0.45">
      <c r="Q75" s="36"/>
      <c r="X75" s="1"/>
      <c r="Y75"/>
    </row>
    <row r="76" spans="14:25" x14ac:dyDescent="0.45">
      <c r="N76" s="1"/>
      <c r="P76" s="40"/>
      <c r="Q76" s="15"/>
      <c r="X76" s="1"/>
      <c r="Y76"/>
    </row>
    <row r="77" spans="14:25" x14ac:dyDescent="0.45">
      <c r="N77" s="1"/>
      <c r="Q77" s="15"/>
      <c r="X77" s="1"/>
      <c r="Y77"/>
    </row>
    <row r="78" spans="14:25" x14ac:dyDescent="0.45">
      <c r="N78" s="1"/>
      <c r="Q78" s="15"/>
      <c r="X78" s="1"/>
      <c r="Y78"/>
    </row>
    <row r="79" spans="14:25" x14ac:dyDescent="0.45">
      <c r="N79" s="1"/>
      <c r="Q79" s="15"/>
      <c r="X79" s="1"/>
      <c r="Y79"/>
    </row>
    <row r="80" spans="14:25" x14ac:dyDescent="0.45">
      <c r="N80" s="1"/>
      <c r="Q80" s="15"/>
      <c r="X80" s="1"/>
      <c r="Y80"/>
    </row>
    <row r="81" spans="14:25" x14ac:dyDescent="0.45">
      <c r="N81" s="1"/>
      <c r="Q81" s="15"/>
      <c r="X81" s="1"/>
      <c r="Y81"/>
    </row>
    <row r="82" spans="14:25" x14ac:dyDescent="0.45">
      <c r="N82" s="1"/>
      <c r="Q82" s="15"/>
      <c r="X82" s="1"/>
      <c r="Y82"/>
    </row>
    <row r="83" spans="14:25" x14ac:dyDescent="0.45">
      <c r="N83" s="1"/>
      <c r="Q83" s="15"/>
      <c r="X83" s="1"/>
      <c r="Y83"/>
    </row>
    <row r="84" spans="14:25" x14ac:dyDescent="0.45">
      <c r="N84" s="1"/>
      <c r="Q84" s="15"/>
      <c r="X84" s="1"/>
      <c r="Y84"/>
    </row>
    <row r="85" spans="14:25" x14ac:dyDescent="0.45">
      <c r="N85" s="1"/>
      <c r="Q85" s="15"/>
      <c r="X85" s="1"/>
      <c r="Y85"/>
    </row>
    <row r="86" spans="14:25" x14ac:dyDescent="0.45">
      <c r="N86" s="1"/>
      <c r="Q86" s="15"/>
      <c r="X86" s="1"/>
      <c r="Y86"/>
    </row>
    <row r="87" spans="14:25" x14ac:dyDescent="0.45">
      <c r="Q87" s="15"/>
      <c r="X87" s="1"/>
      <c r="Y87"/>
    </row>
    <row r="88" spans="14:25" x14ac:dyDescent="0.45">
      <c r="Q88" s="15"/>
      <c r="X88" s="1"/>
      <c r="Y88"/>
    </row>
    <row r="89" spans="14:25" x14ac:dyDescent="0.45">
      <c r="Q89" s="15"/>
      <c r="X89" s="1"/>
      <c r="Y89"/>
    </row>
    <row r="90" spans="14:25" x14ac:dyDescent="0.45">
      <c r="Q90" s="15"/>
      <c r="X90" s="1"/>
      <c r="Y90"/>
    </row>
    <row r="91" spans="14:25" x14ac:dyDescent="0.45">
      <c r="Q91" s="15"/>
      <c r="X91" s="1"/>
      <c r="Y91"/>
    </row>
    <row r="92" spans="14:25" x14ac:dyDescent="0.45">
      <c r="Q92" s="15"/>
      <c r="X92" s="1"/>
      <c r="Y92"/>
    </row>
    <row r="93" spans="14:25" x14ac:dyDescent="0.45">
      <c r="Q93" s="15"/>
      <c r="X93" s="1"/>
      <c r="Y93"/>
    </row>
    <row r="94" spans="14:25" x14ac:dyDescent="0.45">
      <c r="Q94" s="15"/>
      <c r="X94" s="1"/>
      <c r="Y94"/>
    </row>
    <row r="95" spans="14:25" x14ac:dyDescent="0.45">
      <c r="Q95" s="15"/>
      <c r="X95" s="1"/>
      <c r="Y95"/>
    </row>
    <row r="96" spans="14:25" x14ac:dyDescent="0.45">
      <c r="Q96" s="15"/>
      <c r="X96" s="1"/>
      <c r="Y96"/>
    </row>
  </sheetData>
  <sheetProtection algorithmName="SHA-512" hashValue="L492MstHYjGmTBv1NSENZCjeRrKYdvt5e/UCamh79DiZG6wXAz1TfokPzN5g2S2AEODJ0wbDhf8t7/SyKibUqw==" saltValue="7F+qGQSa50auTWf+oH2+8g==" spinCount="100000" sheet="1" objects="1" scenarios="1"/>
  <pageMargins left="0.25" right="0.25" top="0.75" bottom="0.75" header="0.3" footer="0.3"/>
  <pageSetup paperSize="9" fitToHeight="0"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Opskrift</vt:lpstr>
      <vt:lpstr>Mål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Pernille Bendsen</dc:creator>
  <cp:lastModifiedBy>Pernille Bendsen</cp:lastModifiedBy>
  <cp:lastPrinted>2021-04-25T08:33:36Z</cp:lastPrinted>
  <dcterms:created xsi:type="dcterms:W3CDTF">2021-01-30T10:58:03Z</dcterms:created>
  <dcterms:modified xsi:type="dcterms:W3CDTF">2021-04-25T08:33:50Z</dcterms:modified>
</cp:coreProperties>
</file>