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l\Dropbox\NERK ny hemsida\Utställning\KM resultat\"/>
    </mc:Choice>
  </mc:AlternateContent>
  <xr:revisionPtr revIDLastSave="0" documentId="8_{CC572A87-B608-4C1F-B75E-5796368A219C}" xr6:coauthVersionLast="47" xr6:coauthVersionMax="47" xr10:uidLastSave="{00000000-0000-0000-0000-000000000000}"/>
  <bookViews>
    <workbookView xWindow="1536" yWindow="600" windowWidth="16884" windowHeight="12360" xr2:uid="{00000000-000D-0000-FFFF-FFFF00000000}"/>
  </bookViews>
  <sheets>
    <sheet name="Resultat lis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A2" i="1" l="1"/>
  <c r="B2" i="1"/>
  <c r="C2" i="1"/>
  <c r="D2" i="1"/>
  <c r="E2" i="1"/>
  <c r="F2" i="1"/>
  <c r="G2" i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A11" i="1"/>
  <c r="B11" i="1"/>
  <c r="C11" i="1"/>
  <c r="D11" i="1"/>
  <c r="E11" i="1"/>
  <c r="F11" i="1"/>
  <c r="G11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D33" i="1"/>
  <c r="E33" i="1"/>
  <c r="F33" i="1"/>
  <c r="G33" i="1"/>
  <c r="A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</calcChain>
</file>

<file path=xl/sharedStrings.xml><?xml version="1.0" encoding="utf-8"?>
<sst xmlns="http://schemas.openxmlformats.org/spreadsheetml/2006/main" count="127" uniqueCount="54">
  <si>
    <t>nr</t>
  </si>
  <si>
    <t>katt</t>
  </si>
  <si>
    <t>Ras</t>
  </si>
  <si>
    <t>Färg</t>
  </si>
  <si>
    <t>Klass</t>
  </si>
  <si>
    <t>Kön</t>
  </si>
  <si>
    <t>Ägare</t>
  </si>
  <si>
    <t>Resultat</t>
  </si>
  <si>
    <t>BOX, BIS</t>
  </si>
  <si>
    <t>Kategori-vinnare</t>
  </si>
  <si>
    <t>Klubbmästare</t>
  </si>
  <si>
    <t>Sidoklass</t>
  </si>
  <si>
    <t>1, NOM</t>
  </si>
  <si>
    <t>ABS</t>
  </si>
  <si>
    <t>BIS vuxen, kat 1</t>
  </si>
  <si>
    <t>Bäst i kategori 1</t>
  </si>
  <si>
    <t>BIS junior, kat 1</t>
  </si>
  <si>
    <t>BOX ungdjur, kat 1</t>
  </si>
  <si>
    <t>Bäst Preparerade</t>
  </si>
  <si>
    <t>BIS ungdjur, kat 1</t>
  </si>
  <si>
    <t>BOX vuxen, kat 1</t>
  </si>
  <si>
    <t>BIS kastrat, kat 1</t>
  </si>
  <si>
    <t>BIS vuxen, kat 2</t>
  </si>
  <si>
    <t>Bäst i kategori 2</t>
  </si>
  <si>
    <t>Macho Man</t>
  </si>
  <si>
    <t>BIS kastrat, kat 2</t>
  </si>
  <si>
    <t>The look</t>
  </si>
  <si>
    <t>NFO</t>
  </si>
  <si>
    <t>BIS ungdjur, kat 2</t>
  </si>
  <si>
    <t>Oh Baby Baby</t>
  </si>
  <si>
    <t>BOX ungdjur, kat 2</t>
  </si>
  <si>
    <t>BOX kastrat, kat 2</t>
  </si>
  <si>
    <t>BOX vuxen, kat 2</t>
  </si>
  <si>
    <t>BIS junior, kat 2</t>
  </si>
  <si>
    <t>BOX junior, kat 3</t>
  </si>
  <si>
    <t>She's a Lady</t>
  </si>
  <si>
    <t>BOX vuxen, kat 3</t>
  </si>
  <si>
    <t>BIS vuxen, kat 3</t>
  </si>
  <si>
    <t>Charmigaste katt</t>
  </si>
  <si>
    <t>BIS kastrat, kat 3</t>
  </si>
  <si>
    <t>BIS junior, kat 3</t>
  </si>
  <si>
    <t>Bäst i kategori 3</t>
  </si>
  <si>
    <t>Dressed for sucess</t>
  </si>
  <si>
    <t>BIS ungdjur, kat 3</t>
  </si>
  <si>
    <t>BOX vuxen, kat 4</t>
  </si>
  <si>
    <t>BIS ungdjur, kat 4</t>
  </si>
  <si>
    <t>BIS vuxen, kat 4</t>
  </si>
  <si>
    <t>Bäst i kategori 4</t>
  </si>
  <si>
    <t>Klubbmästare raskatt</t>
  </si>
  <si>
    <t>Cool cat</t>
  </si>
  <si>
    <t>BIS kastrat, kat 4</t>
  </si>
  <si>
    <t>Bästa långhår</t>
  </si>
  <si>
    <t>Bästa korthår</t>
  </si>
  <si>
    <t>Klubbmästare huskatt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</si>
</sst>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workbookViewId="0">
      <selection activeCell="I13" sqref="I13"/>
    </sheetView>
  </sheetViews>
  <sheetFormatPr defaultRowHeight="14.4" x14ac:dyDescent="0.3"/>
  <cols>
    <col min="1" max="1" width="9.109375" style="9"/>
    <col min="2" max="2" width="46.6640625" bestFit="1" customWidth="1"/>
    <col min="7" max="7" width="25.5546875" bestFit="1" customWidth="1"/>
    <col min="8" max="8" width="33.6640625" style="6" customWidth="1"/>
    <col min="9" max="9" width="25.88671875" style="6" customWidth="1"/>
    <col min="10" max="10" width="20.5546875" style="6" bestFit="1" customWidth="1"/>
    <col min="11" max="11" width="26.6640625" style="6" bestFit="1" customWidth="1"/>
    <col min="12" max="12" width="22.44140625" bestFit="1" customWidth="1"/>
    <col min="13" max="13" width="22.109375" customWidth="1"/>
  </cols>
  <sheetData>
    <row r="1" spans="1:12" s="2" customFormat="1" ht="18" x14ac:dyDescent="0.3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spans="1:12" s="1" customFormat="1" ht="18" x14ac:dyDescent="0.35">
      <c r="A2" s="8" t="str">
        <f>"1"</f>
        <v>1</v>
      </c>
      <c r="B2" s="1" t="str">
        <f>"GIC S*Degerlidens Quapaw Dreamcatcher"</f>
        <v>GIC S*Degerlidens Quapaw Dreamcatcher</v>
      </c>
      <c r="C2" s="1" t="str">
        <f>"EXO"</f>
        <v>EXO</v>
      </c>
      <c r="D2" s="1" t="str">
        <f>"g"</f>
        <v>g</v>
      </c>
      <c r="E2" s="1" t="str">
        <f>"9"</f>
        <v>9</v>
      </c>
      <c r="F2" s="1" t="str">
        <f>"Hona"</f>
        <v>Hona</v>
      </c>
      <c r="G2" s="1" t="str">
        <f>"Sjöberg, Jessica"</f>
        <v>Sjöberg, Jessica</v>
      </c>
      <c r="H2" s="5">
        <v>1</v>
      </c>
      <c r="I2" s="5"/>
      <c r="J2" s="5"/>
      <c r="K2" s="5"/>
    </row>
    <row r="3" spans="1:12" s="1" customFormat="1" ht="18" x14ac:dyDescent="0.35">
      <c r="A3" s="8" t="str">
        <f>"2"</f>
        <v>2</v>
      </c>
      <c r="B3" s="1" t="str">
        <f>"S*Böörs Eleanor Rigby"</f>
        <v>S*Böörs Eleanor Rigby</v>
      </c>
      <c r="C3" s="1" t="str">
        <f>"EXO"</f>
        <v>EXO</v>
      </c>
      <c r="D3" s="1" t="str">
        <f>"d 33"</f>
        <v>d 33</v>
      </c>
      <c r="E3" s="1" t="str">
        <f>"11"</f>
        <v>11</v>
      </c>
      <c r="F3" s="1" t="str">
        <f>"Hona"</f>
        <v>Hona</v>
      </c>
      <c r="G3" s="1" t="str">
        <f>"Böörs, Lena"</f>
        <v>Böörs, Lena</v>
      </c>
      <c r="H3" s="5" t="s">
        <v>12</v>
      </c>
      <c r="I3" s="5"/>
      <c r="J3" s="5"/>
      <c r="K3" s="5"/>
    </row>
    <row r="4" spans="1:12" s="1" customFormat="1" ht="18" x14ac:dyDescent="0.35">
      <c r="A4" s="8" t="str">
        <f>"3"</f>
        <v>3</v>
      </c>
      <c r="B4" s="1" t="str">
        <f>"GIP Boggie's Samuel"</f>
        <v>GIP Boggie's Samuel</v>
      </c>
      <c r="C4" s="1" t="str">
        <f>"PER"</f>
        <v>PER</v>
      </c>
      <c r="D4" s="1" t="str">
        <f>"d"</f>
        <v>d</v>
      </c>
      <c r="E4" s="1" t="str">
        <f>"10"</f>
        <v>10</v>
      </c>
      <c r="F4" s="1" t="str">
        <f>"Hane (K)"</f>
        <v>Hane (K)</v>
      </c>
      <c r="G4" s="1" t="str">
        <f>"Andersson, Anette"</f>
        <v>Andersson, Anette</v>
      </c>
      <c r="H4" s="5" t="s">
        <v>12</v>
      </c>
      <c r="I4" s="5"/>
      <c r="J4" s="5"/>
      <c r="K4" s="5"/>
    </row>
    <row r="5" spans="1:12" s="1" customFormat="1" ht="18" x14ac:dyDescent="0.35">
      <c r="A5" s="8" t="str">
        <f>"4"</f>
        <v>4</v>
      </c>
      <c r="B5" s="1" t="str">
        <f>"IC S*Böörs Captain Beefheart"</f>
        <v>IC S*Böörs Captain Beefheart</v>
      </c>
      <c r="C5" s="1" t="str">
        <f>"PER"</f>
        <v>PER</v>
      </c>
      <c r="D5" s="1" t="str">
        <f>"d 33"</f>
        <v>d 33</v>
      </c>
      <c r="E5" s="1" t="str">
        <f>"9"</f>
        <v>9</v>
      </c>
      <c r="F5" s="1" t="str">
        <f>"Hane"</f>
        <v>Hane</v>
      </c>
      <c r="G5" s="1" t="str">
        <f>"Böörs, Lena"</f>
        <v>Böörs, Lena</v>
      </c>
      <c r="H5" s="5" t="s">
        <v>12</v>
      </c>
      <c r="I5" s="5"/>
      <c r="J5" s="5"/>
      <c r="K5" s="5"/>
    </row>
    <row r="6" spans="1:12" s="1" customFormat="1" ht="18" x14ac:dyDescent="0.35">
      <c r="A6" s="8" t="str">
        <f>"5"</f>
        <v>5</v>
      </c>
      <c r="B6" s="1" t="str">
        <f>"Abbey"</f>
        <v>Abbey</v>
      </c>
      <c r="C6" s="1" t="str">
        <f>"RAG"</f>
        <v>RAG</v>
      </c>
      <c r="D6" s="1" t="str">
        <f>"f"</f>
        <v>f</v>
      </c>
      <c r="E6" s="1" t="str">
        <f>"9"</f>
        <v>9</v>
      </c>
      <c r="F6" s="1" t="str">
        <f>"Hona"</f>
        <v>Hona</v>
      </c>
      <c r="G6" s="1" t="str">
        <f>"Heydorn, Charlotta"</f>
        <v>Heydorn, Charlotta</v>
      </c>
      <c r="H6" s="5" t="s">
        <v>13</v>
      </c>
      <c r="I6" s="5"/>
      <c r="J6" s="5"/>
      <c r="K6" s="5"/>
    </row>
    <row r="7" spans="1:12" s="1" customFormat="1" ht="18" x14ac:dyDescent="0.35">
      <c r="A7" s="8" t="str">
        <f>"6"</f>
        <v>6</v>
      </c>
      <c r="B7" s="1" t="str">
        <f>"S*Grand Chatez Lino"</f>
        <v>S*Grand Chatez Lino</v>
      </c>
      <c r="C7" s="1" t="str">
        <f>"RAG"</f>
        <v>RAG</v>
      </c>
      <c r="D7" s="1" t="str">
        <f>"n 03"</f>
        <v>n 03</v>
      </c>
      <c r="E7" s="1" t="str">
        <f>"10"</f>
        <v>10</v>
      </c>
      <c r="F7" s="1" t="str">
        <f>"Hane (K)"</f>
        <v>Hane (K)</v>
      </c>
      <c r="G7" s="1" t="str">
        <f>"Grönholm, Michaela"</f>
        <v>Grönholm, Michaela</v>
      </c>
      <c r="H7" s="5" t="s">
        <v>12</v>
      </c>
      <c r="I7" s="5"/>
      <c r="J7" s="5"/>
      <c r="K7" s="5"/>
    </row>
    <row r="8" spans="1:12" s="1" customFormat="1" ht="18" x14ac:dyDescent="0.35">
      <c r="A8" s="8" t="str">
        <f>"7"</f>
        <v>7</v>
      </c>
      <c r="B8" s="1" t="str">
        <f>"SC S*Linéahuset's Quimba DVM"</f>
        <v>SC S*Linéahuset's Quimba DVM</v>
      </c>
      <c r="C8" s="1" t="str">
        <f t="shared" ref="C8:C20" si="0">"SBI"</f>
        <v>SBI</v>
      </c>
      <c r="D8" s="1" t="str">
        <f t="shared" ref="D8:D13" si="1">"n"</f>
        <v>n</v>
      </c>
      <c r="E8" s="1" t="str">
        <f>"9"</f>
        <v>9</v>
      </c>
      <c r="F8" s="1" t="str">
        <f>"Hane"</f>
        <v>Hane</v>
      </c>
      <c r="G8" s="1" t="str">
        <f>"Porat, Eva"</f>
        <v>Porat, Eva</v>
      </c>
      <c r="H8" s="5" t="s">
        <v>12</v>
      </c>
      <c r="I8" s="5" t="s">
        <v>14</v>
      </c>
      <c r="J8" s="5" t="s">
        <v>15</v>
      </c>
      <c r="K8" s="5"/>
    </row>
    <row r="9" spans="1:12" s="1" customFormat="1" ht="18" x14ac:dyDescent="0.35">
      <c r="A9" s="8" t="str">
        <f>"8"</f>
        <v>8</v>
      </c>
      <c r="B9" s="1" t="str">
        <f>"IC Taropaves Van Halen JW"</f>
        <v>IC Taropaves Van Halen JW</v>
      </c>
      <c r="C9" s="1" t="str">
        <f t="shared" si="0"/>
        <v>SBI</v>
      </c>
      <c r="D9" s="1" t="str">
        <f t="shared" si="1"/>
        <v>n</v>
      </c>
      <c r="E9" s="1" t="str">
        <f>"9"</f>
        <v>9</v>
      </c>
      <c r="F9" s="1" t="str">
        <f>"Hane"</f>
        <v>Hane</v>
      </c>
      <c r="G9" s="1" t="str">
        <f>"Finnebäck, Annelie"</f>
        <v>Finnebäck, Annelie</v>
      </c>
      <c r="H9" s="5">
        <v>2</v>
      </c>
      <c r="I9" s="5"/>
      <c r="J9" s="5"/>
      <c r="K9" s="5"/>
    </row>
    <row r="10" spans="1:12" s="1" customFormat="1" ht="18" x14ac:dyDescent="0.35">
      <c r="A10" s="8" t="str">
        <f>"9"</f>
        <v>9</v>
      </c>
      <c r="B10" s="1" t="str">
        <f>"S*Linéahuset's Sweet Daisy Dee"</f>
        <v>S*Linéahuset's Sweet Daisy Dee</v>
      </c>
      <c r="C10" s="1" t="str">
        <f t="shared" si="0"/>
        <v>SBI</v>
      </c>
      <c r="D10" s="1" t="str">
        <f t="shared" si="1"/>
        <v>n</v>
      </c>
      <c r="E10" s="1" t="str">
        <f>"11"</f>
        <v>11</v>
      </c>
      <c r="F10" s="1" t="str">
        <f>"Hona"</f>
        <v>Hona</v>
      </c>
      <c r="G10" s="1" t="str">
        <f>"Wallgren Falk, Ann-Carol"</f>
        <v>Wallgren Falk, Ann-Carol</v>
      </c>
      <c r="H10" s="5" t="s">
        <v>12</v>
      </c>
      <c r="I10" s="5" t="s">
        <v>16</v>
      </c>
      <c r="J10" s="5"/>
      <c r="K10" s="5"/>
    </row>
    <row r="11" spans="1:12" s="1" customFormat="1" ht="18" x14ac:dyDescent="0.35">
      <c r="A11" s="8" t="str">
        <f>"10"</f>
        <v>10</v>
      </c>
      <c r="B11" s="1" t="str">
        <f>"S*Apple Road's Miss Mistral"</f>
        <v>S*Apple Road's Miss Mistral</v>
      </c>
      <c r="C11" s="1" t="str">
        <f t="shared" si="0"/>
        <v>SBI</v>
      </c>
      <c r="D11" s="1" t="str">
        <f t="shared" si="1"/>
        <v>n</v>
      </c>
      <c r="E11" s="1" t="str">
        <f>"11"</f>
        <v>11</v>
      </c>
      <c r="F11" s="1" t="str">
        <f>"Hona"</f>
        <v>Hona</v>
      </c>
      <c r="G11" s="1" t="str">
        <f>"Kangedal Holm, Birgitta"</f>
        <v>Kangedal Holm, Birgitta</v>
      </c>
      <c r="H11" s="5">
        <v>2</v>
      </c>
      <c r="I11" s="5"/>
      <c r="J11" s="5"/>
      <c r="K11" s="5"/>
    </row>
    <row r="12" spans="1:12" s="1" customFormat="1" ht="18" x14ac:dyDescent="0.35">
      <c r="A12" s="8" t="str">
        <f>"11"</f>
        <v>11</v>
      </c>
      <c r="B12" s="1" t="str">
        <f>"Taropaves Xanax"</f>
        <v>Taropaves Xanax</v>
      </c>
      <c r="C12" s="1" t="str">
        <f t="shared" si="0"/>
        <v>SBI</v>
      </c>
      <c r="D12" s="1" t="str">
        <f t="shared" si="1"/>
        <v>n</v>
      </c>
      <c r="E12" s="1" t="str">
        <f>"12"</f>
        <v>12</v>
      </c>
      <c r="F12" s="1" t="str">
        <f>"Hane"</f>
        <v>Hane</v>
      </c>
      <c r="G12" s="1" t="str">
        <f>"Finnebäck, Annelie"</f>
        <v>Finnebäck, Annelie</v>
      </c>
      <c r="H12" s="5" t="s">
        <v>12</v>
      </c>
      <c r="I12" s="5" t="s">
        <v>17</v>
      </c>
      <c r="J12" s="5"/>
      <c r="K12" s="5"/>
      <c r="L12" s="1" t="s">
        <v>18</v>
      </c>
    </row>
    <row r="13" spans="1:12" s="1" customFormat="1" ht="18" x14ac:dyDescent="0.35">
      <c r="A13" s="8" t="str">
        <f>"12"</f>
        <v>12</v>
      </c>
      <c r="B13" s="1" t="str">
        <f>"S*Linéahuset's Pretty Belindha"</f>
        <v>S*Linéahuset's Pretty Belindha</v>
      </c>
      <c r="C13" s="1" t="str">
        <f t="shared" si="0"/>
        <v>SBI</v>
      </c>
      <c r="D13" s="1" t="str">
        <f t="shared" si="1"/>
        <v>n</v>
      </c>
      <c r="E13" s="1" t="str">
        <f>"12"</f>
        <v>12</v>
      </c>
      <c r="F13" s="1" t="str">
        <f>"Hona"</f>
        <v>Hona</v>
      </c>
      <c r="G13" s="1" t="str">
        <f>"Porat, Eva"</f>
        <v>Porat, Eva</v>
      </c>
      <c r="H13" s="5" t="s">
        <v>12</v>
      </c>
      <c r="I13" s="5" t="s">
        <v>19</v>
      </c>
      <c r="J13" s="5"/>
      <c r="K13" s="5"/>
    </row>
    <row r="14" spans="1:12" s="1" customFormat="1" ht="18" x14ac:dyDescent="0.35">
      <c r="A14" s="8" t="str">
        <f>"13"</f>
        <v>13</v>
      </c>
      <c r="B14" s="1" t="str">
        <f>"S*Respons Tarzena Gull"</f>
        <v>S*Respons Tarzena Gull</v>
      </c>
      <c r="C14" s="1" t="str">
        <f t="shared" si="0"/>
        <v>SBI</v>
      </c>
      <c r="D14" s="1" t="str">
        <f>"a"</f>
        <v>a</v>
      </c>
      <c r="E14" s="1" t="str">
        <f>"9"</f>
        <v>9</v>
      </c>
      <c r="F14" s="1" t="str">
        <f>"Hona"</f>
        <v>Hona</v>
      </c>
      <c r="G14" s="1" t="str">
        <f>"Filander, Annika"</f>
        <v>Filander, Annika</v>
      </c>
      <c r="H14" s="5" t="s">
        <v>12</v>
      </c>
      <c r="I14" s="5" t="s">
        <v>20</v>
      </c>
      <c r="J14" s="5"/>
      <c r="K14" s="5"/>
    </row>
    <row r="15" spans="1:12" s="1" customFormat="1" ht="18" x14ac:dyDescent="0.35">
      <c r="A15" s="8" t="str">
        <f>"14"</f>
        <v>14</v>
      </c>
      <c r="B15" s="1" t="str">
        <f>"S*Linéahuset's Sweet Dolly Day"</f>
        <v>S*Linéahuset's Sweet Dolly Day</v>
      </c>
      <c r="C15" s="1" t="str">
        <f t="shared" si="0"/>
        <v>SBI</v>
      </c>
      <c r="D15" s="1" t="str">
        <f>"a"</f>
        <v>a</v>
      </c>
      <c r="E15" s="1" t="str">
        <f>"11"</f>
        <v>11</v>
      </c>
      <c r="F15" s="1" t="str">
        <f>"Hona"</f>
        <v>Hona</v>
      </c>
      <c r="G15" s="1" t="str">
        <f>"Wallgren Falk, Ann-Carol"</f>
        <v>Wallgren Falk, Ann-Carol</v>
      </c>
      <c r="H15" s="5" t="s">
        <v>12</v>
      </c>
      <c r="I15" s="5"/>
      <c r="J15" s="5"/>
      <c r="K15" s="5"/>
    </row>
    <row r="16" spans="1:12" s="1" customFormat="1" ht="18" x14ac:dyDescent="0.35">
      <c r="A16" s="8" t="str">
        <f>"15"</f>
        <v>15</v>
      </c>
      <c r="B16" s="1" t="str">
        <f>"WW'13 SP GIC S*Linéahuset's Maharajah DSM DVM"</f>
        <v>WW'13 SP GIC S*Linéahuset's Maharajah DSM DVM</v>
      </c>
      <c r="C16" s="1" t="str">
        <f t="shared" si="0"/>
        <v>SBI</v>
      </c>
      <c r="D16" s="1" t="str">
        <f>"b"</f>
        <v>b</v>
      </c>
      <c r="E16" s="1" t="str">
        <f>"10"</f>
        <v>10</v>
      </c>
      <c r="F16" s="1" t="str">
        <f>"Hane (K)"</f>
        <v>Hane (K)</v>
      </c>
      <c r="G16" s="1" t="str">
        <f>"Porat, Eva"</f>
        <v>Porat, Eva</v>
      </c>
      <c r="H16" s="5" t="s">
        <v>12</v>
      </c>
      <c r="I16" s="5" t="s">
        <v>21</v>
      </c>
      <c r="J16" s="5"/>
      <c r="K16" s="5"/>
    </row>
    <row r="17" spans="1:12" s="1" customFormat="1" ht="18" x14ac:dyDescent="0.35">
      <c r="A17" s="8" t="str">
        <f>"16"</f>
        <v>16</v>
      </c>
      <c r="B17" s="1" t="str">
        <f>"Taropaves Xanadu"</f>
        <v>Taropaves Xanadu</v>
      </c>
      <c r="C17" s="1" t="str">
        <f t="shared" si="0"/>
        <v>SBI</v>
      </c>
      <c r="D17" s="1" t="str">
        <f>"b"</f>
        <v>b</v>
      </c>
      <c r="E17" s="1" t="str">
        <f>"12"</f>
        <v>12</v>
      </c>
      <c r="F17" s="1" t="str">
        <f>"Hona"</f>
        <v>Hona</v>
      </c>
      <c r="G17" s="1" t="str">
        <f>"Porat, Eva"</f>
        <v>Porat, Eva</v>
      </c>
      <c r="H17" s="5" t="s">
        <v>12</v>
      </c>
      <c r="I17" s="5"/>
      <c r="J17" s="5"/>
      <c r="K17" s="5"/>
      <c r="L17" s="1" t="s">
        <v>18</v>
      </c>
    </row>
    <row r="18" spans="1:12" s="1" customFormat="1" ht="18" x14ac:dyDescent="0.35">
      <c r="A18" s="8" t="str">
        <f>"17"</f>
        <v>17</v>
      </c>
      <c r="B18" s="1" t="str">
        <f>"Trevino's JamJam Jell-O"</f>
        <v>Trevino's JamJam Jell-O</v>
      </c>
      <c r="C18" s="1" t="str">
        <f t="shared" si="0"/>
        <v>SBI</v>
      </c>
      <c r="D18" s="1" t="str">
        <f>"c"</f>
        <v>c</v>
      </c>
      <c r="E18" s="1" t="str">
        <f>"9"</f>
        <v>9</v>
      </c>
      <c r="F18" s="1" t="str">
        <f>"Hona"</f>
        <v>Hona</v>
      </c>
      <c r="G18" s="1" t="str">
        <f>"Rönnbäck, Charlotte"</f>
        <v>Rönnbäck, Charlotte</v>
      </c>
      <c r="H18" s="5" t="s">
        <v>12</v>
      </c>
      <c r="I18" s="5"/>
      <c r="J18" s="5"/>
      <c r="K18" s="5"/>
    </row>
    <row r="19" spans="1:12" s="1" customFormat="1" ht="18" x14ac:dyDescent="0.35">
      <c r="A19" s="8" t="str">
        <f>"18"</f>
        <v>18</v>
      </c>
      <c r="B19" s="1" t="str">
        <f>"S*Mandelstenens Oliver"</f>
        <v>S*Mandelstenens Oliver</v>
      </c>
      <c r="C19" s="1" t="str">
        <f t="shared" si="0"/>
        <v>SBI</v>
      </c>
      <c r="D19" s="1" t="str">
        <f>"e"</f>
        <v>e</v>
      </c>
      <c r="E19" s="1" t="str">
        <f>"9"</f>
        <v>9</v>
      </c>
      <c r="F19" s="1" t="str">
        <f>"Hane"</f>
        <v>Hane</v>
      </c>
      <c r="G19" s="1" t="str">
        <f>"Norén, Kristina"</f>
        <v>Norén, Kristina</v>
      </c>
      <c r="H19" s="5" t="s">
        <v>12</v>
      </c>
      <c r="I19" s="5"/>
      <c r="J19" s="5"/>
      <c r="K19" s="5"/>
    </row>
    <row r="20" spans="1:12" s="1" customFormat="1" ht="18" x14ac:dyDescent="0.35">
      <c r="A20" s="8" t="str">
        <f>"19"</f>
        <v>19</v>
      </c>
      <c r="B20" s="1" t="str">
        <f>"S*Ma'ha Gita Light My Fire"</f>
        <v>S*Ma'ha Gita Light My Fire</v>
      </c>
      <c r="C20" s="1" t="str">
        <f t="shared" si="0"/>
        <v>SBI</v>
      </c>
      <c r="D20" s="1" t="str">
        <f>"b 21"</f>
        <v>b 21</v>
      </c>
      <c r="E20" s="1" t="str">
        <f>"12"</f>
        <v>12</v>
      </c>
      <c r="F20" s="1" t="str">
        <f>"Hona"</f>
        <v>Hona</v>
      </c>
      <c r="G20" s="1" t="str">
        <f>"Andersson, Gerd"</f>
        <v>Andersson, Gerd</v>
      </c>
      <c r="H20" s="5" t="s">
        <v>13</v>
      </c>
      <c r="I20" s="5"/>
      <c r="J20" s="5"/>
      <c r="K20" s="5"/>
    </row>
    <row r="21" spans="1:12" s="1" customFormat="1" ht="18" x14ac:dyDescent="0.35">
      <c r="A21" s="8" t="str">
        <f>"20"</f>
        <v>20</v>
      </c>
      <c r="B21" s="1" t="str">
        <f>"White Rock's Annies Song"</f>
        <v>White Rock's Annies Song</v>
      </c>
      <c r="C21" s="1" t="str">
        <f t="shared" ref="C21:C26" si="2">"MCO"</f>
        <v>MCO</v>
      </c>
      <c r="D21" s="1" t="str">
        <f>"Grupp 3"</f>
        <v>Grupp 3</v>
      </c>
      <c r="E21" s="1" t="str">
        <f>"10"</f>
        <v>10</v>
      </c>
      <c r="F21" s="1" t="str">
        <f>"Hona (K)"</f>
        <v>Hona (K)</v>
      </c>
      <c r="G21" s="1" t="str">
        <f>"Larsson, Kathleén"</f>
        <v>Larsson, Kathleén</v>
      </c>
      <c r="H21" s="5" t="s">
        <v>12</v>
      </c>
      <c r="I21" s="5"/>
      <c r="J21" s="5"/>
      <c r="K21" s="5"/>
    </row>
    <row r="22" spans="1:12" s="1" customFormat="1" ht="18" x14ac:dyDescent="0.35">
      <c r="A22" s="8" t="str">
        <f>"21"</f>
        <v>21</v>
      </c>
      <c r="B22" s="1" t="str">
        <f>"SE*Klockarskissar Constantin"</f>
        <v>SE*Klockarskissar Constantin</v>
      </c>
      <c r="C22" s="1" t="str">
        <f t="shared" si="2"/>
        <v>MCO</v>
      </c>
      <c r="D22" s="1" t="str">
        <f>"Grupp 3"</f>
        <v>Grupp 3</v>
      </c>
      <c r="E22" s="1" t="str">
        <f>"9"</f>
        <v>9</v>
      </c>
      <c r="F22" s="1" t="str">
        <f>"Hane"</f>
        <v>Hane</v>
      </c>
      <c r="G22" s="1" t="str">
        <f>"Johansson, Camilla"</f>
        <v>Johansson, Camilla</v>
      </c>
      <c r="H22" s="5">
        <v>1</v>
      </c>
      <c r="I22" s="5"/>
      <c r="J22" s="5"/>
      <c r="K22" s="5"/>
    </row>
    <row r="23" spans="1:12" s="1" customFormat="1" ht="18" x14ac:dyDescent="0.35">
      <c r="A23" s="8" t="str">
        <f>"22"</f>
        <v>22</v>
      </c>
      <c r="B23" s="1" t="str">
        <f>"CH S*SinhTsunkitthas TummeLisa"</f>
        <v>CH S*SinhTsunkitthas TummeLisa</v>
      </c>
      <c r="C23" s="1" t="str">
        <f t="shared" si="2"/>
        <v>MCO</v>
      </c>
      <c r="D23" s="1" t="str">
        <f>"Grupp 4"</f>
        <v>Grupp 4</v>
      </c>
      <c r="E23" s="1" t="str">
        <f>"10"</f>
        <v>10</v>
      </c>
      <c r="F23" s="1" t="str">
        <f>"Hona (K)"</f>
        <v>Hona (K)</v>
      </c>
      <c r="G23" s="1" t="str">
        <f>"Johansson, Camilla"</f>
        <v>Johansson, Camilla</v>
      </c>
      <c r="H23" s="5" t="s">
        <v>12</v>
      </c>
      <c r="I23" s="5"/>
      <c r="J23" s="5"/>
      <c r="K23" s="5"/>
    </row>
    <row r="24" spans="1:12" s="1" customFormat="1" ht="18" x14ac:dyDescent="0.35">
      <c r="A24" s="8" t="str">
        <f>"23"</f>
        <v>23</v>
      </c>
      <c r="B24" s="1" t="str">
        <f>"SE*Korsárs Katten Ida"</f>
        <v>SE*Korsárs Katten Ida</v>
      </c>
      <c r="C24" s="1" t="str">
        <f t="shared" si="2"/>
        <v>MCO</v>
      </c>
      <c r="D24" s="1" t="str">
        <f>"Grupp 6"</f>
        <v>Grupp 6</v>
      </c>
      <c r="E24" s="1" t="str">
        <f>"12"</f>
        <v>12</v>
      </c>
      <c r="F24" s="1" t="str">
        <f>"Hona"</f>
        <v>Hona</v>
      </c>
      <c r="G24" s="1" t="str">
        <f>"Korsár, Eva-Karin"</f>
        <v>Korsár, Eva-Karin</v>
      </c>
      <c r="H24" s="5" t="s">
        <v>12</v>
      </c>
      <c r="I24" s="5"/>
      <c r="J24" s="5"/>
      <c r="K24" s="5"/>
    </row>
    <row r="25" spans="1:12" s="1" customFormat="1" ht="18" x14ac:dyDescent="0.35">
      <c r="A25" s="8" t="str">
        <f>"24"</f>
        <v>24</v>
      </c>
      <c r="B25" s="1" t="str">
        <f>"SE*Korsárs Katten Irma"</f>
        <v>SE*Korsárs Katten Irma</v>
      </c>
      <c r="C25" s="1" t="str">
        <f t="shared" si="2"/>
        <v>MCO</v>
      </c>
      <c r="D25" s="1" t="str">
        <f>"Grupp 7"</f>
        <v>Grupp 7</v>
      </c>
      <c r="E25" s="1" t="str">
        <f>"12"</f>
        <v>12</v>
      </c>
      <c r="F25" s="1" t="str">
        <f>"Hona"</f>
        <v>Hona</v>
      </c>
      <c r="G25" s="1" t="str">
        <f>"Korsár, Eva-Karin"</f>
        <v>Korsár, Eva-Karin</v>
      </c>
      <c r="H25" s="5" t="s">
        <v>12</v>
      </c>
      <c r="I25" s="5"/>
      <c r="J25" s="5"/>
      <c r="K25" s="5"/>
    </row>
    <row r="26" spans="1:12" s="1" customFormat="1" ht="18" x14ac:dyDescent="0.35">
      <c r="A26" s="8" t="str">
        <f>"25"</f>
        <v>25</v>
      </c>
      <c r="B26" s="1" t="str">
        <f>"SE*Blue Eagle's Darwin"</f>
        <v>SE*Blue Eagle's Darwin</v>
      </c>
      <c r="C26" s="1" t="str">
        <f t="shared" si="2"/>
        <v>MCO</v>
      </c>
      <c r="D26" s="1" t="str">
        <f>"Grupp 8"</f>
        <v>Grupp 8</v>
      </c>
      <c r="E26" s="1" t="str">
        <f>"11"</f>
        <v>11</v>
      </c>
      <c r="F26" s="1" t="str">
        <f>"Hane"</f>
        <v>Hane</v>
      </c>
      <c r="G26" s="1" t="str">
        <f>"Larsson, Carina"</f>
        <v>Larsson, Carina</v>
      </c>
      <c r="H26" s="5" t="s">
        <v>12</v>
      </c>
      <c r="I26" s="5"/>
      <c r="J26" s="5"/>
      <c r="K26" s="5"/>
    </row>
    <row r="27" spans="1:12" s="1" customFormat="1" ht="18" x14ac:dyDescent="0.35">
      <c r="A27" s="8" t="str">
        <f>"26"</f>
        <v>26</v>
      </c>
      <c r="B27" s="1" t="str">
        <f>"SE*Inside Out Elise of Harmony"</f>
        <v>SE*Inside Out Elise of Harmony</v>
      </c>
      <c r="C27" s="1" t="str">
        <f>"NEM"</f>
        <v>NEM</v>
      </c>
      <c r="D27" s="1" t="str">
        <f>"Grupp 1"</f>
        <v>Grupp 1</v>
      </c>
      <c r="E27" s="1" t="str">
        <f>"9"</f>
        <v>9</v>
      </c>
      <c r="F27" s="1" t="str">
        <f>"Hona"</f>
        <v>Hona</v>
      </c>
      <c r="G27" s="1" t="str">
        <f>"Lust, Fia"</f>
        <v>Lust, Fia</v>
      </c>
      <c r="H27" s="5" t="s">
        <v>13</v>
      </c>
      <c r="I27" s="5"/>
      <c r="J27" s="5"/>
      <c r="K27" s="5"/>
    </row>
    <row r="28" spans="1:12" s="1" customFormat="1" ht="18" x14ac:dyDescent="0.35">
      <c r="A28" s="8" t="str">
        <f>"27"</f>
        <v>27</v>
      </c>
      <c r="B28" s="1" t="str">
        <f>"SE*Saltsjö-Boos Dixie"</f>
        <v>SE*Saltsjö-Boos Dixie</v>
      </c>
      <c r="C28" s="1" t="str">
        <f>"NEM"</f>
        <v>NEM</v>
      </c>
      <c r="D28" s="1" t="str">
        <f>"Grupp 1"</f>
        <v>Grupp 1</v>
      </c>
      <c r="E28" s="1" t="str">
        <f>"9"</f>
        <v>9</v>
      </c>
      <c r="F28" s="1" t="str">
        <f>"Hona"</f>
        <v>Hona</v>
      </c>
      <c r="G28" s="1" t="str">
        <f>"Spiik, Malin"</f>
        <v>Spiik, Malin</v>
      </c>
      <c r="H28" s="5" t="s">
        <v>13</v>
      </c>
      <c r="I28" s="5"/>
      <c r="J28" s="5"/>
      <c r="K28" s="5"/>
    </row>
    <row r="29" spans="1:12" s="1" customFormat="1" ht="18" x14ac:dyDescent="0.35">
      <c r="A29" s="8" t="str">
        <f>"28"</f>
        <v>28</v>
      </c>
      <c r="B29" s="1" t="str">
        <f>"PR S*Spin Engine's Milolii"</f>
        <v>PR S*Spin Engine's Milolii</v>
      </c>
      <c r="C29" s="1" t="str">
        <f t="shared" ref="C29:C40" si="3">"NFO"</f>
        <v>NFO</v>
      </c>
      <c r="D29" s="1" t="str">
        <f>"Grupp 3"</f>
        <v>Grupp 3</v>
      </c>
      <c r="E29" s="1" t="str">
        <f>"10"</f>
        <v>10</v>
      </c>
      <c r="F29" s="1" t="str">
        <f>"Hane (K)"</f>
        <v>Hane (K)</v>
      </c>
      <c r="G29" s="1" t="str">
        <f>"Jönsson, Ylva"</f>
        <v>Jönsson, Ylva</v>
      </c>
      <c r="H29" s="5" t="s">
        <v>12</v>
      </c>
      <c r="I29" s="5"/>
      <c r="J29" s="5"/>
      <c r="K29" s="5"/>
    </row>
    <row r="30" spans="1:12" s="1" customFormat="1" ht="18" x14ac:dyDescent="0.35">
      <c r="A30" s="8">
        <v>29</v>
      </c>
      <c r="B30" s="1" t="str">
        <f>"BR*Miadore Yoda"</f>
        <v>BR*Miadore Yoda</v>
      </c>
      <c r="C30" s="1" t="str">
        <f t="shared" si="3"/>
        <v>NFO</v>
      </c>
      <c r="D30" s="1" t="str">
        <f>"Grupp 3"</f>
        <v>Grupp 3</v>
      </c>
      <c r="E30" s="1" t="str">
        <f>"9"</f>
        <v>9</v>
      </c>
      <c r="F30" s="1" t="str">
        <f>"Hane"</f>
        <v>Hane</v>
      </c>
      <c r="G30" s="1" t="str">
        <f>"Åberg, Barbro"</f>
        <v>Åberg, Barbro</v>
      </c>
      <c r="H30" s="5" t="s">
        <v>12</v>
      </c>
      <c r="I30" s="5" t="s">
        <v>22</v>
      </c>
      <c r="J30" s="5" t="s">
        <v>23</v>
      </c>
      <c r="K30" s="5"/>
      <c r="L30" s="1" t="s">
        <v>24</v>
      </c>
    </row>
    <row r="31" spans="1:12" s="1" customFormat="1" ht="18" x14ac:dyDescent="0.35">
      <c r="A31" s="8" t="str">
        <f>"30"</f>
        <v>30</v>
      </c>
      <c r="B31" s="1" t="str">
        <f>"SP S*Beyond American Pie"</f>
        <v>SP S*Beyond American Pie</v>
      </c>
      <c r="C31" s="1" t="str">
        <f t="shared" si="3"/>
        <v>NFO</v>
      </c>
      <c r="D31" s="1" t="str">
        <f>"Grupp 4"</f>
        <v>Grupp 4</v>
      </c>
      <c r="E31" s="1" t="str">
        <f>"10"</f>
        <v>10</v>
      </c>
      <c r="F31" s="1" t="str">
        <f>"Hona (K)"</f>
        <v>Hona (K)</v>
      </c>
      <c r="G31" s="1" t="str">
        <f>"Åberg, Birgitta"</f>
        <v>Åberg, Birgitta</v>
      </c>
      <c r="H31" s="5" t="s">
        <v>12</v>
      </c>
      <c r="I31" s="5" t="s">
        <v>25</v>
      </c>
      <c r="J31" s="5"/>
      <c r="K31" s="5"/>
      <c r="L31" s="1" t="s">
        <v>26</v>
      </c>
    </row>
    <row r="32" spans="1:12" s="1" customFormat="1" ht="18" x14ac:dyDescent="0.35">
      <c r="A32" s="8" t="str">
        <f>"31"</f>
        <v>31</v>
      </c>
      <c r="B32" s="1" t="str">
        <f>"S*Skottvallen's Odette Så Fräck"</f>
        <v>S*Skottvallen's Odette Så Fräck</v>
      </c>
      <c r="C32" s="1" t="str">
        <f t="shared" si="3"/>
        <v>NFO</v>
      </c>
      <c r="D32" s="1" t="str">
        <f>"Grupp 4"</f>
        <v>Grupp 4</v>
      </c>
      <c r="E32" s="1" t="str">
        <f>"10"</f>
        <v>10</v>
      </c>
      <c r="F32" s="1" t="str">
        <f>"Hona (K)"</f>
        <v>Hona (K)</v>
      </c>
      <c r="G32" s="1" t="str">
        <f>"Karlsson, Susanne"</f>
        <v>Karlsson, Susanne</v>
      </c>
      <c r="H32" s="5">
        <v>2</v>
      </c>
      <c r="I32" s="5"/>
      <c r="J32" s="5"/>
      <c r="K32" s="5"/>
    </row>
    <row r="33" spans="1:12" s="1" customFormat="1" ht="18" x14ac:dyDescent="0.35">
      <c r="A33" s="8" t="str">
        <f>"32"</f>
        <v>32</v>
      </c>
      <c r="B33" s="3" t="str">
        <f>"SE*Torplyktans Teo"</f>
        <v>SE*Torplyktans Teo</v>
      </c>
      <c r="C33" s="1" t="s">
        <v>27</v>
      </c>
      <c r="D33" s="1" t="str">
        <f>"Grupp 5"</f>
        <v>Grupp 5</v>
      </c>
      <c r="E33" s="1" t="str">
        <f>"9"</f>
        <v>9</v>
      </c>
      <c r="F33" s="1" t="str">
        <f>"Hane"</f>
        <v>Hane</v>
      </c>
      <c r="G33" s="1" t="str">
        <f>"Eriksson, Andrea"</f>
        <v>Eriksson, Andrea</v>
      </c>
      <c r="H33" s="5" t="s">
        <v>13</v>
      </c>
      <c r="I33" s="5"/>
      <c r="J33" s="5"/>
      <c r="K33" s="5"/>
    </row>
    <row r="34" spans="1:12" s="1" customFormat="1" ht="18" x14ac:dyDescent="0.35">
      <c r="A34" s="8" t="str">
        <f>"33"</f>
        <v>33</v>
      </c>
      <c r="B34" s="3" t="str">
        <f>"SE*Torplyktans Freja"</f>
        <v>SE*Torplyktans Freja</v>
      </c>
      <c r="C34" s="1" t="s">
        <v>27</v>
      </c>
      <c r="D34" s="1" t="str">
        <f>"Grupp 5"</f>
        <v>Grupp 5</v>
      </c>
      <c r="E34" s="1" t="str">
        <f>"9"</f>
        <v>9</v>
      </c>
      <c r="F34" s="1" t="str">
        <f>"Hona"</f>
        <v>Hona</v>
      </c>
      <c r="G34" s="1" t="str">
        <f>"Eriksson, Andrea"</f>
        <v>Eriksson, Andrea</v>
      </c>
      <c r="H34" s="5" t="s">
        <v>13</v>
      </c>
      <c r="I34" s="5"/>
      <c r="J34" s="5"/>
      <c r="K34" s="5"/>
    </row>
    <row r="35" spans="1:12" s="1" customFormat="1" ht="18" x14ac:dyDescent="0.35">
      <c r="A35" s="8" t="str">
        <f>"34"</f>
        <v>34</v>
      </c>
      <c r="B35" s="1" t="str">
        <f>"IC SE*Kattzelius Dalelia de Alba"</f>
        <v>IC SE*Kattzelius Dalelia de Alba</v>
      </c>
      <c r="C35" s="1" t="str">
        <f t="shared" si="3"/>
        <v>NFO</v>
      </c>
      <c r="D35" s="1" t="str">
        <f>"Grupp 5"</f>
        <v>Grupp 5</v>
      </c>
      <c r="E35" s="1" t="str">
        <f>"9"</f>
        <v>9</v>
      </c>
      <c r="F35" s="1" t="str">
        <f>"Hona"</f>
        <v>Hona</v>
      </c>
      <c r="G35" s="1" t="str">
        <f>"Jansson, Maria"</f>
        <v>Jansson, Maria</v>
      </c>
      <c r="H35" s="5" t="s">
        <v>12</v>
      </c>
      <c r="I35" s="5"/>
      <c r="J35" s="5"/>
      <c r="K35" s="5"/>
    </row>
    <row r="36" spans="1:12" s="1" customFormat="1" ht="18" x14ac:dyDescent="0.35">
      <c r="A36" s="8" t="str">
        <f>"35"</f>
        <v>35</v>
      </c>
      <c r="B36" s="1" t="str">
        <f>"SE*Torplyktans Lovis"</f>
        <v>SE*Torplyktans Lovis</v>
      </c>
      <c r="C36" s="1" t="str">
        <f t="shared" si="3"/>
        <v>NFO</v>
      </c>
      <c r="D36" s="1" t="str">
        <f>"Grupp 5"</f>
        <v>Grupp 5</v>
      </c>
      <c r="E36" s="1" t="str">
        <f>"9"</f>
        <v>9</v>
      </c>
      <c r="F36" s="1" t="str">
        <f>"Hona"</f>
        <v>Hona</v>
      </c>
      <c r="G36" s="1" t="str">
        <f>"Eriksson, Andrea"</f>
        <v>Eriksson, Andrea</v>
      </c>
      <c r="H36" s="5" t="s">
        <v>13</v>
      </c>
      <c r="I36" s="5"/>
      <c r="J36" s="5"/>
      <c r="K36" s="5"/>
    </row>
    <row r="37" spans="1:12" s="1" customFormat="1" ht="18" x14ac:dyDescent="0.35">
      <c r="A37" s="8" t="str">
        <f>"36"</f>
        <v>36</v>
      </c>
      <c r="B37" s="1" t="str">
        <f>"S*Beyond Geisha"</f>
        <v>S*Beyond Geisha</v>
      </c>
      <c r="C37" s="1" t="str">
        <f t="shared" si="3"/>
        <v>NFO</v>
      </c>
      <c r="D37" s="1" t="str">
        <f>"Grupp 5"</f>
        <v>Grupp 5</v>
      </c>
      <c r="E37" s="1" t="str">
        <f>"12"</f>
        <v>12</v>
      </c>
      <c r="F37" s="1" t="str">
        <f>"Hona"</f>
        <v>Hona</v>
      </c>
      <c r="G37" s="1" t="str">
        <f>"Högberg Holm, Helena"</f>
        <v>Högberg Holm, Helena</v>
      </c>
      <c r="H37" s="5" t="s">
        <v>12</v>
      </c>
      <c r="I37" s="5" t="s">
        <v>28</v>
      </c>
      <c r="J37" s="5"/>
      <c r="K37" s="5"/>
      <c r="L37" s="1" t="s">
        <v>29</v>
      </c>
    </row>
    <row r="38" spans="1:12" s="1" customFormat="1" ht="18" x14ac:dyDescent="0.35">
      <c r="A38" s="8" t="str">
        <f>"37"</f>
        <v>37</v>
      </c>
      <c r="B38" s="1" t="str">
        <f>"GIC SE*Kattzelius Freswick de Alba"</f>
        <v>GIC SE*Kattzelius Freswick de Alba</v>
      </c>
      <c r="C38" s="1" t="str">
        <f t="shared" si="3"/>
        <v>NFO</v>
      </c>
      <c r="D38" s="1" t="str">
        <f>"Grupp 6"</f>
        <v>Grupp 6</v>
      </c>
      <c r="E38" s="1" t="str">
        <f>"10"</f>
        <v>10</v>
      </c>
      <c r="F38" s="1" t="str">
        <f>"Hane (K)"</f>
        <v>Hane (K)</v>
      </c>
      <c r="G38" s="1" t="str">
        <f>"Jansson, Maria"</f>
        <v>Jansson, Maria</v>
      </c>
      <c r="H38" s="5" t="s">
        <v>12</v>
      </c>
      <c r="I38" s="5"/>
      <c r="J38" s="5"/>
      <c r="K38" s="5"/>
    </row>
    <row r="39" spans="1:12" s="1" customFormat="1" ht="18" x14ac:dyDescent="0.35">
      <c r="A39" s="8" t="str">
        <f>"38"</f>
        <v>38</v>
      </c>
      <c r="B39" s="1" t="str">
        <f>"S*Beyond Garfield"</f>
        <v>S*Beyond Garfield</v>
      </c>
      <c r="C39" s="1" t="str">
        <f t="shared" si="3"/>
        <v>NFO</v>
      </c>
      <c r="D39" s="1" t="str">
        <f>"Grupp 6"</f>
        <v>Grupp 6</v>
      </c>
      <c r="E39" s="1" t="str">
        <f>"12"</f>
        <v>12</v>
      </c>
      <c r="F39" s="1" t="str">
        <f>"Hane"</f>
        <v>Hane</v>
      </c>
      <c r="G39" s="1" t="str">
        <f>"Åberg, Birgitta"</f>
        <v>Åberg, Birgitta</v>
      </c>
      <c r="H39" s="5" t="s">
        <v>12</v>
      </c>
      <c r="I39" s="5" t="s">
        <v>30</v>
      </c>
      <c r="J39" s="5"/>
      <c r="K39" s="5"/>
    </row>
    <row r="40" spans="1:12" s="1" customFormat="1" ht="18" x14ac:dyDescent="0.35">
      <c r="A40" s="8" t="str">
        <f>"39"</f>
        <v>39</v>
      </c>
      <c r="B40" s="1" t="str">
        <f>"S*Skottvallen's Pip Larsson"</f>
        <v>S*Skottvallen's Pip Larsson</v>
      </c>
      <c r="C40" s="1" t="str">
        <f t="shared" si="3"/>
        <v>NFO</v>
      </c>
      <c r="D40" s="1" t="str">
        <f>"Grupp 8"</f>
        <v>Grupp 8</v>
      </c>
      <c r="E40" s="1" t="str">
        <f>"12"</f>
        <v>12</v>
      </c>
      <c r="F40" s="1" t="str">
        <f>"Hane"</f>
        <v>Hane</v>
      </c>
      <c r="G40" s="1" t="str">
        <f>"Karlsson, Susanne"</f>
        <v>Karlsson, Susanne</v>
      </c>
      <c r="H40" s="5" t="s">
        <v>12</v>
      </c>
      <c r="I40" s="5"/>
      <c r="J40" s="5"/>
      <c r="K40" s="5"/>
      <c r="L40" s="1" t="s">
        <v>18</v>
      </c>
    </row>
    <row r="41" spans="1:12" s="1" customFormat="1" ht="18" x14ac:dyDescent="0.35">
      <c r="A41" s="8" t="str">
        <f>"40"</f>
        <v>40</v>
      </c>
      <c r="B41" s="1" t="str">
        <f>"SE*Mojowito's Buzz Lightyear"</f>
        <v>SE*Mojowito's Buzz Lightyear</v>
      </c>
      <c r="C41" s="1" t="str">
        <f t="shared" ref="C41:C47" si="4">"SIB"</f>
        <v>SIB</v>
      </c>
      <c r="D41" s="1" t="str">
        <f>"Grupp 1"</f>
        <v>Grupp 1</v>
      </c>
      <c r="E41" s="1" t="str">
        <f>"9"</f>
        <v>9</v>
      </c>
      <c r="F41" s="1" t="str">
        <f>"Hane"</f>
        <v>Hane</v>
      </c>
      <c r="G41" s="1" t="str">
        <f>"Lust, Fia"</f>
        <v>Lust, Fia</v>
      </c>
      <c r="H41" s="5" t="s">
        <v>13</v>
      </c>
      <c r="I41" s="5"/>
      <c r="J41" s="5"/>
      <c r="K41" s="5"/>
    </row>
    <row r="42" spans="1:12" s="1" customFormat="1" ht="18" x14ac:dyDescent="0.35">
      <c r="A42" s="8" t="str">
        <f>"41"</f>
        <v>41</v>
      </c>
      <c r="B42" s="1" t="str">
        <f>"SE*Tsarhegens Van Gogh"</f>
        <v>SE*Tsarhegens Van Gogh</v>
      </c>
      <c r="C42" s="1" t="str">
        <f t="shared" si="4"/>
        <v>SIB</v>
      </c>
      <c r="D42" s="1" t="str">
        <f>"Grupp 3"</f>
        <v>Grupp 3</v>
      </c>
      <c r="E42" s="1" t="str">
        <f>"11"</f>
        <v>11</v>
      </c>
      <c r="F42" s="1" t="str">
        <f>"Hane"</f>
        <v>Hane</v>
      </c>
      <c r="G42" s="1" t="str">
        <f>"Boije, Camilla"</f>
        <v>Boije, Camilla</v>
      </c>
      <c r="H42" s="5" t="s">
        <v>12</v>
      </c>
      <c r="I42" s="5"/>
      <c r="J42" s="5"/>
      <c r="K42" s="5"/>
    </row>
    <row r="43" spans="1:12" s="1" customFormat="1" ht="18" x14ac:dyDescent="0.35">
      <c r="A43" s="8" t="str">
        <f>"42"</f>
        <v>42</v>
      </c>
      <c r="B43" s="1" t="str">
        <f>"PR SE*Muscardinus Pumbaa"</f>
        <v>PR SE*Muscardinus Pumbaa</v>
      </c>
      <c r="C43" s="1" t="str">
        <f t="shared" si="4"/>
        <v>SIB</v>
      </c>
      <c r="D43" s="1" t="str">
        <f>"Grupp 4"</f>
        <v>Grupp 4</v>
      </c>
      <c r="E43" s="1" t="str">
        <f>"10"</f>
        <v>10</v>
      </c>
      <c r="F43" s="1" t="str">
        <f>"Hane (K)"</f>
        <v>Hane (K)</v>
      </c>
      <c r="G43" s="1" t="str">
        <f>"Andersson, Jeanette"</f>
        <v>Andersson, Jeanette</v>
      </c>
      <c r="H43" s="5" t="s">
        <v>12</v>
      </c>
      <c r="I43" s="5" t="s">
        <v>31</v>
      </c>
      <c r="J43" s="5"/>
      <c r="K43" s="5"/>
    </row>
    <row r="44" spans="1:12" s="1" customFormat="1" ht="18" x14ac:dyDescent="0.35">
      <c r="A44" s="8" t="str">
        <f>"43"</f>
        <v>43</v>
      </c>
      <c r="B44" s="1" t="str">
        <f>"SE*Hökhöjdens Marwin de Lossian"</f>
        <v>SE*Hökhöjdens Marwin de Lossian</v>
      </c>
      <c r="C44" s="1" t="str">
        <f t="shared" si="4"/>
        <v>SIB</v>
      </c>
      <c r="D44" s="1" t="str">
        <f>"Grupp 6"</f>
        <v>Grupp 6</v>
      </c>
      <c r="E44" s="1" t="str">
        <f>"9"</f>
        <v>9</v>
      </c>
      <c r="F44" s="1" t="str">
        <f>"Hane"</f>
        <v>Hane</v>
      </c>
      <c r="G44" s="1" t="str">
        <f>"Hero Johansson, Marie"</f>
        <v>Hero Johansson, Marie</v>
      </c>
      <c r="H44" s="5" t="s">
        <v>12</v>
      </c>
      <c r="I44" s="5"/>
      <c r="J44" s="5"/>
      <c r="K44" s="5"/>
    </row>
    <row r="45" spans="1:12" s="1" customFormat="1" ht="18" x14ac:dyDescent="0.35">
      <c r="A45" s="8" t="str">
        <f>"44"</f>
        <v>44</v>
      </c>
      <c r="B45" s="1" t="str">
        <f>"SE*Hökhöjdens Naomi de Lossian"</f>
        <v>SE*Hökhöjdens Naomi de Lossian</v>
      </c>
      <c r="C45" s="1" t="str">
        <f t="shared" si="4"/>
        <v>SIB</v>
      </c>
      <c r="D45" s="1" t="str">
        <f>"Grupp 6"</f>
        <v>Grupp 6</v>
      </c>
      <c r="E45" s="1" t="str">
        <f>"9"</f>
        <v>9</v>
      </c>
      <c r="F45" s="1" t="str">
        <f>"Hona"</f>
        <v>Hona</v>
      </c>
      <c r="G45" s="1" t="str">
        <f>"Svensson, Rebecca"</f>
        <v>Svensson, Rebecca</v>
      </c>
      <c r="H45" s="5" t="s">
        <v>12</v>
      </c>
      <c r="I45" s="5" t="s">
        <v>32</v>
      </c>
      <c r="J45" s="5"/>
      <c r="K45" s="5"/>
    </row>
    <row r="46" spans="1:12" s="1" customFormat="1" ht="18" x14ac:dyDescent="0.35">
      <c r="A46" s="8" t="str">
        <f>"45"</f>
        <v>45</v>
      </c>
      <c r="B46" s="1" t="str">
        <f>"S*Tunsji's Eros Bugattovitj"</f>
        <v>S*Tunsji's Eros Bugattovitj</v>
      </c>
      <c r="C46" s="1" t="str">
        <f t="shared" si="4"/>
        <v>SIB</v>
      </c>
      <c r="D46" s="1" t="str">
        <f>"Grupp 7"</f>
        <v>Grupp 7</v>
      </c>
      <c r="E46" s="1" t="str">
        <f>"11"</f>
        <v>11</v>
      </c>
      <c r="F46" s="1" t="str">
        <f>"Hane"</f>
        <v>Hane</v>
      </c>
      <c r="G46" s="1" t="str">
        <f>"Andersson, Airi"</f>
        <v>Andersson, Airi</v>
      </c>
      <c r="H46" s="5" t="s">
        <v>12</v>
      </c>
      <c r="I46" s="5" t="s">
        <v>33</v>
      </c>
      <c r="J46" s="5"/>
      <c r="K46" s="5"/>
    </row>
    <row r="47" spans="1:12" s="1" customFormat="1" ht="18" x14ac:dyDescent="0.35">
      <c r="A47" s="8" t="str">
        <f>"46"</f>
        <v>46</v>
      </c>
      <c r="B47" s="1" t="str">
        <f>"S*Solsibs Kajus Bahadurov"</f>
        <v>S*Solsibs Kajus Bahadurov</v>
      </c>
      <c r="C47" s="1" t="str">
        <f t="shared" si="4"/>
        <v>SIB</v>
      </c>
      <c r="D47" s="1" t="str">
        <f>"Grupp 8"</f>
        <v>Grupp 8</v>
      </c>
      <c r="E47" s="1" t="str">
        <f>"9"</f>
        <v>9</v>
      </c>
      <c r="F47" s="1" t="str">
        <f>"Hane"</f>
        <v>Hane</v>
      </c>
      <c r="G47" s="1" t="str">
        <f>"Berggren, Anneli"</f>
        <v>Berggren, Anneli</v>
      </c>
      <c r="H47" s="5">
        <v>1</v>
      </c>
      <c r="I47" s="5"/>
      <c r="J47" s="5"/>
      <c r="K47" s="5"/>
    </row>
    <row r="48" spans="1:12" s="1" customFormat="1" ht="18" x14ac:dyDescent="0.35">
      <c r="A48" s="8" t="str">
        <f>"47"</f>
        <v>47</v>
      </c>
      <c r="B48" s="1" t="str">
        <f>"SE*Catstudio's Knock out Keldan"</f>
        <v>SE*Catstudio's Knock out Keldan</v>
      </c>
      <c r="C48" s="1" t="str">
        <f>"BEN"</f>
        <v>BEN</v>
      </c>
      <c r="D48" s="1" t="str">
        <f>"n 24"</f>
        <v>n 24</v>
      </c>
      <c r="E48" s="1" t="str">
        <f>"11"</f>
        <v>11</v>
      </c>
      <c r="F48" s="1" t="str">
        <f>"Hane"</f>
        <v>Hane</v>
      </c>
      <c r="G48" s="1" t="str">
        <f>"Otthén, Anni"</f>
        <v>Otthén, Anni</v>
      </c>
      <c r="H48" s="5" t="s">
        <v>12</v>
      </c>
      <c r="I48" s="5"/>
      <c r="J48" s="5"/>
      <c r="K48" s="5"/>
    </row>
    <row r="49" spans="1:12" s="1" customFormat="1" ht="18" x14ac:dyDescent="0.35">
      <c r="A49" s="8" t="str">
        <f>"48"</f>
        <v>48</v>
      </c>
      <c r="B49" s="1" t="str">
        <f>"IDP*Kentuckygårdens Happy Liisa"</f>
        <v>IDP*Kentuckygårdens Happy Liisa</v>
      </c>
      <c r="C49" s="1" t="str">
        <f>"BLH"</f>
        <v>BLH</v>
      </c>
      <c r="D49" s="1" t="str">
        <f>"a"</f>
        <v>a</v>
      </c>
      <c r="E49" s="1" t="str">
        <f>"9"</f>
        <v>9</v>
      </c>
      <c r="F49" s="1" t="str">
        <f>"Hona"</f>
        <v>Hona</v>
      </c>
      <c r="G49" s="1" t="str">
        <f>"Strid, Maud"</f>
        <v>Strid, Maud</v>
      </c>
      <c r="H49" s="5">
        <v>1</v>
      </c>
      <c r="I49" s="5"/>
      <c r="J49" s="5"/>
      <c r="K49" s="5"/>
    </row>
    <row r="50" spans="1:12" s="1" customFormat="1" ht="18" x14ac:dyDescent="0.35">
      <c r="A50" s="8" t="str">
        <f>"49"</f>
        <v>49</v>
      </c>
      <c r="B50" s="1" t="str">
        <f>"CH IDP*Rozehip's Little Wing"</f>
        <v>CH IDP*Rozehip's Little Wing</v>
      </c>
      <c r="C50" s="1" t="str">
        <f>"BLH"</f>
        <v>BLH</v>
      </c>
      <c r="D50" s="1" t="str">
        <f>"c"</f>
        <v>c</v>
      </c>
      <c r="E50" s="1" t="str">
        <f>"9"</f>
        <v>9</v>
      </c>
      <c r="F50" s="1" t="str">
        <f>"Hona"</f>
        <v>Hona</v>
      </c>
      <c r="G50" s="1" t="str">
        <f>"Strid, Maud"</f>
        <v>Strid, Maud</v>
      </c>
      <c r="H50" s="5" t="s">
        <v>12</v>
      </c>
      <c r="I50" s="5"/>
      <c r="J50" s="5"/>
      <c r="K50" s="5"/>
    </row>
    <row r="51" spans="1:12" s="1" customFormat="1" ht="18" x14ac:dyDescent="0.35">
      <c r="A51" s="8" t="str">
        <f>"50"</f>
        <v>50</v>
      </c>
      <c r="B51" s="1" t="str">
        <f>"SE*Mina Mirakel's I Love Capt'n Morgan"</f>
        <v>SE*Mina Mirakel's I Love Capt'n Morgan</v>
      </c>
      <c r="C51" s="1" t="str">
        <f>"BLH"</f>
        <v>BLH</v>
      </c>
      <c r="D51" s="1" t="str">
        <f>"b 02 62"</f>
        <v>b 02 62</v>
      </c>
      <c r="E51" s="1" t="str">
        <f>"11"</f>
        <v>11</v>
      </c>
      <c r="F51" s="1" t="str">
        <f>"Hane"</f>
        <v>Hane</v>
      </c>
      <c r="G51" s="1" t="str">
        <f>"Strid, Maud"</f>
        <v>Strid, Maud</v>
      </c>
      <c r="H51" s="5" t="s">
        <v>12</v>
      </c>
      <c r="I51" s="5" t="s">
        <v>34</v>
      </c>
      <c r="J51" s="5"/>
      <c r="K51" s="5"/>
    </row>
    <row r="52" spans="1:12" s="1" customFormat="1" ht="18" x14ac:dyDescent="0.35">
      <c r="A52" s="8" t="str">
        <f>"51"</f>
        <v>51</v>
      </c>
      <c r="B52" s="1" t="str">
        <f>"SE*Mina Mirakel's I Love Marschmellow"</f>
        <v>SE*Mina Mirakel's I Love Marschmellow</v>
      </c>
      <c r="C52" s="1" t="str">
        <f>"BLH"</f>
        <v>BLH</v>
      </c>
      <c r="D52" s="1" t="str">
        <f>"o 02 62"</f>
        <v>o 02 62</v>
      </c>
      <c r="E52" s="1" t="str">
        <f>"11"</f>
        <v>11</v>
      </c>
      <c r="F52" s="1" t="str">
        <f>"Hona"</f>
        <v>Hona</v>
      </c>
      <c r="G52" s="1" t="str">
        <f>"Strid, Elin"</f>
        <v>Strid, Elin</v>
      </c>
      <c r="H52" s="5" t="s">
        <v>12</v>
      </c>
      <c r="I52" s="5"/>
      <c r="J52" s="5"/>
      <c r="K52" s="5"/>
      <c r="L52" s="1" t="s">
        <v>35</v>
      </c>
    </row>
    <row r="53" spans="1:12" s="1" customFormat="1" ht="18" x14ac:dyDescent="0.35">
      <c r="A53" s="8" t="str">
        <f>"52"</f>
        <v>52</v>
      </c>
      <c r="B53" s="1" t="str">
        <f>"IC IDP*Kentuckygårdens Derby"</f>
        <v>IC IDP*Kentuckygårdens Derby</v>
      </c>
      <c r="C53" s="1" t="str">
        <f>"BSH"</f>
        <v>BSH</v>
      </c>
      <c r="D53" s="1" t="str">
        <f>"n"</f>
        <v>n</v>
      </c>
      <c r="E53" s="1" t="str">
        <f>"9"</f>
        <v>9</v>
      </c>
      <c r="F53" s="1" t="str">
        <f>"Hane"</f>
        <v>Hane</v>
      </c>
      <c r="G53" s="1" t="str">
        <f>"Strid, Elin"</f>
        <v>Strid, Elin</v>
      </c>
      <c r="H53" s="5" t="s">
        <v>12</v>
      </c>
      <c r="I53" s="5" t="s">
        <v>36</v>
      </c>
      <c r="J53" s="5"/>
      <c r="K53" s="5"/>
    </row>
    <row r="54" spans="1:12" s="1" customFormat="1" ht="18" x14ac:dyDescent="0.35">
      <c r="A54" s="8" t="str">
        <f>"53"</f>
        <v>53</v>
      </c>
      <c r="B54" s="1" t="str">
        <f>"SE*Nínim's Vega"</f>
        <v>SE*Nínim's Vega</v>
      </c>
      <c r="C54" s="1" t="str">
        <f>"BSH"</f>
        <v>BSH</v>
      </c>
      <c r="D54" s="1" t="str">
        <f>"c"</f>
        <v>c</v>
      </c>
      <c r="E54" s="1" t="str">
        <f>"9"</f>
        <v>9</v>
      </c>
      <c r="F54" s="1" t="str">
        <f>"Hona"</f>
        <v>Hona</v>
      </c>
      <c r="G54" s="1" t="str">
        <f>"Risberg Persson, Madelene"</f>
        <v>Risberg Persson, Madelene</v>
      </c>
      <c r="H54" s="5" t="s">
        <v>12</v>
      </c>
      <c r="I54" s="5"/>
      <c r="J54" s="5"/>
      <c r="K54" s="5"/>
    </row>
    <row r="55" spans="1:12" s="1" customFormat="1" ht="18" x14ac:dyDescent="0.35">
      <c r="A55" s="8" t="str">
        <f>"54"</f>
        <v>54</v>
      </c>
      <c r="B55" s="1" t="str">
        <f>"SE*Great News Golden Choice"</f>
        <v>SE*Great News Golden Choice</v>
      </c>
      <c r="C55" s="1" t="str">
        <f>"BSH"</f>
        <v>BSH</v>
      </c>
      <c r="D55" s="1" t="str">
        <f>"e"</f>
        <v>e</v>
      </c>
      <c r="E55" s="1" t="str">
        <f>"11"</f>
        <v>11</v>
      </c>
      <c r="F55" s="1" t="str">
        <f>"Hane"</f>
        <v>Hane</v>
      </c>
      <c r="G55" s="1" t="str">
        <f>"Eriksson, Camilla"</f>
        <v>Eriksson, Camilla</v>
      </c>
      <c r="H55" s="5" t="s">
        <v>12</v>
      </c>
      <c r="I55" s="5"/>
      <c r="J55" s="5"/>
      <c r="K55" s="5"/>
    </row>
    <row r="56" spans="1:12" s="1" customFormat="1" ht="18" x14ac:dyDescent="0.35">
      <c r="A56" s="8" t="str">
        <f>"55"</f>
        <v>55</v>
      </c>
      <c r="B56" s="1" t="str">
        <f>"IC Shai-San-War's Umbra"</f>
        <v>IC Shai-San-War's Umbra</v>
      </c>
      <c r="C56" s="1" t="str">
        <f>"BUR"</f>
        <v>BUR</v>
      </c>
      <c r="D56" s="1" t="str">
        <f>"n"</f>
        <v>n</v>
      </c>
      <c r="E56" s="1" t="str">
        <f>"9"</f>
        <v>9</v>
      </c>
      <c r="F56" s="1" t="str">
        <f>"Hona"</f>
        <v>Hona</v>
      </c>
      <c r="G56" s="1" t="str">
        <f>"Helmker, Malin"</f>
        <v>Helmker, Malin</v>
      </c>
      <c r="H56" s="5">
        <v>1</v>
      </c>
      <c r="I56" s="5"/>
      <c r="J56" s="5"/>
      <c r="K56" s="5"/>
    </row>
    <row r="57" spans="1:12" s="1" customFormat="1" ht="18" x14ac:dyDescent="0.35">
      <c r="A57" s="8" t="str">
        <f>"56"</f>
        <v>56</v>
      </c>
      <c r="B57" s="1" t="str">
        <f>"IP SC S*Golden High's Alexia Yo Sweetin DVM"</f>
        <v>IP SC S*Golden High's Alexia Yo Sweetin DVM</v>
      </c>
      <c r="C57" s="1" t="str">
        <f>"BUR"</f>
        <v>BUR</v>
      </c>
      <c r="D57" s="1" t="str">
        <f>"a"</f>
        <v>a</v>
      </c>
      <c r="E57" s="1" t="str">
        <f>"10"</f>
        <v>10</v>
      </c>
      <c r="F57" s="1" t="str">
        <f>"Hona (K)"</f>
        <v>Hona (K)</v>
      </c>
      <c r="G57" s="1" t="str">
        <f>"Helmker, Malin"</f>
        <v>Helmker, Malin</v>
      </c>
      <c r="H57" s="5" t="s">
        <v>12</v>
      </c>
      <c r="I57" s="5"/>
      <c r="J57" s="5"/>
      <c r="K57" s="5"/>
    </row>
    <row r="58" spans="1:12" s="1" customFormat="1" ht="18" x14ac:dyDescent="0.35">
      <c r="A58" s="8" t="str">
        <f>"57"</f>
        <v>57</v>
      </c>
      <c r="B58" s="1" t="str">
        <f>"S*Golden High's Estella Grace"</f>
        <v>S*Golden High's Estella Grace</v>
      </c>
      <c r="C58" s="1" t="str">
        <f>"BUR"</f>
        <v>BUR</v>
      </c>
      <c r="D58" s="1" t="str">
        <f>"b"</f>
        <v>b</v>
      </c>
      <c r="E58" s="1" t="str">
        <f>"11"</f>
        <v>11</v>
      </c>
      <c r="F58" s="1" t="str">
        <f>"Hona"</f>
        <v>Hona</v>
      </c>
      <c r="G58" s="1" t="str">
        <f>"Helmker, Malin"</f>
        <v>Helmker, Malin</v>
      </c>
      <c r="H58" s="5" t="s">
        <v>12</v>
      </c>
      <c r="I58" s="5"/>
      <c r="J58" s="5"/>
      <c r="K58" s="5"/>
    </row>
    <row r="59" spans="1:12" s="1" customFormat="1" ht="18" x14ac:dyDescent="0.35">
      <c r="A59" s="8" t="str">
        <f>"58"</f>
        <v>58</v>
      </c>
      <c r="B59" s="1" t="str">
        <f>"S*Zagamin Kari"</f>
        <v>S*Zagamin Kari</v>
      </c>
      <c r="C59" s="1" t="str">
        <f>"BUR"</f>
        <v>BUR</v>
      </c>
      <c r="D59" s="1" t="str">
        <f>"g"</f>
        <v>g</v>
      </c>
      <c r="E59" s="1" t="str">
        <f>"9"</f>
        <v>9</v>
      </c>
      <c r="F59" s="1" t="str">
        <f>"Hona"</f>
        <v>Hona</v>
      </c>
      <c r="G59" s="1" t="str">
        <f>"Rugner, Madeleine"</f>
        <v>Rugner, Madeleine</v>
      </c>
      <c r="H59" s="5" t="s">
        <v>12</v>
      </c>
      <c r="I59" s="5" t="s">
        <v>37</v>
      </c>
      <c r="J59" s="5"/>
      <c r="K59" s="5"/>
      <c r="L59" s="1" t="s">
        <v>38</v>
      </c>
    </row>
    <row r="60" spans="1:12" s="1" customFormat="1" ht="18" x14ac:dyDescent="0.35">
      <c r="A60" s="8" t="str">
        <f>"59"</f>
        <v>59</v>
      </c>
      <c r="B60" s="1" t="str">
        <f>"SE*Hot Thundereans Kudi JW"</f>
        <v>SE*Hot Thundereans Kudi JW</v>
      </c>
      <c r="C60" s="1" t="str">
        <f>"OCI"</f>
        <v>OCI</v>
      </c>
      <c r="D60" s="1" t="str">
        <f>"n 24"</f>
        <v>n 24</v>
      </c>
      <c r="E60" s="1" t="str">
        <f>"10"</f>
        <v>10</v>
      </c>
      <c r="F60" s="1" t="str">
        <f>"Hona (K)"</f>
        <v>Hona (K)</v>
      </c>
      <c r="G60" s="1" t="str">
        <f>"Hjalmarsson, Eva"</f>
        <v>Hjalmarsson, Eva</v>
      </c>
      <c r="H60" s="5" t="s">
        <v>12</v>
      </c>
      <c r="I60" s="5" t="s">
        <v>39</v>
      </c>
      <c r="J60" s="5"/>
      <c r="K60" s="5"/>
    </row>
    <row r="61" spans="1:12" s="1" customFormat="1" ht="18" x14ac:dyDescent="0.35">
      <c r="A61" s="8" t="str">
        <f>"60"</f>
        <v>60</v>
      </c>
      <c r="B61" s="1" t="str">
        <f>"SE*Hot Thundereans Gami"</f>
        <v>SE*Hot Thundereans Gami</v>
      </c>
      <c r="C61" s="1" t="str">
        <f>"OCI"</f>
        <v>OCI</v>
      </c>
      <c r="D61" s="1" t="str">
        <f>"a 24"</f>
        <v>a 24</v>
      </c>
      <c r="E61" s="1" t="str">
        <f>"11"</f>
        <v>11</v>
      </c>
      <c r="F61" s="1" t="str">
        <f>"Hona"</f>
        <v>Hona</v>
      </c>
      <c r="G61" s="1" t="str">
        <f>"Boskär, Hans"</f>
        <v>Boskär, Hans</v>
      </c>
      <c r="H61" s="5" t="s">
        <v>12</v>
      </c>
      <c r="I61" s="5" t="s">
        <v>40</v>
      </c>
      <c r="J61" s="5" t="s">
        <v>41</v>
      </c>
      <c r="K61" s="5"/>
      <c r="L61" s="1" t="s">
        <v>42</v>
      </c>
    </row>
    <row r="62" spans="1:12" s="1" customFormat="1" ht="18" x14ac:dyDescent="0.35">
      <c r="A62" s="8" t="str">
        <f>"61"</f>
        <v>61</v>
      </c>
      <c r="B62" s="1" t="str">
        <f>"SE*Hot Thundereans Mimosa"</f>
        <v>SE*Hot Thundereans Mimosa</v>
      </c>
      <c r="C62" s="1" t="str">
        <f>"OCI"</f>
        <v>OCI</v>
      </c>
      <c r="D62" s="1" t="str">
        <f>"o 24"</f>
        <v>o 24</v>
      </c>
      <c r="E62" s="1" t="str">
        <f>"12"</f>
        <v>12</v>
      </c>
      <c r="F62" s="1" t="str">
        <f>"Hona"</f>
        <v>Hona</v>
      </c>
      <c r="G62" s="1" t="str">
        <f>"Boskär, Hans"</f>
        <v>Boskär, Hans</v>
      </c>
      <c r="H62" s="5" t="s">
        <v>12</v>
      </c>
      <c r="I62" s="5" t="s">
        <v>43</v>
      </c>
      <c r="J62" s="5"/>
      <c r="K62" s="5"/>
    </row>
    <row r="63" spans="1:12" s="1" customFormat="1" ht="18" x14ac:dyDescent="0.35">
      <c r="A63" s="8" t="str">
        <f>"62"</f>
        <v>62</v>
      </c>
      <c r="B63" s="1" t="str">
        <f>"SE*Hot Thundereans Neckita"</f>
        <v>SE*Hot Thundereans Neckita</v>
      </c>
      <c r="C63" s="1" t="str">
        <f>"OCI"</f>
        <v>OCI</v>
      </c>
      <c r="D63" s="1" t="str">
        <f>"ns 24"</f>
        <v>ns 24</v>
      </c>
      <c r="E63" s="1" t="str">
        <f>"12"</f>
        <v>12</v>
      </c>
      <c r="F63" s="1" t="str">
        <f>"Hona"</f>
        <v>Hona</v>
      </c>
      <c r="G63" s="1" t="str">
        <f>"Boskär, Hans"</f>
        <v>Boskär, Hans</v>
      </c>
      <c r="H63" s="5" t="s">
        <v>12</v>
      </c>
      <c r="I63" s="5"/>
      <c r="J63" s="5"/>
      <c r="K63" s="5"/>
      <c r="L63" s="1" t="s">
        <v>38</v>
      </c>
    </row>
    <row r="64" spans="1:12" s="1" customFormat="1" ht="18" x14ac:dyDescent="0.35">
      <c r="A64" s="8" t="str">
        <f>"63"</f>
        <v>63</v>
      </c>
      <c r="B64" s="1" t="str">
        <f>"S*Dollemina's Mary Poppins"</f>
        <v>S*Dollemina's Mary Poppins</v>
      </c>
      <c r="C64" s="1" t="str">
        <f>"CRX"</f>
        <v>CRX</v>
      </c>
      <c r="D64" s="1" t="str">
        <f>"Grupp 7"</f>
        <v>Grupp 7</v>
      </c>
      <c r="E64" s="1" t="str">
        <f>"9"</f>
        <v>9</v>
      </c>
      <c r="F64" s="1" t="str">
        <f>"Hona"</f>
        <v>Hona</v>
      </c>
      <c r="G64" s="1" t="str">
        <f>"Andersson, Agnetha"</f>
        <v>Andersson, Agnetha</v>
      </c>
      <c r="H64" s="5" t="s">
        <v>12</v>
      </c>
      <c r="I64" s="5"/>
      <c r="J64" s="5"/>
      <c r="K64" s="5"/>
    </row>
    <row r="65" spans="1:12" s="1" customFormat="1" ht="18" x14ac:dyDescent="0.35">
      <c r="A65" s="8" t="str">
        <f>"64"</f>
        <v>64</v>
      </c>
      <c r="B65" s="1" t="str">
        <f>"CH S*Hub Cats Mimolette"</f>
        <v>CH S*Hub Cats Mimolette</v>
      </c>
      <c r="C65" s="1" t="str">
        <f>"CRX"</f>
        <v>CRX</v>
      </c>
      <c r="D65" s="1" t="str">
        <f>"Grupp 8"</f>
        <v>Grupp 8</v>
      </c>
      <c r="E65" s="1" t="str">
        <f>"9"</f>
        <v>9</v>
      </c>
      <c r="F65" s="1" t="str">
        <f>"Hona"</f>
        <v>Hona</v>
      </c>
      <c r="G65" s="1" t="str">
        <f>"Andersson, Agnetha"</f>
        <v>Andersson, Agnetha</v>
      </c>
      <c r="H65" s="5" t="s">
        <v>12</v>
      </c>
      <c r="I65" s="5" t="s">
        <v>44</v>
      </c>
      <c r="J65" s="5"/>
      <c r="K65" s="5"/>
    </row>
    <row r="66" spans="1:12" s="1" customFormat="1" ht="18" x14ac:dyDescent="0.35">
      <c r="A66" s="8" t="str">
        <f>"65"</f>
        <v>65</v>
      </c>
      <c r="B66" s="1" t="str">
        <f>"SE*Recce Pod Desolation of Smaug"</f>
        <v>SE*Recce Pod Desolation of Smaug</v>
      </c>
      <c r="C66" s="1" t="str">
        <f>"DRX"</f>
        <v>DRX</v>
      </c>
      <c r="D66" s="1" t="str">
        <f>"Grupp 2"</f>
        <v>Grupp 2</v>
      </c>
      <c r="E66" s="1" t="str">
        <f>"10"</f>
        <v>10</v>
      </c>
      <c r="F66" s="1" t="str">
        <f>"Hane (K)"</f>
        <v>Hane (K)</v>
      </c>
      <c r="G66" s="1" t="str">
        <f>"Eklund, Jessica"</f>
        <v>Eklund, Jessica</v>
      </c>
      <c r="H66" s="5">
        <v>1</v>
      </c>
      <c r="I66" s="5"/>
      <c r="J66" s="5"/>
      <c r="K66" s="5"/>
    </row>
    <row r="67" spans="1:12" s="1" customFormat="1" ht="18" x14ac:dyDescent="0.35">
      <c r="A67" s="8" t="str">
        <f>"66"</f>
        <v>66</v>
      </c>
      <c r="B67" s="1" t="str">
        <f>"S*Xotic Islands Cayden"</f>
        <v>S*Xotic Islands Cayden</v>
      </c>
      <c r="C67" s="1" t="str">
        <f>"DRX"</f>
        <v>DRX</v>
      </c>
      <c r="D67" s="1" t="str">
        <f>"Grupp 2"</f>
        <v>Grupp 2</v>
      </c>
      <c r="E67" s="1" t="str">
        <f>"12"</f>
        <v>12</v>
      </c>
      <c r="F67" s="1" t="str">
        <f>"Hane"</f>
        <v>Hane</v>
      </c>
      <c r="G67" s="1" t="str">
        <f>"Griffin, Hanna"</f>
        <v>Griffin, Hanna</v>
      </c>
      <c r="H67" s="5" t="s">
        <v>12</v>
      </c>
      <c r="I67" s="5" t="s">
        <v>45</v>
      </c>
      <c r="J67" s="5"/>
      <c r="K67" s="5"/>
    </row>
    <row r="68" spans="1:12" s="1" customFormat="1" ht="18" x14ac:dyDescent="0.35">
      <c r="A68" s="8" t="str">
        <f>"67"</f>
        <v>67</v>
      </c>
      <c r="B68" s="1" t="str">
        <f>"GIC XOXI Kokeshi*PL"</f>
        <v>GIC XOXI Kokeshi*PL</v>
      </c>
      <c r="C68" s="1" t="str">
        <f>"DRX"</f>
        <v>DRX</v>
      </c>
      <c r="D68" s="1" t="str">
        <f>"Grupp 7"</f>
        <v>Grupp 7</v>
      </c>
      <c r="E68" s="1" t="str">
        <f>"9"</f>
        <v>9</v>
      </c>
      <c r="F68" s="1" t="str">
        <f>"Hane"</f>
        <v>Hane</v>
      </c>
      <c r="G68" s="1" t="str">
        <f>"Griffin, Hanna"</f>
        <v>Griffin, Hanna</v>
      </c>
      <c r="H68" s="5" t="s">
        <v>13</v>
      </c>
      <c r="I68" s="5"/>
      <c r="J68" s="5"/>
      <c r="K68" s="5"/>
    </row>
    <row r="69" spans="1:12" s="1" customFormat="1" ht="18" x14ac:dyDescent="0.35">
      <c r="A69" s="8" t="str">
        <f>"68"</f>
        <v>68</v>
      </c>
      <c r="B69" s="1" t="str">
        <f>"SP CH S*Jean Dark Benjamin Syrsa"</f>
        <v>SP CH S*Jean Dark Benjamin Syrsa</v>
      </c>
      <c r="C69" s="1" t="str">
        <f>"OSH"</f>
        <v>OSH</v>
      </c>
      <c r="D69" s="1" t="str">
        <f>"w 61"</f>
        <v>w 61</v>
      </c>
      <c r="E69" s="1" t="str">
        <f>"10"</f>
        <v>10</v>
      </c>
      <c r="F69" s="1" t="str">
        <f>"Hane (K)"</f>
        <v>Hane (K)</v>
      </c>
      <c r="G69" s="1" t="str">
        <f>"Eklund, Jessica"</f>
        <v>Eklund, Jessica</v>
      </c>
      <c r="H69" s="5" t="s">
        <v>12</v>
      </c>
      <c r="I69" s="5"/>
      <c r="J69" s="5"/>
      <c r="K69" s="5"/>
    </row>
    <row r="70" spans="1:12" s="1" customFormat="1" ht="18" x14ac:dyDescent="0.35">
      <c r="A70" s="8" t="str">
        <f>"69"</f>
        <v>69</v>
      </c>
      <c r="B70" s="1" t="str">
        <f>"SC S*Jean Dark Abra Kadrabra JW DSM DVM"</f>
        <v>SC S*Jean Dark Abra Kadrabra JW DSM DVM</v>
      </c>
      <c r="C70" s="1" t="str">
        <f>"OSH"</f>
        <v>OSH</v>
      </c>
      <c r="D70" s="1" t="str">
        <f>"b"</f>
        <v>b</v>
      </c>
      <c r="E70" s="1" t="str">
        <f>"9"</f>
        <v>9</v>
      </c>
      <c r="F70" s="1" t="str">
        <f>"Hane"</f>
        <v>Hane</v>
      </c>
      <c r="G70" s="1" t="str">
        <f>"Eklund, Jessica"</f>
        <v>Eklund, Jessica</v>
      </c>
      <c r="H70" s="5" t="s">
        <v>12</v>
      </c>
      <c r="I70" s="5" t="s">
        <v>46</v>
      </c>
      <c r="J70" s="5" t="s">
        <v>47</v>
      </c>
      <c r="K70" s="4" t="s">
        <v>48</v>
      </c>
      <c r="L70" s="1" t="s">
        <v>49</v>
      </c>
    </row>
    <row r="71" spans="1:12" s="1" customFormat="1" ht="18" x14ac:dyDescent="0.35">
      <c r="A71" s="8" t="str">
        <f>"70"</f>
        <v>70</v>
      </c>
      <c r="B71" s="1" t="str">
        <f>"PR SC S*Casa el Gatos Elliot"</f>
        <v>PR SC S*Casa el Gatos Elliot</v>
      </c>
      <c r="C71" s="1" t="str">
        <f>"SIA"</f>
        <v>SIA</v>
      </c>
      <c r="D71" s="1" t="str">
        <f>"a 21"</f>
        <v>a 21</v>
      </c>
      <c r="E71" s="1" t="str">
        <f>"10"</f>
        <v>10</v>
      </c>
      <c r="F71" s="1" t="str">
        <f>"Hane (K)"</f>
        <v>Hane (K)</v>
      </c>
      <c r="G71" s="1" t="str">
        <f>"Kimnäs, Regina"</f>
        <v>Kimnäs, Regina</v>
      </c>
      <c r="H71" s="5" t="s">
        <v>12</v>
      </c>
      <c r="I71" s="5"/>
      <c r="J71" s="5"/>
      <c r="K71" s="5"/>
    </row>
    <row r="72" spans="1:12" s="1" customFormat="1" ht="18" x14ac:dyDescent="0.35">
      <c r="A72" s="8" t="str">
        <f>"71"</f>
        <v>71</v>
      </c>
      <c r="B72" s="1" t="str">
        <f>"IP CH NO*Oyapus Chaths"</f>
        <v>IP CH NO*Oyapus Chaths</v>
      </c>
      <c r="C72" s="1" t="str">
        <f>"SOM"</f>
        <v>SOM</v>
      </c>
      <c r="D72" s="1" t="str">
        <f>"n"</f>
        <v>n</v>
      </c>
      <c r="E72" s="1" t="str">
        <f>"10"</f>
        <v>10</v>
      </c>
      <c r="F72" s="1" t="str">
        <f>"Hane (K)"</f>
        <v>Hane (K)</v>
      </c>
      <c r="G72" s="1" t="str">
        <f>"Flinkman, Erina"</f>
        <v>Flinkman, Erina</v>
      </c>
      <c r="H72" s="5" t="s">
        <v>12</v>
      </c>
      <c r="I72" s="5" t="s">
        <v>50</v>
      </c>
      <c r="J72" s="5"/>
      <c r="K72" s="5"/>
    </row>
    <row r="73" spans="1:12" s="1" customFormat="1" ht="18" x14ac:dyDescent="0.35">
      <c r="A73" s="8" t="str">
        <f>"72"</f>
        <v>72</v>
      </c>
      <c r="B73" s="1" t="str">
        <f>"CH Ferox Rubra Regina"</f>
        <v>CH Ferox Rubra Regina</v>
      </c>
      <c r="C73" s="1" t="str">
        <f>"SOM"</f>
        <v>SOM</v>
      </c>
      <c r="D73" s="1" t="str">
        <f>"o"</f>
        <v>o</v>
      </c>
      <c r="E73" s="1" t="str">
        <f>"9"</f>
        <v>9</v>
      </c>
      <c r="F73" s="1" t="str">
        <f>"Hona"</f>
        <v>Hona</v>
      </c>
      <c r="G73" s="1" t="str">
        <f>"Flinkman, Erina"</f>
        <v>Flinkman, Erina</v>
      </c>
      <c r="H73" s="5" t="s">
        <v>12</v>
      </c>
      <c r="I73" s="5"/>
      <c r="J73" s="5"/>
      <c r="K73" s="5"/>
    </row>
    <row r="74" spans="1:12" s="1" customFormat="1" ht="18" x14ac:dyDescent="0.35">
      <c r="A74" s="8" t="str">
        <f>"73"</f>
        <v>73</v>
      </c>
      <c r="B74" s="1" t="str">
        <f>"Bob"</f>
        <v>Bob</v>
      </c>
      <c r="C74" s="1" t="str">
        <f>"HCL"</f>
        <v>HCL</v>
      </c>
      <c r="D74" s="1" t="str">
        <f>"d 22"</f>
        <v>d 22</v>
      </c>
      <c r="E74" s="1" t="str">
        <f t="shared" ref="E74:E83" si="5">"14"</f>
        <v>14</v>
      </c>
      <c r="F74" s="1" t="str">
        <f>"Hane (K)"</f>
        <v>Hane (K)</v>
      </c>
      <c r="G74" s="1" t="str">
        <f>"Almqvist, Camilla"</f>
        <v>Almqvist, Camilla</v>
      </c>
      <c r="H74" s="5" t="s">
        <v>13</v>
      </c>
      <c r="I74" s="5"/>
      <c r="J74" s="5"/>
      <c r="K74" s="5"/>
    </row>
    <row r="75" spans="1:12" s="1" customFormat="1" ht="18" x14ac:dyDescent="0.35">
      <c r="A75" s="8" t="str">
        <f>"74"</f>
        <v>74</v>
      </c>
      <c r="B75" s="1" t="str">
        <f>"Jonatan Lejonhjärta"</f>
        <v>Jonatan Lejonhjärta</v>
      </c>
      <c r="C75" s="1" t="str">
        <f>"HCL"</f>
        <v>HCL</v>
      </c>
      <c r="D75" s="1" t="str">
        <f>"n 01 21"</f>
        <v>n 01 21</v>
      </c>
      <c r="E75" s="1" t="str">
        <f t="shared" si="5"/>
        <v>14</v>
      </c>
      <c r="F75" s="1" t="str">
        <f>"Hane (K)"</f>
        <v>Hane (K)</v>
      </c>
      <c r="G75" s="1" t="str">
        <f>"Melin, Susanne"</f>
        <v>Melin, Susanne</v>
      </c>
      <c r="H75" s="5" t="s">
        <v>12</v>
      </c>
      <c r="I75" s="5"/>
      <c r="J75" s="5"/>
      <c r="K75" s="5"/>
    </row>
    <row r="76" spans="1:12" s="1" customFormat="1" ht="18" x14ac:dyDescent="0.35">
      <c r="A76" s="8" t="str">
        <f>"75"</f>
        <v>75</v>
      </c>
      <c r="B76" s="1" t="str">
        <f>"Denver"</f>
        <v>Denver</v>
      </c>
      <c r="C76" s="1" t="str">
        <f>"HCL"</f>
        <v>HCL</v>
      </c>
      <c r="D76" s="1" t="str">
        <f>"ns"</f>
        <v>ns</v>
      </c>
      <c r="E76" s="1" t="str">
        <f t="shared" si="5"/>
        <v>14</v>
      </c>
      <c r="F76" s="1" t="str">
        <f>"Hane (K)"</f>
        <v>Hane (K)</v>
      </c>
      <c r="G76" s="1" t="str">
        <f>"Strid, Elin"</f>
        <v>Strid, Elin</v>
      </c>
      <c r="H76" s="5">
        <v>2</v>
      </c>
      <c r="I76" s="5"/>
      <c r="J76" s="5"/>
      <c r="K76" s="5"/>
    </row>
    <row r="77" spans="1:12" s="1" customFormat="1" ht="18" x14ac:dyDescent="0.35">
      <c r="A77" s="8" t="str">
        <f>"76"</f>
        <v>76</v>
      </c>
      <c r="B77" s="1" t="str">
        <f>"Nowa DSM"</f>
        <v>Nowa DSM</v>
      </c>
      <c r="C77" s="1" t="str">
        <f>"HCL"</f>
        <v>HCL</v>
      </c>
      <c r="D77" s="1" t="str">
        <f>"n 03 24"</f>
        <v>n 03 24</v>
      </c>
      <c r="E77" s="1" t="str">
        <f t="shared" si="5"/>
        <v>14</v>
      </c>
      <c r="F77" s="1" t="str">
        <f>"Hona (K)"</f>
        <v>Hona (K)</v>
      </c>
      <c r="G77" s="1" t="str">
        <f>"Strid, Maud"</f>
        <v>Strid, Maud</v>
      </c>
      <c r="H77" s="5" t="s">
        <v>13</v>
      </c>
      <c r="I77" s="5"/>
      <c r="J77" s="5"/>
      <c r="K77" s="5"/>
    </row>
    <row r="78" spans="1:12" s="1" customFormat="1" ht="18" x14ac:dyDescent="0.35">
      <c r="A78" s="8" t="str">
        <f>"77"</f>
        <v>77</v>
      </c>
      <c r="B78" s="1" t="str">
        <f>"Bianca DSM"</f>
        <v>Bianca DSM</v>
      </c>
      <c r="C78" s="1" t="str">
        <f>"HCL"</f>
        <v>HCL</v>
      </c>
      <c r="D78" s="1" t="str">
        <f>"ns 24"</f>
        <v>ns 24</v>
      </c>
      <c r="E78" s="1" t="str">
        <f t="shared" si="5"/>
        <v>14</v>
      </c>
      <c r="F78" s="1" t="str">
        <f>"Hona (K)"</f>
        <v>Hona (K)</v>
      </c>
      <c r="G78" s="1" t="str">
        <f>"Sjöberg, Jessica"</f>
        <v>Sjöberg, Jessica</v>
      </c>
      <c r="H78" s="5" t="s">
        <v>12</v>
      </c>
      <c r="I78" s="5"/>
      <c r="J78" s="5" t="s">
        <v>51</v>
      </c>
      <c r="K78" s="5"/>
      <c r="L78" s="1" t="s">
        <v>38</v>
      </c>
    </row>
    <row r="79" spans="1:12" s="1" customFormat="1" ht="18" x14ac:dyDescent="0.35">
      <c r="A79" s="8" t="str">
        <f>"78"</f>
        <v>78</v>
      </c>
      <c r="B79" s="1" t="str">
        <f>"Azlan"</f>
        <v>Azlan</v>
      </c>
      <c r="C79" s="1" t="str">
        <f>"HCS"</f>
        <v>HCS</v>
      </c>
      <c r="D79" s="1" t="str">
        <f>"d 09 23"</f>
        <v>d 09 23</v>
      </c>
      <c r="E79" s="1" t="str">
        <f t="shared" si="5"/>
        <v>14</v>
      </c>
      <c r="F79" s="1" t="str">
        <f>"Hane (K)"</f>
        <v>Hane (K)</v>
      </c>
      <c r="G79" s="1" t="str">
        <f>"Johansson, Madelene"</f>
        <v>Johansson, Madelene</v>
      </c>
      <c r="H79" s="5" t="s">
        <v>13</v>
      </c>
      <c r="I79" s="5"/>
      <c r="J79" s="5"/>
      <c r="K79" s="5"/>
    </row>
    <row r="80" spans="1:12" s="1" customFormat="1" ht="18" x14ac:dyDescent="0.35">
      <c r="A80" s="8" t="str">
        <f>"79"</f>
        <v>79</v>
      </c>
      <c r="B80" s="1" t="str">
        <f>"Balder"</f>
        <v>Balder</v>
      </c>
      <c r="C80" s="1" t="str">
        <f>"HCS"</f>
        <v>HCS</v>
      </c>
      <c r="D80" s="1" t="str">
        <f>"e 03"</f>
        <v>e 03</v>
      </c>
      <c r="E80" s="1" t="str">
        <f t="shared" si="5"/>
        <v>14</v>
      </c>
      <c r="F80" s="1" t="str">
        <f>"Hane (K)"</f>
        <v>Hane (K)</v>
      </c>
      <c r="G80" s="1" t="str">
        <f>"Sjöberg, Jessica"</f>
        <v>Sjöberg, Jessica</v>
      </c>
      <c r="H80" s="5">
        <v>3</v>
      </c>
      <c r="I80" s="5"/>
      <c r="J80" s="5"/>
      <c r="K80" s="5"/>
    </row>
    <row r="81" spans="1:11" s="1" customFormat="1" ht="18" x14ac:dyDescent="0.35">
      <c r="A81" s="8" t="str">
        <f>"80"</f>
        <v>80</v>
      </c>
      <c r="B81" s="1" t="str">
        <f>"Pelle"</f>
        <v>Pelle</v>
      </c>
      <c r="C81" s="1" t="str">
        <f>"HCS"</f>
        <v>HCS</v>
      </c>
      <c r="D81" s="1" t="str">
        <f>"n 03"</f>
        <v>n 03</v>
      </c>
      <c r="E81" s="1" t="str">
        <f t="shared" si="5"/>
        <v>14</v>
      </c>
      <c r="F81" s="1" t="str">
        <f>"Hane (K)"</f>
        <v>Hane (K)</v>
      </c>
      <c r="G81" s="1" t="str">
        <f>"Sjöberg, Jessica"</f>
        <v>Sjöberg, Jessica</v>
      </c>
      <c r="H81" s="5">
        <v>2</v>
      </c>
      <c r="I81" s="5"/>
      <c r="J81" s="5"/>
      <c r="K81" s="5"/>
    </row>
    <row r="82" spans="1:11" s="1" customFormat="1" ht="18" x14ac:dyDescent="0.35">
      <c r="A82" s="8" t="str">
        <f>"81"</f>
        <v>81</v>
      </c>
      <c r="B82" s="1" t="str">
        <f>"Bamse"</f>
        <v>Bamse</v>
      </c>
      <c r="C82" s="1" t="str">
        <f>"HCS"</f>
        <v>HCS</v>
      </c>
      <c r="D82" s="1" t="str">
        <f>"n 09"</f>
        <v>n 09</v>
      </c>
      <c r="E82" s="1" t="str">
        <f t="shared" si="5"/>
        <v>14</v>
      </c>
      <c r="F82" s="1" t="str">
        <f>"Hane"</f>
        <v>Hane</v>
      </c>
      <c r="G82" s="1" t="str">
        <f>"Johansson, Madelene"</f>
        <v>Johansson, Madelene</v>
      </c>
      <c r="H82" s="5" t="s">
        <v>12</v>
      </c>
      <c r="I82" s="5"/>
      <c r="J82" s="5" t="s">
        <v>52</v>
      </c>
      <c r="K82" s="4" t="s">
        <v>53</v>
      </c>
    </row>
    <row r="83" spans="1:11" s="1" customFormat="1" ht="18" x14ac:dyDescent="0.35">
      <c r="A83" s="8" t="str">
        <f>"82"</f>
        <v>82</v>
      </c>
      <c r="B83" s="1" t="str">
        <f>"Bluebell"</f>
        <v>Bluebell</v>
      </c>
      <c r="C83" s="1" t="str">
        <f>"HCS"</f>
        <v>HCS</v>
      </c>
      <c r="D83" s="1" t="str">
        <f>"g 09"</f>
        <v>g 09</v>
      </c>
      <c r="E83" s="1" t="str">
        <f t="shared" si="5"/>
        <v>14</v>
      </c>
      <c r="F83" s="1" t="str">
        <f>"Hona (K)"</f>
        <v>Hona (K)</v>
      </c>
      <c r="G83" s="1" t="str">
        <f>"Sjöberg, Jessica"</f>
        <v>Sjöberg, Jessica</v>
      </c>
      <c r="H83" s="5" t="s">
        <v>12</v>
      </c>
      <c r="I83" s="5"/>
      <c r="J83" s="5"/>
      <c r="K83" s="5"/>
    </row>
    <row r="84" spans="1:11" s="1" customFormat="1" ht="18" x14ac:dyDescent="0.35">
      <c r="A84" s="8"/>
      <c r="H84" s="5"/>
      <c r="I84" s="5"/>
      <c r="J84" s="5"/>
      <c r="K8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 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Nerikes Kattklubb</dc:creator>
  <cp:keywords/>
  <dc:description/>
  <cp:lastModifiedBy>Annelie Finnebäck</cp:lastModifiedBy>
  <cp:revision/>
  <dcterms:created xsi:type="dcterms:W3CDTF">2018-12-01T14:20:06Z</dcterms:created>
  <dcterms:modified xsi:type="dcterms:W3CDTF">2023-01-02T15:17:00Z</dcterms:modified>
  <cp:category/>
  <cp:contentStatus/>
</cp:coreProperties>
</file>