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nnel\Dropbox\NERK ny hemsida\Utställning\KM resultat\"/>
    </mc:Choice>
  </mc:AlternateContent>
  <xr:revisionPtr revIDLastSave="0" documentId="8_{712731C9-C890-4E0E-9E1B-91D4B41F95BD}" xr6:coauthVersionLast="47" xr6:coauthVersionMax="47" xr10:uidLastSave="{00000000-0000-0000-0000-000000000000}"/>
  <bookViews>
    <workbookView xWindow="1152" yWindow="600" windowWidth="16884" windowHeight="12360" xr2:uid="{00000000-000D-0000-FFFF-FFFF00000000}"/>
  </bookViews>
  <sheets>
    <sheet name="Resultatlista" sheetId="1" r:id="rId1"/>
    <sheet name="Panelresultat" sheetId="4" r:id="rId2"/>
  </sheets>
  <definedNames>
    <definedName name="_xlnm._FilterDatabase" localSheetId="1" hidden="1">Panelresultat!$A$1:$J$38</definedName>
    <definedName name="_xlnm._FilterDatabase" localSheetId="0" hidden="1">Resultatlista!$A$1:$K$95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F2" i="1"/>
  <c r="G2" i="1"/>
  <c r="A3" i="1"/>
  <c r="B3" i="1"/>
  <c r="C3" i="1"/>
  <c r="D3" i="1"/>
  <c r="F3" i="1"/>
  <c r="G3" i="1"/>
  <c r="A4" i="1"/>
  <c r="B4" i="1"/>
  <c r="C4" i="1"/>
  <c r="D4" i="1"/>
  <c r="F4" i="1"/>
  <c r="G4" i="1"/>
  <c r="A5" i="1"/>
  <c r="B5" i="1"/>
  <c r="C5" i="1"/>
  <c r="D5" i="1"/>
  <c r="F5" i="1"/>
  <c r="G5" i="1"/>
  <c r="A6" i="1"/>
  <c r="B6" i="1"/>
  <c r="C6" i="1"/>
  <c r="D6" i="1"/>
  <c r="F6" i="1"/>
  <c r="G6" i="1"/>
  <c r="A7" i="1"/>
  <c r="B7" i="1"/>
  <c r="C7" i="1"/>
  <c r="D7" i="1"/>
  <c r="F7" i="1"/>
  <c r="G7" i="1"/>
  <c r="A8" i="1"/>
  <c r="B8" i="1"/>
  <c r="C8" i="1"/>
  <c r="D8" i="1"/>
  <c r="F8" i="1"/>
  <c r="G8" i="1"/>
  <c r="A9" i="1"/>
  <c r="B9" i="1"/>
  <c r="C9" i="1"/>
  <c r="D9" i="1"/>
  <c r="F9" i="1"/>
  <c r="G9" i="1"/>
  <c r="A10" i="1"/>
  <c r="B10" i="1"/>
  <c r="C10" i="1"/>
  <c r="D10" i="1"/>
  <c r="F10" i="1"/>
  <c r="G10" i="1"/>
  <c r="A11" i="1"/>
  <c r="B11" i="1"/>
  <c r="C11" i="1"/>
  <c r="D11" i="1"/>
  <c r="F11" i="1"/>
  <c r="G11" i="1"/>
  <c r="A12" i="1"/>
  <c r="B12" i="1"/>
  <c r="C12" i="1"/>
  <c r="D12" i="1"/>
  <c r="F12" i="1"/>
  <c r="G12" i="1"/>
  <c r="A13" i="1"/>
  <c r="B13" i="1"/>
  <c r="C13" i="1"/>
  <c r="D13" i="1"/>
  <c r="F13" i="1"/>
  <c r="G13" i="1"/>
  <c r="A14" i="1"/>
  <c r="B14" i="1"/>
  <c r="C14" i="1"/>
  <c r="D14" i="1"/>
  <c r="F14" i="1"/>
  <c r="G14" i="1"/>
  <c r="A15" i="1"/>
  <c r="B15" i="1"/>
  <c r="C15" i="1"/>
  <c r="D15" i="1"/>
  <c r="F15" i="1"/>
  <c r="G15" i="1"/>
  <c r="A16" i="1"/>
  <c r="B16" i="1"/>
  <c r="C16" i="1"/>
  <c r="D16" i="1"/>
  <c r="F16" i="1"/>
  <c r="G16" i="1"/>
  <c r="A17" i="1"/>
  <c r="B17" i="1"/>
  <c r="C17" i="1"/>
  <c r="D17" i="1"/>
  <c r="F17" i="1"/>
  <c r="G17" i="1"/>
  <c r="A18" i="1"/>
  <c r="B18" i="1"/>
  <c r="C18" i="1"/>
  <c r="D18" i="1"/>
  <c r="F18" i="1"/>
  <c r="G18" i="1"/>
  <c r="A19" i="1"/>
  <c r="B19" i="1"/>
  <c r="C19" i="1"/>
  <c r="D19" i="1"/>
  <c r="F19" i="1"/>
  <c r="G19" i="1"/>
  <c r="A20" i="1"/>
  <c r="B20" i="1"/>
  <c r="C20" i="1"/>
  <c r="D20" i="1"/>
  <c r="F20" i="1"/>
  <c r="G20" i="1"/>
  <c r="A21" i="1"/>
  <c r="B21" i="1"/>
  <c r="C21" i="1"/>
  <c r="D21" i="1"/>
  <c r="F21" i="1"/>
  <c r="G21" i="1"/>
  <c r="A22" i="1"/>
  <c r="B22" i="1"/>
  <c r="C22" i="1"/>
  <c r="D22" i="1"/>
  <c r="F22" i="1"/>
  <c r="G22" i="1"/>
  <c r="A23" i="1"/>
  <c r="B23" i="1"/>
  <c r="C23" i="1"/>
  <c r="D23" i="1"/>
  <c r="F23" i="1"/>
  <c r="G23" i="1"/>
  <c r="A24" i="1"/>
  <c r="B24" i="1"/>
  <c r="C24" i="1"/>
  <c r="D24" i="1"/>
  <c r="F24" i="1"/>
  <c r="G24" i="1"/>
  <c r="A25" i="1"/>
  <c r="B25" i="1"/>
  <c r="C25" i="1"/>
  <c r="D25" i="1"/>
  <c r="F25" i="1"/>
  <c r="G25" i="1"/>
  <c r="A26" i="1"/>
  <c r="B26" i="1"/>
  <c r="C26" i="1"/>
  <c r="D26" i="1"/>
  <c r="F26" i="1"/>
  <c r="G26" i="1"/>
  <c r="A27" i="1"/>
  <c r="B27" i="1"/>
  <c r="C27" i="1"/>
  <c r="D27" i="1"/>
  <c r="F27" i="1"/>
  <c r="G27" i="1"/>
  <c r="A28" i="1"/>
  <c r="B28" i="1"/>
  <c r="C28" i="1"/>
  <c r="D28" i="1"/>
  <c r="F28" i="1"/>
  <c r="G28" i="1"/>
  <c r="A29" i="1"/>
  <c r="B29" i="1"/>
  <c r="C29" i="1"/>
  <c r="D29" i="1"/>
  <c r="F29" i="1"/>
  <c r="G29" i="1"/>
  <c r="A30" i="1"/>
  <c r="B30" i="1"/>
  <c r="C30" i="1"/>
  <c r="D30" i="1"/>
  <c r="F30" i="1"/>
  <c r="G30" i="1"/>
  <c r="A31" i="1"/>
  <c r="B31" i="1"/>
  <c r="C31" i="1"/>
  <c r="D31" i="1"/>
  <c r="F31" i="1"/>
  <c r="G31" i="1"/>
  <c r="A32" i="1"/>
  <c r="B32" i="1"/>
  <c r="C32" i="1"/>
  <c r="D32" i="1"/>
  <c r="F32" i="1"/>
  <c r="G32" i="1"/>
  <c r="A33" i="1"/>
  <c r="B33" i="1"/>
  <c r="C33" i="1"/>
  <c r="D33" i="1"/>
  <c r="F33" i="1"/>
  <c r="G33" i="1"/>
  <c r="A34" i="1"/>
  <c r="B34" i="1"/>
  <c r="C34" i="1"/>
  <c r="D34" i="1"/>
  <c r="F34" i="1"/>
  <c r="G34" i="1"/>
  <c r="A35" i="1"/>
  <c r="B35" i="1"/>
  <c r="C35" i="1"/>
  <c r="D35" i="1"/>
  <c r="F35" i="1"/>
  <c r="G35" i="1"/>
  <c r="A36" i="1"/>
  <c r="B36" i="1"/>
  <c r="C36" i="1"/>
  <c r="D36" i="1"/>
  <c r="F36" i="1"/>
  <c r="G36" i="1"/>
  <c r="A37" i="1"/>
  <c r="B37" i="1"/>
  <c r="C37" i="1"/>
  <c r="D37" i="1"/>
  <c r="F37" i="1"/>
  <c r="G37" i="1"/>
  <c r="A38" i="1"/>
  <c r="B38" i="1"/>
  <c r="C38" i="1"/>
  <c r="D38" i="1"/>
  <c r="F38" i="1"/>
  <c r="G38" i="1"/>
  <c r="A39" i="1"/>
  <c r="B39" i="1"/>
  <c r="C39" i="1"/>
  <c r="D39" i="1"/>
  <c r="F39" i="1"/>
  <c r="G39" i="1"/>
  <c r="A40" i="1"/>
  <c r="B40" i="1"/>
  <c r="C40" i="1"/>
  <c r="D40" i="1"/>
  <c r="F40" i="1"/>
  <c r="G40" i="1"/>
  <c r="A41" i="1"/>
  <c r="B41" i="1"/>
  <c r="C41" i="1"/>
  <c r="D41" i="1"/>
  <c r="F41" i="1"/>
  <c r="G41" i="1"/>
  <c r="A42" i="1"/>
  <c r="B42" i="1"/>
  <c r="C42" i="1"/>
  <c r="D42" i="1"/>
  <c r="F42" i="1"/>
  <c r="G42" i="1"/>
  <c r="A43" i="1"/>
  <c r="B43" i="1"/>
  <c r="C43" i="1"/>
  <c r="D43" i="1"/>
  <c r="F43" i="1"/>
  <c r="G43" i="1"/>
  <c r="A44" i="1"/>
  <c r="B44" i="1"/>
  <c r="C44" i="1"/>
  <c r="D44" i="1"/>
  <c r="F44" i="1"/>
  <c r="G44" i="1"/>
  <c r="A45" i="1"/>
  <c r="B45" i="1"/>
  <c r="C45" i="1"/>
  <c r="D45" i="1"/>
  <c r="F45" i="1"/>
  <c r="G45" i="1"/>
  <c r="A46" i="1"/>
  <c r="B46" i="1"/>
  <c r="C46" i="1"/>
  <c r="D46" i="1"/>
  <c r="F46" i="1"/>
  <c r="G46" i="1"/>
  <c r="A47" i="1"/>
  <c r="B47" i="1"/>
  <c r="C47" i="1"/>
  <c r="D47" i="1"/>
  <c r="F47" i="1"/>
  <c r="G47" i="1"/>
  <c r="A48" i="1"/>
  <c r="B48" i="1"/>
  <c r="C48" i="1"/>
  <c r="D48" i="1"/>
  <c r="F48" i="1"/>
  <c r="G48" i="1"/>
  <c r="A49" i="1"/>
  <c r="B49" i="1"/>
  <c r="C49" i="1"/>
  <c r="D49" i="1"/>
  <c r="F49" i="1"/>
  <c r="G49" i="1"/>
  <c r="A50" i="1"/>
  <c r="B50" i="1"/>
  <c r="C50" i="1"/>
  <c r="D50" i="1"/>
  <c r="F50" i="1"/>
  <c r="G50" i="1"/>
  <c r="A51" i="1"/>
  <c r="B51" i="1"/>
  <c r="C51" i="1"/>
  <c r="D51" i="1"/>
  <c r="F51" i="1"/>
  <c r="G51" i="1"/>
  <c r="A52" i="1"/>
  <c r="B52" i="1"/>
  <c r="C52" i="1"/>
  <c r="D52" i="1"/>
  <c r="F52" i="1"/>
  <c r="G52" i="1"/>
  <c r="A53" i="1"/>
  <c r="B53" i="1"/>
  <c r="C53" i="1"/>
  <c r="D53" i="1"/>
  <c r="F53" i="1"/>
  <c r="G53" i="1"/>
  <c r="A54" i="1"/>
  <c r="B54" i="1"/>
  <c r="C54" i="1"/>
  <c r="D54" i="1"/>
  <c r="F54" i="1"/>
  <c r="G54" i="1"/>
  <c r="A55" i="1"/>
  <c r="B55" i="1"/>
  <c r="C55" i="1"/>
  <c r="D55" i="1"/>
  <c r="F55" i="1"/>
  <c r="G55" i="1"/>
  <c r="A56" i="1"/>
  <c r="B56" i="1"/>
  <c r="C56" i="1"/>
  <c r="D56" i="1"/>
  <c r="F56" i="1"/>
  <c r="G56" i="1"/>
  <c r="A57" i="1"/>
  <c r="B57" i="1"/>
  <c r="C57" i="1"/>
  <c r="D57" i="1"/>
  <c r="F57" i="1"/>
  <c r="G57" i="1"/>
  <c r="A58" i="1"/>
  <c r="B58" i="1"/>
  <c r="C58" i="1"/>
  <c r="D58" i="1"/>
  <c r="F58" i="1"/>
  <c r="G58" i="1"/>
  <c r="A59" i="1"/>
  <c r="B59" i="1"/>
  <c r="C59" i="1"/>
  <c r="D59" i="1"/>
  <c r="F59" i="1"/>
  <c r="G59" i="1"/>
  <c r="A60" i="1"/>
  <c r="B60" i="1"/>
  <c r="C60" i="1"/>
  <c r="D60" i="1"/>
  <c r="F60" i="1"/>
  <c r="G60" i="1"/>
  <c r="A61" i="1"/>
  <c r="B61" i="1"/>
  <c r="C61" i="1"/>
  <c r="D61" i="1"/>
  <c r="F61" i="1"/>
  <c r="G61" i="1"/>
  <c r="A62" i="1"/>
  <c r="B62" i="1"/>
  <c r="C62" i="1"/>
  <c r="D62" i="1"/>
  <c r="F62" i="1"/>
  <c r="G62" i="1"/>
  <c r="A63" i="1"/>
  <c r="B63" i="1"/>
  <c r="C63" i="1"/>
  <c r="D63" i="1"/>
  <c r="F63" i="1"/>
  <c r="G63" i="1"/>
  <c r="A64" i="1"/>
  <c r="B64" i="1"/>
  <c r="C64" i="1"/>
  <c r="D64" i="1"/>
  <c r="F64" i="1"/>
  <c r="G64" i="1"/>
  <c r="A65" i="1"/>
  <c r="B65" i="1"/>
  <c r="C65" i="1"/>
  <c r="D65" i="1"/>
  <c r="F65" i="1"/>
  <c r="G65" i="1"/>
  <c r="A66" i="1"/>
  <c r="B66" i="1"/>
  <c r="C66" i="1"/>
  <c r="D66" i="1"/>
  <c r="F66" i="1"/>
  <c r="G66" i="1"/>
  <c r="A67" i="1"/>
  <c r="B67" i="1"/>
  <c r="C67" i="1"/>
  <c r="D67" i="1"/>
  <c r="F67" i="1"/>
  <c r="G67" i="1"/>
  <c r="A68" i="1"/>
  <c r="B68" i="1"/>
  <c r="C68" i="1"/>
  <c r="D68" i="1"/>
  <c r="F68" i="1"/>
  <c r="G68" i="1"/>
  <c r="A69" i="1"/>
  <c r="B69" i="1"/>
  <c r="C69" i="1"/>
  <c r="D69" i="1"/>
  <c r="F69" i="1"/>
  <c r="G69" i="1"/>
  <c r="A70" i="1"/>
  <c r="B70" i="1"/>
  <c r="C70" i="1"/>
  <c r="D70" i="1"/>
  <c r="F70" i="1"/>
  <c r="G70" i="1"/>
  <c r="A71" i="1"/>
  <c r="B71" i="1"/>
  <c r="C71" i="1"/>
  <c r="D71" i="1"/>
  <c r="F71" i="1"/>
  <c r="G71" i="1"/>
  <c r="A72" i="1"/>
  <c r="B72" i="1"/>
  <c r="C72" i="1"/>
  <c r="D72" i="1"/>
  <c r="F72" i="1"/>
  <c r="G72" i="1"/>
  <c r="A73" i="1"/>
  <c r="B73" i="1"/>
  <c r="C73" i="1"/>
  <c r="D73" i="1"/>
  <c r="F73" i="1"/>
  <c r="G73" i="1"/>
  <c r="A74" i="1"/>
  <c r="B74" i="1"/>
  <c r="C74" i="1"/>
  <c r="D74" i="1"/>
  <c r="F74" i="1"/>
  <c r="G74" i="1"/>
  <c r="A75" i="1"/>
  <c r="B75" i="1"/>
  <c r="C75" i="1"/>
  <c r="D75" i="1"/>
  <c r="F75" i="1"/>
  <c r="G75" i="1"/>
  <c r="A76" i="1"/>
  <c r="B76" i="1"/>
  <c r="C76" i="1"/>
  <c r="D76" i="1"/>
  <c r="F76" i="1"/>
  <c r="G76" i="1"/>
  <c r="A77" i="1"/>
  <c r="B77" i="1"/>
  <c r="C77" i="1"/>
  <c r="D77" i="1"/>
  <c r="F77" i="1"/>
  <c r="G77" i="1"/>
  <c r="A78" i="1"/>
  <c r="B78" i="1"/>
  <c r="C78" i="1"/>
  <c r="D78" i="1"/>
  <c r="F78" i="1"/>
  <c r="G78" i="1"/>
  <c r="A79" i="1"/>
  <c r="B79" i="1"/>
  <c r="C79" i="1"/>
  <c r="D79" i="1"/>
  <c r="F79" i="1"/>
  <c r="G79" i="1"/>
  <c r="A80" i="1"/>
  <c r="B80" i="1"/>
  <c r="C80" i="1"/>
  <c r="D80" i="1"/>
  <c r="F80" i="1"/>
  <c r="G80" i="1"/>
  <c r="A81" i="1"/>
  <c r="B81" i="1"/>
  <c r="C81" i="1"/>
  <c r="D81" i="1"/>
  <c r="F81" i="1"/>
  <c r="G81" i="1"/>
  <c r="A82" i="1"/>
  <c r="B82" i="1"/>
  <c r="C82" i="1"/>
  <c r="D82" i="1"/>
  <c r="F82" i="1"/>
  <c r="G82" i="1"/>
  <c r="A83" i="1"/>
  <c r="B83" i="1"/>
  <c r="C83" i="1"/>
  <c r="D83" i="1"/>
  <c r="F83" i="1"/>
  <c r="G83" i="1"/>
  <c r="A84" i="1"/>
  <c r="B84" i="1"/>
  <c r="C84" i="1"/>
  <c r="D84" i="1"/>
  <c r="F84" i="1"/>
  <c r="G84" i="1"/>
  <c r="A85" i="1"/>
  <c r="B85" i="1"/>
  <c r="C85" i="1"/>
  <c r="D85" i="1"/>
  <c r="F85" i="1"/>
  <c r="G85" i="1"/>
  <c r="A86" i="1"/>
  <c r="B86" i="1"/>
  <c r="C86" i="1"/>
  <c r="D86" i="1"/>
  <c r="F86" i="1"/>
  <c r="G86" i="1"/>
  <c r="A87" i="1"/>
  <c r="B87" i="1"/>
  <c r="C87" i="1"/>
  <c r="D87" i="1"/>
  <c r="F87" i="1"/>
  <c r="G87" i="1"/>
  <c r="A88" i="1"/>
  <c r="B88" i="1"/>
  <c r="C88" i="1"/>
  <c r="D88" i="1"/>
  <c r="F88" i="1"/>
  <c r="G88" i="1"/>
  <c r="A89" i="1"/>
  <c r="B89" i="1"/>
  <c r="C89" i="1"/>
  <c r="D89" i="1"/>
  <c r="F89" i="1"/>
  <c r="G89" i="1"/>
  <c r="A90" i="1"/>
  <c r="B90" i="1"/>
  <c r="C90" i="1"/>
  <c r="D90" i="1"/>
  <c r="F90" i="1"/>
  <c r="G90" i="1"/>
  <c r="A91" i="1"/>
  <c r="B91" i="1"/>
  <c r="C91" i="1"/>
  <c r="D91" i="1"/>
  <c r="F91" i="1"/>
  <c r="G91" i="1"/>
  <c r="A92" i="1"/>
  <c r="B92" i="1"/>
  <c r="C92" i="1"/>
  <c r="D92" i="1"/>
  <c r="F92" i="1"/>
  <c r="G92" i="1"/>
  <c r="A93" i="1"/>
  <c r="B93" i="1"/>
  <c r="C93" i="1"/>
  <c r="D93" i="1"/>
  <c r="F93" i="1"/>
  <c r="G93" i="1"/>
  <c r="A94" i="1"/>
  <c r="B94" i="1"/>
  <c r="C94" i="1"/>
  <c r="D94" i="1"/>
  <c r="F94" i="1"/>
  <c r="G94" i="1"/>
  <c r="A95" i="1"/>
  <c r="B95" i="1"/>
  <c r="C95" i="1"/>
  <c r="D95" i="1"/>
  <c r="F95" i="1"/>
  <c r="G95" i="1"/>
</calcChain>
</file>

<file path=xl/sharedStrings.xml><?xml version="1.0" encoding="utf-8"?>
<sst xmlns="http://schemas.openxmlformats.org/spreadsheetml/2006/main" count="313" uniqueCount="97">
  <si>
    <t>Nr</t>
  </si>
  <si>
    <t>Katt</t>
  </si>
  <si>
    <t>Ras</t>
  </si>
  <si>
    <t>Färg / Grupp</t>
  </si>
  <si>
    <t>Klass</t>
  </si>
  <si>
    <t>Kön</t>
  </si>
  <si>
    <t>Ägare</t>
  </si>
  <si>
    <t>Resultat</t>
  </si>
  <si>
    <t>Kategori vinnare</t>
  </si>
  <si>
    <t>Klubbmästare</t>
  </si>
  <si>
    <t>Sidoklass</t>
  </si>
  <si>
    <t>Kastrat</t>
  </si>
  <si>
    <t>1, NOM, BOX</t>
  </si>
  <si>
    <t>Vuxen</t>
  </si>
  <si>
    <t>1, NOM, BIS</t>
  </si>
  <si>
    <t>Bäst kategori 1</t>
  </si>
  <si>
    <t>1, NOM</t>
  </si>
  <si>
    <t>Ungdjur</t>
  </si>
  <si>
    <t>Junior</t>
  </si>
  <si>
    <t>ABS</t>
  </si>
  <si>
    <t>Bäst kategori 2</t>
  </si>
  <si>
    <t>Klubbmästare raskatt</t>
  </si>
  <si>
    <t/>
  </si>
  <si>
    <t>Bäst preparerad</t>
  </si>
  <si>
    <t>Charmigaste katt</t>
  </si>
  <si>
    <t>Bäst kategori 3</t>
  </si>
  <si>
    <t>1, NOM,BX</t>
  </si>
  <si>
    <t>Huskatt</t>
  </si>
  <si>
    <t>1, NOM, bästa långhår</t>
  </si>
  <si>
    <t>1, NOM, bästa korthår</t>
  </si>
  <si>
    <t>Klubbmästare huskatt</t>
  </si>
  <si>
    <t xml:space="preserve">  Kastrat</t>
  </si>
  <si>
    <t xml:space="preserve">Kategori I </t>
  </si>
  <si>
    <t>Hane</t>
  </si>
  <si>
    <t>Hona</t>
  </si>
  <si>
    <t>Malin Sundqvist</t>
  </si>
  <si>
    <t>S*Corrminda Digistive</t>
  </si>
  <si>
    <t>SC S*Böörs Noel Harrison</t>
  </si>
  <si>
    <t>IC S*Böörs Umma Gumma</t>
  </si>
  <si>
    <t>S*Rönnbäret's Zöta Zuzzana</t>
  </si>
  <si>
    <t>Annelie Persson</t>
  </si>
  <si>
    <t>Florindo's Roselyn Cheescake</t>
  </si>
  <si>
    <t>CH S*Arzish Hardy JW</t>
  </si>
  <si>
    <t>BOX</t>
  </si>
  <si>
    <t>Bäst i kategori</t>
  </si>
  <si>
    <t>BIS</t>
  </si>
  <si>
    <t xml:space="preserve">Kategori II </t>
  </si>
  <si>
    <t>WW'13 SP GIC S*Linéahuset's Maharajah DSM DVM</t>
  </si>
  <si>
    <t>PR SC S*Linéahuset's Princess Dharma</t>
  </si>
  <si>
    <t>GIC S*Safari Kittens Victor</t>
  </si>
  <si>
    <t>Mainefield's Undercover Angel</t>
  </si>
  <si>
    <t>S*Topzy Tail's Wilmer X</t>
  </si>
  <si>
    <t>S*Respons Wilda Mathilda</t>
  </si>
  <si>
    <t>SE*Thojoni's Bright Cover</t>
  </si>
  <si>
    <t>SE*Torplyktans Signe</t>
  </si>
  <si>
    <t>Helene Lis</t>
  </si>
  <si>
    <t>IP S*NC's Zilly Boy Blue</t>
  </si>
  <si>
    <t>SP S*Beyond American Pie</t>
  </si>
  <si>
    <t>SE*Torplyktans Emil</t>
  </si>
  <si>
    <t>GIC S*Linéahuset's Sweet Midori</t>
  </si>
  <si>
    <t>S*Mandelstenens Karim</t>
  </si>
  <si>
    <t>S*Isgården's Beretta</t>
  </si>
  <si>
    <t>S*Utblicken's Sunny</t>
  </si>
  <si>
    <t>SE*Torplyktans Selma</t>
  </si>
  <si>
    <t>CH S*Beyond Chinook</t>
  </si>
  <si>
    <t>Angelicdolls Tindra</t>
  </si>
  <si>
    <t>IC S*Wonderwoods Heart In Hand</t>
  </si>
  <si>
    <t>S*Checkers Farfus</t>
  </si>
  <si>
    <t>S*Tallkottens Mozart á la Moon</t>
  </si>
  <si>
    <t>S*Country Dream's Eos</t>
  </si>
  <si>
    <t xml:space="preserve">Kategori III </t>
  </si>
  <si>
    <t>IP CH S*Azucar cat's Jack Daniels</t>
  </si>
  <si>
    <t>S*Applecat Ivanhoe</t>
  </si>
  <si>
    <t>S*Iliadens Ismene</t>
  </si>
  <si>
    <t>Greger</t>
  </si>
  <si>
    <t>S*Kentuckygårdens Daisy</t>
  </si>
  <si>
    <t>PR S*Sayyads Gigolo</t>
  </si>
  <si>
    <t>PR S*Sayyads Joyful Joyce</t>
  </si>
  <si>
    <t>S*Sayyads Touchdown</t>
  </si>
  <si>
    <t>S*Rex Dandy Magna</t>
  </si>
  <si>
    <t>LV*Malsan Jett Riviera</t>
  </si>
  <si>
    <t>S*Vox Bauers Euphonia Phantom af YG</t>
  </si>
  <si>
    <t>IP SC S*Palace&amp;Main's Cherry Garcia</t>
  </si>
  <si>
    <t>PR SC S*Kentuckygårdens Dancing queen</t>
  </si>
  <si>
    <t>CH S*Javeliner's Glen Scotia</t>
  </si>
  <si>
    <t>S*Palace&amp;Main's Spotlight</t>
  </si>
  <si>
    <t>S*Sagotassens Lakritz</t>
  </si>
  <si>
    <t>Långhår</t>
  </si>
  <si>
    <t>Korthår</t>
  </si>
  <si>
    <t xml:space="preserve">Huskatt </t>
  </si>
  <si>
    <t>SW SW'09 SW'07 Feztiz DSM</t>
  </si>
  <si>
    <t>Klubbmästare raskatt totalt:</t>
  </si>
  <si>
    <t>Snuffan</t>
  </si>
  <si>
    <t>Zorro</t>
  </si>
  <si>
    <t>Gossen</t>
  </si>
  <si>
    <t>Klubbmästare huskatt totalt:</t>
  </si>
  <si>
    <t>Bäst i hårlag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</si>
</sst>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0" fillId="8" borderId="0" applyNumberFormat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8" fillId="2" borderId="0" xfId="0" applyFont="1" applyFill="1"/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wrapText="1"/>
    </xf>
    <xf numFmtId="49" fontId="8" fillId="2" borderId="0" xfId="0" applyNumberFormat="1" applyFont="1" applyFill="1" applyAlignment="1">
      <alignment wrapText="1"/>
    </xf>
    <xf numFmtId="0" fontId="8" fillId="2" borderId="7" xfId="0" applyFont="1" applyFill="1" applyBorder="1" applyAlignment="1">
      <alignment wrapText="1"/>
    </xf>
    <xf numFmtId="0" fontId="8" fillId="2" borderId="8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right" wrapText="1"/>
    </xf>
    <xf numFmtId="0" fontId="8" fillId="4" borderId="11" xfId="0" applyFont="1" applyFill="1" applyBorder="1" applyAlignment="1">
      <alignment wrapText="1"/>
    </xf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8" fillId="5" borderId="1" xfId="0" applyFont="1" applyFill="1" applyBorder="1" applyAlignment="1">
      <alignment wrapText="1"/>
    </xf>
    <xf numFmtId="0" fontId="8" fillId="6" borderId="12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8" fillId="2" borderId="13" xfId="0" applyFont="1" applyFill="1" applyBorder="1" applyAlignment="1">
      <alignment wrapText="1"/>
    </xf>
    <xf numFmtId="0" fontId="7" fillId="2" borderId="14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7" fillId="2" borderId="0" xfId="0" applyFont="1" applyFill="1" applyAlignment="1">
      <alignment horizontal="center" wrapText="1"/>
    </xf>
    <xf numFmtId="0" fontId="8" fillId="4" borderId="18" xfId="0" applyFont="1" applyFill="1" applyBorder="1" applyAlignment="1">
      <alignment wrapText="1"/>
    </xf>
    <xf numFmtId="0" fontId="8" fillId="2" borderId="19" xfId="0" applyFont="1" applyFill="1" applyBorder="1" applyAlignment="1">
      <alignment wrapText="1"/>
    </xf>
    <xf numFmtId="0" fontId="9" fillId="3" borderId="18" xfId="0" applyFont="1" applyFill="1" applyBorder="1" applyAlignment="1">
      <alignment wrapText="1"/>
    </xf>
    <xf numFmtId="0" fontId="8" fillId="6" borderId="2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9" fillId="2" borderId="0" xfId="0" applyFont="1" applyFill="1" applyAlignment="1">
      <alignment horizontal="right" wrapText="1"/>
    </xf>
    <xf numFmtId="0" fontId="8" fillId="6" borderId="3" xfId="0" applyFont="1" applyFill="1" applyBorder="1" applyAlignment="1">
      <alignment wrapText="1"/>
    </xf>
    <xf numFmtId="0" fontId="8" fillId="5" borderId="3" xfId="0" applyFont="1" applyFill="1" applyBorder="1" applyAlignment="1">
      <alignment wrapText="1"/>
    </xf>
    <xf numFmtId="0" fontId="8" fillId="2" borderId="14" xfId="0" applyFont="1" applyFill="1" applyBorder="1" applyAlignment="1">
      <alignment wrapText="1"/>
    </xf>
    <xf numFmtId="0" fontId="8" fillId="6" borderId="20" xfId="0" applyFont="1" applyFill="1" applyBorder="1" applyAlignment="1">
      <alignment wrapText="1"/>
    </xf>
    <xf numFmtId="0" fontId="3" fillId="3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/>
    <xf numFmtId="0" fontId="2" fillId="7" borderId="0" xfId="0" applyFont="1" applyFill="1" applyAlignment="1">
      <alignment horizontal="left"/>
    </xf>
    <xf numFmtId="0" fontId="2" fillId="7" borderId="0" xfId="0" quotePrefix="1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7" fillId="2" borderId="2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49" fontId="7" fillId="2" borderId="21" xfId="0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</cellXfs>
  <cellStyles count="2">
    <cellStyle name="Neutral" xfId="1" builtinId="2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"/>
  <sheetViews>
    <sheetView tabSelected="1" workbookViewId="0">
      <selection activeCell="F29" sqref="F29"/>
    </sheetView>
  </sheetViews>
  <sheetFormatPr defaultRowHeight="14.4" x14ac:dyDescent="0.3"/>
  <cols>
    <col min="1" max="1" width="5.44140625" style="2" customWidth="1"/>
    <col min="2" max="2" width="24.44140625" customWidth="1"/>
    <col min="3" max="3" width="5.88671875" customWidth="1"/>
    <col min="5" max="5" width="8" style="2" customWidth="1"/>
    <col min="6" max="6" width="7" customWidth="1"/>
    <col min="7" max="7" width="17.5546875" customWidth="1"/>
    <col min="8" max="8" width="12.6640625" style="3" customWidth="1"/>
    <col min="9" max="9" width="17.44140625" customWidth="1"/>
    <col min="10" max="10" width="19" customWidth="1"/>
    <col min="11" max="11" width="14.109375" customWidth="1"/>
  </cols>
  <sheetData>
    <row r="1" spans="1:11" s="1" customFormat="1" ht="16.5" customHeight="1" x14ac:dyDescent="0.3">
      <c r="A1" s="8" t="s">
        <v>0</v>
      </c>
      <c r="B1" s="9" t="s">
        <v>1</v>
      </c>
      <c r="C1" s="9" t="s">
        <v>2</v>
      </c>
      <c r="D1" s="9" t="s">
        <v>3</v>
      </c>
      <c r="E1" s="8" t="s">
        <v>4</v>
      </c>
      <c r="F1" s="9" t="s">
        <v>5</v>
      </c>
      <c r="G1" s="9" t="s">
        <v>6</v>
      </c>
      <c r="H1" s="10" t="s">
        <v>7</v>
      </c>
      <c r="I1" s="11" t="s">
        <v>8</v>
      </c>
      <c r="J1" s="11" t="s">
        <v>9</v>
      </c>
      <c r="K1" s="11" t="s">
        <v>10</v>
      </c>
    </row>
    <row r="2" spans="1:11" s="5" customFormat="1" ht="12" x14ac:dyDescent="0.25">
      <c r="A2" s="4" t="str">
        <f>"1"</f>
        <v>1</v>
      </c>
      <c r="B2" s="5" t="str">
        <f>"Florindo's Roselyn Cheescake"</f>
        <v>Florindo's Roselyn Cheescake</v>
      </c>
      <c r="C2" s="5" t="str">
        <f>"EXO"</f>
        <v>EXO</v>
      </c>
      <c r="D2" s="5" t="str">
        <f>"gs 03 22"</f>
        <v>gs 03 22</v>
      </c>
      <c r="E2" s="4" t="s">
        <v>11</v>
      </c>
      <c r="F2" s="5" t="str">
        <f>"Hona (K)"</f>
        <v>Hona (K)</v>
      </c>
      <c r="G2" s="5" t="str">
        <f>"Carlqvist Eriksson, Inger"</f>
        <v>Carlqvist Eriksson, Inger</v>
      </c>
      <c r="H2" s="7" t="s">
        <v>12</v>
      </c>
    </row>
    <row r="3" spans="1:11" s="54" customFormat="1" ht="12" x14ac:dyDescent="0.25">
      <c r="A3" s="53" t="str">
        <f>"2"</f>
        <v>2</v>
      </c>
      <c r="B3" s="54" t="str">
        <f>"CH S*Arzish Hardy JW"</f>
        <v>CH S*Arzish Hardy JW</v>
      </c>
      <c r="C3" s="54" t="str">
        <f>"EXO"</f>
        <v>EXO</v>
      </c>
      <c r="D3" s="54" t="str">
        <f>"n 33"</f>
        <v>n 33</v>
      </c>
      <c r="E3" s="53" t="s">
        <v>13</v>
      </c>
      <c r="F3" s="54" t="str">
        <f>"Hane"</f>
        <v>Hane</v>
      </c>
      <c r="G3" s="54" t="str">
        <f>"Böörs, Lena"</f>
        <v>Böörs, Lena</v>
      </c>
      <c r="H3" s="55" t="s">
        <v>14</v>
      </c>
      <c r="I3" s="56" t="s">
        <v>15</v>
      </c>
    </row>
    <row r="4" spans="1:11" s="5" customFormat="1" ht="12" x14ac:dyDescent="0.25">
      <c r="A4" s="4" t="str">
        <f>"3"</f>
        <v>3</v>
      </c>
      <c r="B4" s="5" t="str">
        <f>"SC S*Böörs Noel Harrison"</f>
        <v>SC S*Böörs Noel Harrison</v>
      </c>
      <c r="C4" s="5" t="str">
        <f>"PER"</f>
        <v>PER</v>
      </c>
      <c r="D4" s="5" t="str">
        <f>"d"</f>
        <v>d</v>
      </c>
      <c r="E4" s="4" t="s">
        <v>13</v>
      </c>
      <c r="F4" s="5" t="str">
        <f>"Hane"</f>
        <v>Hane</v>
      </c>
      <c r="G4" s="5" t="str">
        <f>"Halleby, Ing-Marie"</f>
        <v>Halleby, Ing-Marie</v>
      </c>
      <c r="H4" s="6" t="s">
        <v>16</v>
      </c>
    </row>
    <row r="5" spans="1:11" s="5" customFormat="1" ht="12" x14ac:dyDescent="0.25">
      <c r="A5" s="4" t="str">
        <f>"4"</f>
        <v>4</v>
      </c>
      <c r="B5" s="5" t="str">
        <f>"S*Rönnbäret's Zöta Zuzzana"</f>
        <v>S*Rönnbäret's Zöta Zuzzana</v>
      </c>
      <c r="C5" s="5" t="str">
        <f>"PER"</f>
        <v>PER</v>
      </c>
      <c r="D5" s="5" t="str">
        <f>"a 24"</f>
        <v>a 24</v>
      </c>
      <c r="E5" s="4" t="s">
        <v>17</v>
      </c>
      <c r="F5" s="5" t="str">
        <f>"Hona"</f>
        <v>Hona</v>
      </c>
      <c r="G5" s="5" t="str">
        <f>"Andersson, Anette"</f>
        <v>Andersson, Anette</v>
      </c>
      <c r="H5" s="7" t="s">
        <v>14</v>
      </c>
    </row>
    <row r="6" spans="1:11" s="5" customFormat="1" ht="12" x14ac:dyDescent="0.25">
      <c r="A6" s="4" t="str">
        <f>"5"</f>
        <v>5</v>
      </c>
      <c r="B6" s="5" t="str">
        <f>"S*Corrminda Digistive"</f>
        <v>S*Corrminda Digistive</v>
      </c>
      <c r="C6" s="5" t="str">
        <f>"PER"</f>
        <v>PER</v>
      </c>
      <c r="D6" s="5" t="str">
        <f>"d 22"</f>
        <v>d 22</v>
      </c>
      <c r="E6" s="4" t="s">
        <v>11</v>
      </c>
      <c r="F6" s="5" t="str">
        <f>"Hane (K)"</f>
        <v>Hane (K)</v>
      </c>
      <c r="G6" s="5" t="str">
        <f>"Terblanche, Katarina"</f>
        <v>Terblanche, Katarina</v>
      </c>
      <c r="H6" s="7" t="s">
        <v>14</v>
      </c>
    </row>
    <row r="7" spans="1:11" s="5" customFormat="1" ht="12" x14ac:dyDescent="0.25">
      <c r="A7" s="4" t="str">
        <f>"6"</f>
        <v>6</v>
      </c>
      <c r="B7" s="5" t="str">
        <f>"S*Brånsta's Gentleman"</f>
        <v>S*Brånsta's Gentleman</v>
      </c>
      <c r="C7" s="5" t="str">
        <f>"PER"</f>
        <v>PER</v>
      </c>
      <c r="D7" s="5" t="str">
        <f>"e 03"</f>
        <v>e 03</v>
      </c>
      <c r="E7" s="4" t="s">
        <v>11</v>
      </c>
      <c r="F7" s="5" t="str">
        <f>"Hane (K)"</f>
        <v>Hane (K)</v>
      </c>
      <c r="G7" s="5" t="str">
        <f>"Andersson, Anette"</f>
        <v>Andersson, Anette</v>
      </c>
      <c r="H7" s="6">
        <v>1</v>
      </c>
    </row>
    <row r="8" spans="1:11" s="5" customFormat="1" ht="12" x14ac:dyDescent="0.25">
      <c r="A8" s="4" t="str">
        <f>"7"</f>
        <v>7</v>
      </c>
      <c r="B8" s="5" t="str">
        <f>"IC S*Böörs Umma Gumma"</f>
        <v>IC S*Böörs Umma Gumma</v>
      </c>
      <c r="C8" s="5" t="str">
        <f>"PER"</f>
        <v>PER</v>
      </c>
      <c r="D8" s="5" t="str">
        <f>"g 33"</f>
        <v>g 33</v>
      </c>
      <c r="E8" s="4" t="s">
        <v>13</v>
      </c>
      <c r="F8" s="5" t="str">
        <f>"Hona"</f>
        <v>Hona</v>
      </c>
      <c r="G8" s="5" t="str">
        <f>"Böörs, Lena"</f>
        <v>Böörs, Lena</v>
      </c>
      <c r="H8" s="7" t="s">
        <v>12</v>
      </c>
    </row>
    <row r="9" spans="1:11" s="5" customFormat="1" ht="12" x14ac:dyDescent="0.25">
      <c r="A9" s="4" t="str">
        <f>"8"</f>
        <v>8</v>
      </c>
      <c r="B9" s="5" t="str">
        <f>"Mainefield's Undercover Angel"</f>
        <v>Mainefield's Undercover Angel</v>
      </c>
      <c r="C9" s="5" t="str">
        <f t="shared" ref="C9:C15" si="0">"MCO"</f>
        <v>MCO</v>
      </c>
      <c r="D9" s="5" t="str">
        <f>"Grupp 1"</f>
        <v>Grupp 1</v>
      </c>
      <c r="E9" s="4" t="s">
        <v>13</v>
      </c>
      <c r="F9" s="5" t="str">
        <f>"Hona"</f>
        <v>Hona</v>
      </c>
      <c r="G9" s="5" t="str">
        <f>"Alfredéen, Anna"</f>
        <v>Alfredéen, Anna</v>
      </c>
      <c r="H9" s="6" t="s">
        <v>16</v>
      </c>
    </row>
    <row r="10" spans="1:11" s="5" customFormat="1" ht="12" x14ac:dyDescent="0.25">
      <c r="A10" s="4" t="str">
        <f>"9"</f>
        <v>9</v>
      </c>
      <c r="B10" s="5" t="str">
        <f>"S*Topzy Tail's Wilmer X"</f>
        <v>S*Topzy Tail's Wilmer X</v>
      </c>
      <c r="C10" s="5" t="str">
        <f t="shared" si="0"/>
        <v>MCO</v>
      </c>
      <c r="D10" s="5" t="str">
        <f>"Grupp 3"</f>
        <v>Grupp 3</v>
      </c>
      <c r="E10" s="4" t="s">
        <v>18</v>
      </c>
      <c r="F10" s="5" t="str">
        <f>"Hane"</f>
        <v>Hane</v>
      </c>
      <c r="G10" s="5" t="str">
        <f>"Wågemo, Helena"</f>
        <v>Wågemo, Helena</v>
      </c>
      <c r="H10" s="7" t="s">
        <v>14</v>
      </c>
    </row>
    <row r="11" spans="1:11" s="5" customFormat="1" ht="12" x14ac:dyDescent="0.25">
      <c r="A11" s="4" t="str">
        <f>"10"</f>
        <v>10</v>
      </c>
      <c r="B11" s="5" t="str">
        <f>"Toby D'El Cuetu"</f>
        <v>Toby D'El Cuetu</v>
      </c>
      <c r="C11" s="5" t="str">
        <f t="shared" si="0"/>
        <v>MCO</v>
      </c>
      <c r="D11" s="5" t="str">
        <f>"Grupp 3"</f>
        <v>Grupp 3</v>
      </c>
      <c r="E11" s="4" t="s">
        <v>18</v>
      </c>
      <c r="F11" s="5" t="str">
        <f>"Hane"</f>
        <v>Hane</v>
      </c>
      <c r="G11" s="5" t="str">
        <f>"Gullberg, Magdalena"</f>
        <v>Gullberg, Magdalena</v>
      </c>
      <c r="H11" s="6" t="s">
        <v>19</v>
      </c>
    </row>
    <row r="12" spans="1:11" s="5" customFormat="1" ht="12" x14ac:dyDescent="0.25">
      <c r="A12" s="4" t="str">
        <f>"11"</f>
        <v>11</v>
      </c>
      <c r="B12" s="5" t="str">
        <f>"PR S*Coonery de Vos Naginata"</f>
        <v>PR S*Coonery de Vos Naginata</v>
      </c>
      <c r="C12" s="5" t="str">
        <f t="shared" si="0"/>
        <v>MCO</v>
      </c>
      <c r="D12" s="5" t="str">
        <f>"Grupp 5"</f>
        <v>Grupp 5</v>
      </c>
      <c r="E12" s="4" t="s">
        <v>11</v>
      </c>
      <c r="F12" s="5" t="str">
        <f>"Hane (K)"</f>
        <v>Hane (K)</v>
      </c>
      <c r="G12" s="5" t="str">
        <f>"Alfredéen, Anna"</f>
        <v>Alfredéen, Anna</v>
      </c>
      <c r="H12" s="6">
        <v>1</v>
      </c>
    </row>
    <row r="13" spans="1:11" s="5" customFormat="1" ht="12" x14ac:dyDescent="0.25">
      <c r="A13" s="4" t="str">
        <f>"12"</f>
        <v>12</v>
      </c>
      <c r="B13" s="5" t="str">
        <f>"S*Checkers Farfus"</f>
        <v>S*Checkers Farfus</v>
      </c>
      <c r="C13" s="5" t="str">
        <f t="shared" si="0"/>
        <v>MCO</v>
      </c>
      <c r="D13" s="5" t="str">
        <f>"Grupp 5"</f>
        <v>Grupp 5</v>
      </c>
      <c r="E13" s="4" t="s">
        <v>18</v>
      </c>
      <c r="F13" s="5" t="str">
        <f>"Hane"</f>
        <v>Hane</v>
      </c>
      <c r="G13" s="5" t="str">
        <f>"Lindgren, Ulrika"</f>
        <v>Lindgren, Ulrika</v>
      </c>
      <c r="H13" s="6" t="s">
        <v>16</v>
      </c>
    </row>
    <row r="14" spans="1:11" s="5" customFormat="1" ht="12" x14ac:dyDescent="0.25">
      <c r="A14" s="4" t="str">
        <f>"13"</f>
        <v>13</v>
      </c>
      <c r="B14" s="5" t="str">
        <f>"S*Ulltrollet's Lilja"</f>
        <v>S*Ulltrollet's Lilja</v>
      </c>
      <c r="C14" s="5" t="str">
        <f t="shared" si="0"/>
        <v>MCO</v>
      </c>
      <c r="D14" s="5" t="str">
        <f>"Grupp 7"</f>
        <v>Grupp 7</v>
      </c>
      <c r="E14" s="4" t="s">
        <v>18</v>
      </c>
      <c r="F14" s="5" t="str">
        <f>"Hona"</f>
        <v>Hona</v>
      </c>
      <c r="G14" s="5" t="str">
        <f>"Lindgren, Ulrika"</f>
        <v>Lindgren, Ulrika</v>
      </c>
      <c r="H14" s="6">
        <v>1</v>
      </c>
    </row>
    <row r="15" spans="1:11" s="52" customFormat="1" ht="12" x14ac:dyDescent="0.25">
      <c r="A15" s="64" t="str">
        <f>"14"</f>
        <v>14</v>
      </c>
      <c r="B15" s="52" t="str">
        <f>"S*Country Dream's Eos"</f>
        <v>S*Country Dream's Eos</v>
      </c>
      <c r="C15" s="52" t="str">
        <f t="shared" si="0"/>
        <v>MCO</v>
      </c>
      <c r="D15" s="52" t="str">
        <f>"Grupp 7"</f>
        <v>Grupp 7</v>
      </c>
      <c r="E15" s="64" t="s">
        <v>17</v>
      </c>
      <c r="F15" s="52" t="str">
        <f>"Hona"</f>
        <v>Hona</v>
      </c>
      <c r="G15" s="52" t="str">
        <f>"Korsár, Eva-Karin"</f>
        <v>Korsár, Eva-Karin</v>
      </c>
      <c r="H15" s="65" t="s">
        <v>14</v>
      </c>
      <c r="I15" s="52" t="s">
        <v>20</v>
      </c>
      <c r="J15" s="52" t="s">
        <v>21</v>
      </c>
    </row>
    <row r="16" spans="1:11" s="5" customFormat="1" ht="12" x14ac:dyDescent="0.25">
      <c r="A16" s="4" t="str">
        <f>"15"</f>
        <v>15</v>
      </c>
      <c r="B16" s="5" t="str">
        <f>"S*Acholes Jarino"</f>
        <v>S*Acholes Jarino</v>
      </c>
      <c r="C16" s="5" t="str">
        <f>"NEM"</f>
        <v>NEM</v>
      </c>
      <c r="D16" s="5" t="str">
        <f>"Grupp 2"</f>
        <v>Grupp 2</v>
      </c>
      <c r="E16" s="4" t="s">
        <v>17</v>
      </c>
      <c r="F16" s="5" t="str">
        <f>"Hane"</f>
        <v>Hane</v>
      </c>
      <c r="G16" s="5" t="str">
        <f>"Lust, Ann-Sofie"</f>
        <v>Lust, Ann-Sofie</v>
      </c>
      <c r="H16" s="6">
        <v>1</v>
      </c>
    </row>
    <row r="17" spans="1:8" s="5" customFormat="1" ht="12" x14ac:dyDescent="0.25">
      <c r="A17" s="4" t="str">
        <f>"16"</f>
        <v>16</v>
      </c>
      <c r="B17" s="5" t="str">
        <f>"CH S*Beyond Chinook"</f>
        <v>CH S*Beyond Chinook</v>
      </c>
      <c r="C17" s="5" t="str">
        <f t="shared" ref="C17:C39" si="1">"NFO"</f>
        <v>NFO</v>
      </c>
      <c r="D17" s="5" t="str">
        <f>"Grupp 2"</f>
        <v>Grupp 2</v>
      </c>
      <c r="E17" s="4" t="s">
        <v>11</v>
      </c>
      <c r="F17" s="5" t="str">
        <f>"Hane (K)"</f>
        <v>Hane (K)</v>
      </c>
      <c r="G17" s="5" t="str">
        <f>"Åsbom, Anna-Maria"</f>
        <v>Åsbom, Anna-Maria</v>
      </c>
      <c r="H17" s="6" t="s">
        <v>16</v>
      </c>
    </row>
    <row r="18" spans="1:8" s="5" customFormat="1" ht="12" x14ac:dyDescent="0.25">
      <c r="A18" s="4" t="str">
        <f>"17"</f>
        <v>17</v>
      </c>
      <c r="B18" s="5" t="str">
        <f>"PR IC S*Utblicken's Torsten"</f>
        <v>PR IC S*Utblicken's Torsten</v>
      </c>
      <c r="C18" s="5" t="str">
        <f t="shared" si="1"/>
        <v>NFO</v>
      </c>
      <c r="D18" s="5" t="str">
        <f>"Grupp 2"</f>
        <v>Grupp 2</v>
      </c>
      <c r="E18" s="4" t="s">
        <v>11</v>
      </c>
      <c r="F18" s="5" t="str">
        <f>"Hane (K)"</f>
        <v>Hane (K)</v>
      </c>
      <c r="G18" s="5" t="str">
        <f>"Gustafsson, Eva"</f>
        <v>Gustafsson, Eva</v>
      </c>
      <c r="H18" s="6">
        <v>2</v>
      </c>
    </row>
    <row r="19" spans="1:8" s="5" customFormat="1" ht="12" x14ac:dyDescent="0.25">
      <c r="A19" s="4" t="str">
        <f>"18"</f>
        <v>18</v>
      </c>
      <c r="B19" s="5" t="str">
        <f>"S*Utblicken's Sol"</f>
        <v>S*Utblicken's Sol</v>
      </c>
      <c r="C19" s="5" t="str">
        <f t="shared" si="1"/>
        <v>NFO</v>
      </c>
      <c r="D19" s="5" t="str">
        <f>"Grupp 3"</f>
        <v>Grupp 3</v>
      </c>
      <c r="E19" s="4" t="s">
        <v>17</v>
      </c>
      <c r="F19" s="5" t="str">
        <f>"Hona"</f>
        <v>Hona</v>
      </c>
      <c r="G19" s="5" t="str">
        <f>"Ehrenbåge, Ylva"</f>
        <v>Ehrenbåge, Ylva</v>
      </c>
      <c r="H19" s="6">
        <v>1</v>
      </c>
    </row>
    <row r="20" spans="1:8" s="5" customFormat="1" ht="12" x14ac:dyDescent="0.25">
      <c r="A20" s="4" t="str">
        <f>"19"</f>
        <v>19</v>
      </c>
      <c r="B20" s="5" t="str">
        <f>"SE*Torplyktans Emil"</f>
        <v>SE*Torplyktans Emil</v>
      </c>
      <c r="C20" s="5" t="str">
        <f t="shared" si="1"/>
        <v>NFO</v>
      </c>
      <c r="D20" s="5" t="str">
        <f t="shared" ref="D20:D26" si="2">"Grupp 4"</f>
        <v>Grupp 4</v>
      </c>
      <c r="E20" s="4" t="s">
        <v>13</v>
      </c>
      <c r="F20" s="5" t="str">
        <f>"Hane"</f>
        <v>Hane</v>
      </c>
      <c r="G20" s="5" t="str">
        <f>"Rühlemann, Andrea"</f>
        <v>Rühlemann, Andrea</v>
      </c>
      <c r="H20" s="6" t="s">
        <v>16</v>
      </c>
    </row>
    <row r="21" spans="1:8" s="5" customFormat="1" ht="12" x14ac:dyDescent="0.25">
      <c r="A21" s="4" t="str">
        <f>"20"</f>
        <v>20</v>
      </c>
      <c r="B21" s="5" t="str">
        <f>"S*Utblicken's Tulla Maja"</f>
        <v>S*Utblicken's Tulla Maja</v>
      </c>
      <c r="C21" s="5" t="str">
        <f t="shared" si="1"/>
        <v>NFO</v>
      </c>
      <c r="D21" s="5" t="str">
        <f t="shared" si="2"/>
        <v>Grupp 4</v>
      </c>
      <c r="E21" s="4" t="s">
        <v>13</v>
      </c>
      <c r="F21" s="5" t="str">
        <f>"Hona"</f>
        <v>Hona</v>
      </c>
      <c r="G21" s="5" t="str">
        <f>"Gustafsson, Eva"</f>
        <v>Gustafsson, Eva</v>
      </c>
      <c r="H21" s="6">
        <v>1</v>
      </c>
    </row>
    <row r="22" spans="1:8" s="5" customFormat="1" ht="12" x14ac:dyDescent="0.25">
      <c r="A22" s="4" t="str">
        <f>"21"</f>
        <v>21</v>
      </c>
      <c r="B22" s="5" t="str">
        <f>"PR GIC S*Spin Engine's Gold-X"</f>
        <v>PR GIC S*Spin Engine's Gold-X</v>
      </c>
      <c r="C22" s="5" t="str">
        <f t="shared" si="1"/>
        <v>NFO</v>
      </c>
      <c r="D22" s="5" t="str">
        <f t="shared" si="2"/>
        <v>Grupp 4</v>
      </c>
      <c r="E22" s="4" t="s">
        <v>11</v>
      </c>
      <c r="F22" s="5" t="str">
        <f>"Hane (K)"</f>
        <v>Hane (K)</v>
      </c>
      <c r="G22" s="5" t="str">
        <f>"Jansson, Maria"</f>
        <v>Jansson, Maria</v>
      </c>
      <c r="H22" s="6">
        <v>3</v>
      </c>
    </row>
    <row r="23" spans="1:8" s="5" customFormat="1" ht="12" x14ac:dyDescent="0.25">
      <c r="A23" s="4" t="str">
        <f>"22"</f>
        <v>22</v>
      </c>
      <c r="B23" s="5" t="str">
        <f>"S*Beyond Cherokee"</f>
        <v>S*Beyond Cherokee</v>
      </c>
      <c r="C23" s="5" t="str">
        <f t="shared" si="1"/>
        <v>NFO</v>
      </c>
      <c r="D23" s="5" t="str">
        <f t="shared" si="2"/>
        <v>Grupp 4</v>
      </c>
      <c r="E23" s="4" t="s">
        <v>11</v>
      </c>
      <c r="F23" s="5" t="str">
        <f>"Hane (K)"</f>
        <v>Hane (K)</v>
      </c>
      <c r="G23" s="5" t="str">
        <f>"Åsbom, Anna-Maria"</f>
        <v>Åsbom, Anna-Maria</v>
      </c>
      <c r="H23" s="6">
        <v>4</v>
      </c>
    </row>
    <row r="24" spans="1:8" s="5" customFormat="1" ht="12" x14ac:dyDescent="0.25">
      <c r="A24" s="4" t="str">
        <f>"23"</f>
        <v>23</v>
      </c>
      <c r="B24" s="5" t="str">
        <f>"IP S*NC's Zilly Boy Blue"</f>
        <v>IP S*NC's Zilly Boy Blue</v>
      </c>
      <c r="C24" s="5" t="str">
        <f t="shared" si="1"/>
        <v>NFO</v>
      </c>
      <c r="D24" s="5" t="str">
        <f t="shared" si="2"/>
        <v>Grupp 4</v>
      </c>
      <c r="E24" s="4" t="s">
        <v>11</v>
      </c>
      <c r="F24" s="5" t="str">
        <f>"Hane (K)"</f>
        <v>Hane (K)</v>
      </c>
      <c r="G24" s="5" t="str">
        <f>"Karlsson, Linda"</f>
        <v>Karlsson, Linda</v>
      </c>
      <c r="H24" s="7" t="s">
        <v>14</v>
      </c>
    </row>
    <row r="25" spans="1:8" s="5" customFormat="1" ht="12" x14ac:dyDescent="0.25">
      <c r="A25" s="4" t="str">
        <f>"24"</f>
        <v>24</v>
      </c>
      <c r="B25" s="5" t="str">
        <f>"SP S*Beyond D Razz"</f>
        <v>SP S*Beyond D Razz</v>
      </c>
      <c r="C25" s="5" t="str">
        <f t="shared" si="1"/>
        <v>NFO</v>
      </c>
      <c r="D25" s="5" t="str">
        <f t="shared" si="2"/>
        <v>Grupp 4</v>
      </c>
      <c r="E25" s="4" t="s">
        <v>11</v>
      </c>
      <c r="F25" s="5" t="str">
        <f>"Hane (K)"</f>
        <v>Hane (K)</v>
      </c>
      <c r="G25" s="5" t="str">
        <f>"Jansson, Susanne"</f>
        <v>Jansson, Susanne</v>
      </c>
      <c r="H25" s="6">
        <v>2</v>
      </c>
    </row>
    <row r="26" spans="1:8" s="5" customFormat="1" ht="12" x14ac:dyDescent="0.25">
      <c r="A26" s="4" t="str">
        <f>"25"</f>
        <v>25</v>
      </c>
      <c r="B26" s="5" t="str">
        <f>"SP S*Beyond American Pie"</f>
        <v>SP S*Beyond American Pie</v>
      </c>
      <c r="C26" s="5" t="str">
        <f t="shared" si="1"/>
        <v>NFO</v>
      </c>
      <c r="D26" s="5" t="str">
        <f t="shared" si="2"/>
        <v>Grupp 4</v>
      </c>
      <c r="E26" s="4" t="s">
        <v>11</v>
      </c>
      <c r="F26" s="5" t="str">
        <f>"Hona (K)"</f>
        <v>Hona (K)</v>
      </c>
      <c r="G26" s="5" t="str">
        <f>"Åberg, Birgitta"</f>
        <v>Åberg, Birgitta</v>
      </c>
      <c r="H26" s="6" t="s">
        <v>16</v>
      </c>
    </row>
    <row r="27" spans="1:8" s="5" customFormat="1" ht="12" x14ac:dyDescent="0.25">
      <c r="A27" s="4" t="str">
        <f>"26"</f>
        <v>26</v>
      </c>
      <c r="B27" s="5" t="str">
        <f>"GIC S*Safari Kittens Victor"</f>
        <v>GIC S*Safari Kittens Victor</v>
      </c>
      <c r="C27" s="5" t="str">
        <f t="shared" si="1"/>
        <v>NFO</v>
      </c>
      <c r="D27" s="5" t="str">
        <f t="shared" ref="D27:D32" si="3">"Grupp 5"</f>
        <v>Grupp 5</v>
      </c>
      <c r="E27" s="4" t="s">
        <v>13</v>
      </c>
      <c r="F27" s="5" t="str">
        <f>"Hane"</f>
        <v>Hane</v>
      </c>
      <c r="G27" s="5" t="str">
        <f>"Åberg, Barbro"</f>
        <v>Åberg, Barbro</v>
      </c>
      <c r="H27" s="7" t="s">
        <v>12</v>
      </c>
    </row>
    <row r="28" spans="1:8" s="5" customFormat="1" ht="12" x14ac:dyDescent="0.25">
      <c r="A28" s="4" t="str">
        <f>"27"</f>
        <v>27</v>
      </c>
      <c r="B28" s="5" t="str">
        <f>"SE*Torplyktans Freja"</f>
        <v>SE*Torplyktans Freja</v>
      </c>
      <c r="C28" s="5" t="str">
        <f t="shared" si="1"/>
        <v>NFO</v>
      </c>
      <c r="D28" s="5" t="str">
        <f t="shared" si="3"/>
        <v>Grupp 5</v>
      </c>
      <c r="E28" s="4" t="s">
        <v>13</v>
      </c>
      <c r="F28" s="5" t="str">
        <f>"Hona"</f>
        <v>Hona</v>
      </c>
      <c r="G28" s="5" t="str">
        <f>"Rühlemann, Andrea"</f>
        <v>Rühlemann, Andrea</v>
      </c>
      <c r="H28" s="6">
        <v>1</v>
      </c>
    </row>
    <row r="29" spans="1:8" s="5" customFormat="1" ht="12" x14ac:dyDescent="0.25">
      <c r="A29" s="4" t="str">
        <f>"28"</f>
        <v>28</v>
      </c>
      <c r="B29" s="5" t="str">
        <f>"GIC S*Luddhuvet'z Fengari"</f>
        <v>GIC S*Luddhuvet'z Fengari</v>
      </c>
      <c r="C29" s="5" t="str">
        <f t="shared" si="1"/>
        <v>NFO</v>
      </c>
      <c r="D29" s="5" t="str">
        <f t="shared" si="3"/>
        <v>Grupp 5</v>
      </c>
      <c r="E29" s="4" t="s">
        <v>11</v>
      </c>
      <c r="F29" s="5" t="str">
        <f>"Hane (K)"</f>
        <v>Hane (K)</v>
      </c>
      <c r="G29" s="5" t="str">
        <f>"Rugner, Madeleine"</f>
        <v>Rugner, Madeleine</v>
      </c>
      <c r="H29" s="6">
        <v>1</v>
      </c>
    </row>
    <row r="30" spans="1:8" s="5" customFormat="1" ht="12" x14ac:dyDescent="0.25">
      <c r="A30" s="4" t="str">
        <f>"29"</f>
        <v>29</v>
      </c>
      <c r="B30" s="5" t="str">
        <f>"IP S*Spin Engine's Gold Digger"</f>
        <v>IP S*Spin Engine's Gold Digger</v>
      </c>
      <c r="C30" s="5" t="str">
        <f t="shared" si="1"/>
        <v>NFO</v>
      </c>
      <c r="D30" s="5" t="str">
        <f t="shared" si="3"/>
        <v>Grupp 5</v>
      </c>
      <c r="E30" s="4" t="s">
        <v>11</v>
      </c>
      <c r="F30" s="5" t="str">
        <f>"Hane (K)"</f>
        <v>Hane (K)</v>
      </c>
      <c r="G30" s="5" t="str">
        <f>"Jansson, Maria"</f>
        <v>Jansson, Maria</v>
      </c>
      <c r="H30" s="6">
        <v>2</v>
      </c>
    </row>
    <row r="31" spans="1:8" s="5" customFormat="1" ht="12" x14ac:dyDescent="0.25">
      <c r="A31" s="4" t="str">
        <f>"30"</f>
        <v>30</v>
      </c>
      <c r="B31" s="5" t="str">
        <f>"SE*Thojoni's Bright Cover"</f>
        <v>SE*Thojoni's Bright Cover</v>
      </c>
      <c r="C31" s="5" t="str">
        <f t="shared" si="1"/>
        <v>NFO</v>
      </c>
      <c r="D31" s="5" t="str">
        <f t="shared" si="3"/>
        <v>Grupp 5</v>
      </c>
      <c r="E31" s="4" t="s">
        <v>17</v>
      </c>
      <c r="F31" s="5" t="str">
        <f>"Hane"</f>
        <v>Hane</v>
      </c>
      <c r="G31" s="5" t="str">
        <f>"Wahlström, Rose-Marie"</f>
        <v>Wahlström, Rose-Marie</v>
      </c>
      <c r="H31" s="6" t="s">
        <v>16</v>
      </c>
    </row>
    <row r="32" spans="1:8" s="5" customFormat="1" ht="12" x14ac:dyDescent="0.25">
      <c r="A32" s="4" t="str">
        <f>"31"</f>
        <v>31</v>
      </c>
      <c r="B32" s="5" t="str">
        <f>"SE*Torplyktans Signe"</f>
        <v>SE*Torplyktans Signe</v>
      </c>
      <c r="C32" s="5" t="str">
        <f t="shared" si="1"/>
        <v>NFO</v>
      </c>
      <c r="D32" s="5" t="str">
        <f t="shared" si="3"/>
        <v>Grupp 5</v>
      </c>
      <c r="E32" s="4" t="s">
        <v>17</v>
      </c>
      <c r="F32" s="5" t="str">
        <f t="shared" ref="F32:F38" si="4">"Hona"</f>
        <v>Hona</v>
      </c>
      <c r="G32" s="5" t="str">
        <f>"Rühlemann, Andrea"</f>
        <v>Rühlemann, Andrea</v>
      </c>
      <c r="H32" s="6" t="s">
        <v>16</v>
      </c>
    </row>
    <row r="33" spans="1:11" s="5" customFormat="1" ht="12" x14ac:dyDescent="0.25">
      <c r="A33" s="4" t="str">
        <f>"32"</f>
        <v>32</v>
      </c>
      <c r="B33" s="5" t="str">
        <f>"S*Isgården's Beretta"</f>
        <v>S*Isgården's Beretta</v>
      </c>
      <c r="C33" s="5" t="str">
        <f t="shared" si="1"/>
        <v>NFO</v>
      </c>
      <c r="D33" s="5" t="str">
        <f>"Grupp 6"</f>
        <v>Grupp 6</v>
      </c>
      <c r="E33" s="4" t="s">
        <v>18</v>
      </c>
      <c r="F33" s="5" t="str">
        <f t="shared" si="4"/>
        <v>Hona</v>
      </c>
      <c r="G33" s="5" t="str">
        <f>"Ehrenbåge, Ylva"</f>
        <v>Ehrenbåge, Ylva</v>
      </c>
      <c r="H33" s="7" t="s">
        <v>12</v>
      </c>
    </row>
    <row r="34" spans="1:11" s="5" customFormat="1" ht="12" x14ac:dyDescent="0.25">
      <c r="A34" s="4" t="str">
        <f>"33"</f>
        <v>33</v>
      </c>
      <c r="B34" s="5" t="str">
        <f>"SE*Torplyktans Selma"</f>
        <v>SE*Torplyktans Selma</v>
      </c>
      <c r="C34" s="5" t="str">
        <f t="shared" si="1"/>
        <v>NFO</v>
      </c>
      <c r="D34" s="5" t="str">
        <f>"Grupp 6"</f>
        <v>Grupp 6</v>
      </c>
      <c r="E34" s="4" t="s">
        <v>17</v>
      </c>
      <c r="F34" s="5" t="str">
        <f t="shared" si="4"/>
        <v>Hona</v>
      </c>
      <c r="G34" s="5" t="str">
        <f>"Rühlemann, Andrea"</f>
        <v>Rühlemann, Andrea</v>
      </c>
      <c r="H34" s="6" t="s">
        <v>16</v>
      </c>
    </row>
    <row r="35" spans="1:11" s="5" customFormat="1" ht="12" x14ac:dyDescent="0.25">
      <c r="A35" s="4" t="str">
        <f>"34"</f>
        <v>34</v>
      </c>
      <c r="B35" s="5" t="str">
        <f>"S*Beyond Extra Pale"</f>
        <v>S*Beyond Extra Pale</v>
      </c>
      <c r="C35" s="5" t="str">
        <f t="shared" si="1"/>
        <v>NFO</v>
      </c>
      <c r="D35" s="5" t="str">
        <f>"Grupp 6"</f>
        <v>Grupp 6</v>
      </c>
      <c r="E35" s="4" t="s">
        <v>17</v>
      </c>
      <c r="F35" s="5" t="str">
        <f t="shared" si="4"/>
        <v>Hona</v>
      </c>
      <c r="G35" s="5" t="str">
        <f>"Logrell, Josefin"</f>
        <v>Logrell, Josefin</v>
      </c>
      <c r="H35" s="6">
        <v>2</v>
      </c>
    </row>
    <row r="36" spans="1:11" s="5" customFormat="1" ht="12" x14ac:dyDescent="0.25">
      <c r="A36" s="4" t="str">
        <f>"35"</f>
        <v>35</v>
      </c>
      <c r="B36" s="5" t="str">
        <f>"IC SE*Fursterikets Tingeling"</f>
        <v>IC SE*Fursterikets Tingeling</v>
      </c>
      <c r="C36" s="5" t="str">
        <f t="shared" si="1"/>
        <v>NFO</v>
      </c>
      <c r="D36" s="5" t="str">
        <f>"Grupp 7"</f>
        <v>Grupp 7</v>
      </c>
      <c r="E36" s="4" t="s">
        <v>13</v>
      </c>
      <c r="F36" s="5" t="str">
        <f t="shared" si="4"/>
        <v>Hona</v>
      </c>
      <c r="G36" s="5" t="str">
        <f>"Wahlström, Rose-Marie"</f>
        <v>Wahlström, Rose-Marie</v>
      </c>
      <c r="H36" s="6">
        <v>3</v>
      </c>
    </row>
    <row r="37" spans="1:11" s="5" customFormat="1" ht="12" x14ac:dyDescent="0.25">
      <c r="A37" s="4" t="str">
        <f>"36"</f>
        <v>36</v>
      </c>
      <c r="B37" s="5" t="str">
        <f>"IC S*Wonderwoods Heart In Hand"</f>
        <v>IC S*Wonderwoods Heart In Hand</v>
      </c>
      <c r="C37" s="5" t="str">
        <f t="shared" si="1"/>
        <v>NFO</v>
      </c>
      <c r="D37" s="5" t="str">
        <f>"Grupp 7"</f>
        <v>Grupp 7</v>
      </c>
      <c r="E37" s="4" t="s">
        <v>13</v>
      </c>
      <c r="F37" s="5" t="str">
        <f t="shared" si="4"/>
        <v>Hona</v>
      </c>
      <c r="G37" s="5" t="str">
        <f>"Åberg, Barbro"</f>
        <v>Åberg, Barbro</v>
      </c>
      <c r="H37" s="6" t="s">
        <v>16</v>
      </c>
    </row>
    <row r="38" spans="1:11" s="58" customFormat="1" ht="12" x14ac:dyDescent="0.25">
      <c r="A38" s="57" t="str">
        <f>"37"</f>
        <v>37</v>
      </c>
      <c r="B38" s="58" t="str">
        <f>"S*Rockringen's Ooh La La"</f>
        <v>S*Rockringen's Ooh La La</v>
      </c>
      <c r="C38" s="58" t="str">
        <f t="shared" si="1"/>
        <v>NFO</v>
      </c>
      <c r="D38" s="58" t="str">
        <f>"Grupp 7"</f>
        <v>Grupp 7</v>
      </c>
      <c r="E38" s="57" t="s">
        <v>13</v>
      </c>
      <c r="F38" s="58" t="str">
        <f t="shared" si="4"/>
        <v>Hona</v>
      </c>
      <c r="G38" s="58" t="str">
        <f>"Karlsson, Linda"</f>
        <v>Karlsson, Linda</v>
      </c>
      <c r="H38" s="59">
        <v>2</v>
      </c>
      <c r="I38" s="60" t="s">
        <v>22</v>
      </c>
      <c r="K38" s="58" t="s">
        <v>23</v>
      </c>
    </row>
    <row r="39" spans="1:11" s="5" customFormat="1" ht="12" x14ac:dyDescent="0.25">
      <c r="A39" s="4" t="str">
        <f>"38"</f>
        <v>38</v>
      </c>
      <c r="B39" s="5" t="str">
        <f>"S*Utblicken's Sunny"</f>
        <v>S*Utblicken's Sunny</v>
      </c>
      <c r="C39" s="5" t="str">
        <f t="shared" si="1"/>
        <v>NFO</v>
      </c>
      <c r="D39" s="5" t="str">
        <f>"Grupp 8"</f>
        <v>Grupp 8</v>
      </c>
      <c r="E39" s="4" t="s">
        <v>17</v>
      </c>
      <c r="F39" s="5" t="str">
        <f>"Hane"</f>
        <v>Hane</v>
      </c>
      <c r="G39" s="5" t="str">
        <f>"Ehrenbåge, Ylva"</f>
        <v>Ehrenbåge, Ylva</v>
      </c>
      <c r="H39" s="7" t="s">
        <v>12</v>
      </c>
    </row>
    <row r="40" spans="1:11" s="5" customFormat="1" ht="12" x14ac:dyDescent="0.25">
      <c r="A40" s="4" t="str">
        <f>"1039"</f>
        <v>1039</v>
      </c>
      <c r="B40" s="5" t="str">
        <f>"S*Norrmans Siri"</f>
        <v>S*Norrmans Siri</v>
      </c>
      <c r="C40" s="5" t="str">
        <f t="shared" ref="C40:C46" si="5">"RAG"</f>
        <v>RAG</v>
      </c>
      <c r="D40" s="5" t="str">
        <f>"n"</f>
        <v>n</v>
      </c>
      <c r="E40" s="4" t="s">
        <v>18</v>
      </c>
      <c r="F40" s="5" t="str">
        <f>"Hona"</f>
        <v>Hona</v>
      </c>
      <c r="G40" s="5" t="str">
        <f>"Christoffersson, Hanna"</f>
        <v>Christoffersson, Hanna</v>
      </c>
      <c r="H40" s="6">
        <v>1</v>
      </c>
    </row>
    <row r="41" spans="1:11" s="5" customFormat="1" ht="12" x14ac:dyDescent="0.25">
      <c r="A41" s="4" t="str">
        <f>"39"</f>
        <v>39</v>
      </c>
      <c r="B41" s="5" t="str">
        <f>"Zoé"</f>
        <v>Zoé</v>
      </c>
      <c r="C41" s="5" t="str">
        <f t="shared" si="5"/>
        <v>RAG</v>
      </c>
      <c r="D41" s="5" t="str">
        <f>"a"</f>
        <v>a</v>
      </c>
      <c r="E41" s="4" t="s">
        <v>17</v>
      </c>
      <c r="F41" s="5" t="str">
        <f>"Hona"</f>
        <v>Hona</v>
      </c>
      <c r="G41" s="5" t="str">
        <f>"Eriksson Mård, Beatrix"</f>
        <v>Eriksson Mård, Beatrix</v>
      </c>
      <c r="H41" s="6">
        <v>1</v>
      </c>
    </row>
    <row r="42" spans="1:11" s="5" customFormat="1" ht="12" x14ac:dyDescent="0.25">
      <c r="A42" s="4" t="str">
        <f>"40"</f>
        <v>40</v>
      </c>
      <c r="B42" s="5" t="str">
        <f>"SE*Royal Diamond Picasso"</f>
        <v>SE*Royal Diamond Picasso</v>
      </c>
      <c r="C42" s="5" t="str">
        <f t="shared" si="5"/>
        <v>RAG</v>
      </c>
      <c r="D42" s="5" t="str">
        <f>"e"</f>
        <v>e</v>
      </c>
      <c r="E42" s="4" t="s">
        <v>11</v>
      </c>
      <c r="F42" s="5" t="str">
        <f>"Hane (K)"</f>
        <v>Hane (K)</v>
      </c>
      <c r="G42" s="5" t="str">
        <f>"Sollén, Frida"</f>
        <v>Sollén, Frida</v>
      </c>
      <c r="H42" s="6">
        <v>1</v>
      </c>
    </row>
    <row r="43" spans="1:11" s="5" customFormat="1" ht="12" x14ac:dyDescent="0.25">
      <c r="A43" s="4" t="str">
        <f>"41"</f>
        <v>41</v>
      </c>
      <c r="B43" s="5" t="str">
        <f>"S*Cotyledon's Sweetheart"</f>
        <v>S*Cotyledon's Sweetheart</v>
      </c>
      <c r="C43" s="5" t="str">
        <f t="shared" si="5"/>
        <v>RAG</v>
      </c>
      <c r="D43" s="5" t="str">
        <f>"n 21"</f>
        <v>n 21</v>
      </c>
      <c r="E43" s="4" t="s">
        <v>13</v>
      </c>
      <c r="F43" s="5" t="str">
        <f>"Hona"</f>
        <v>Hona</v>
      </c>
      <c r="G43" s="5" t="str">
        <f>"Wickman, Britt Mary"</f>
        <v>Wickman, Britt Mary</v>
      </c>
      <c r="H43" s="6">
        <v>1</v>
      </c>
    </row>
    <row r="44" spans="1:11" s="5" customFormat="1" ht="12" x14ac:dyDescent="0.25">
      <c r="A44" s="4" t="str">
        <f>"42"</f>
        <v>42</v>
      </c>
      <c r="B44" s="5" t="str">
        <f>"Angelicdolls Tindra"</f>
        <v>Angelicdolls Tindra</v>
      </c>
      <c r="C44" s="5" t="str">
        <f t="shared" si="5"/>
        <v>RAG</v>
      </c>
      <c r="D44" s="5" t="str">
        <f>"n 03"</f>
        <v>n 03</v>
      </c>
      <c r="E44" s="4" t="s">
        <v>11</v>
      </c>
      <c r="F44" s="5" t="str">
        <f>"Hona (K)"</f>
        <v>Hona (K)</v>
      </c>
      <c r="G44" s="5" t="str">
        <f>"Idestål, Pia"</f>
        <v>Idestål, Pia</v>
      </c>
      <c r="H44" s="6" t="s">
        <v>16</v>
      </c>
    </row>
    <row r="45" spans="1:11" s="5" customFormat="1" ht="12" x14ac:dyDescent="0.25">
      <c r="A45" s="4" t="str">
        <f>"43"</f>
        <v>43</v>
      </c>
      <c r="B45" s="5" t="str">
        <f>"USAPurrs Shane of Darkknights"</f>
        <v>USAPurrs Shane of Darkknights</v>
      </c>
      <c r="C45" s="5" t="str">
        <f t="shared" si="5"/>
        <v>RAG</v>
      </c>
      <c r="D45" s="5" t="str">
        <f>"a 04"</f>
        <v>a 04</v>
      </c>
      <c r="E45" s="4" t="s">
        <v>11</v>
      </c>
      <c r="F45" s="5" t="str">
        <f>"Hane (K)"</f>
        <v>Hane (K)</v>
      </c>
      <c r="G45" s="5" t="str">
        <f>"Idestål, Pia"</f>
        <v>Idestål, Pia</v>
      </c>
      <c r="H45" s="6">
        <v>1</v>
      </c>
    </row>
    <row r="46" spans="1:11" s="5" customFormat="1" ht="12" x14ac:dyDescent="0.25">
      <c r="A46" s="4" t="str">
        <f>"44"</f>
        <v>44</v>
      </c>
      <c r="B46" s="5" t="str">
        <f>"S*Tallkottens Mozart á la Moon"</f>
        <v>S*Tallkottens Mozart á la Moon</v>
      </c>
      <c r="C46" s="5" t="str">
        <f t="shared" si="5"/>
        <v>RAG</v>
      </c>
      <c r="D46" s="5" t="str">
        <f>"n 04 21"</f>
        <v>n 04 21</v>
      </c>
      <c r="E46" s="4" t="s">
        <v>17</v>
      </c>
      <c r="F46" s="5" t="str">
        <f>"Hane"</f>
        <v>Hane</v>
      </c>
      <c r="G46" s="5" t="str">
        <f>"Shaba Lindén, Peter"</f>
        <v>Shaba Lindén, Peter</v>
      </c>
      <c r="H46" s="6" t="s">
        <v>16</v>
      </c>
    </row>
    <row r="47" spans="1:11" s="5" customFormat="1" ht="12" x14ac:dyDescent="0.25">
      <c r="A47" s="4" t="str">
        <f>"45"</f>
        <v>45</v>
      </c>
      <c r="B47" s="5" t="str">
        <f>"GIC S*Linéahuset's Sweet Midori"</f>
        <v>GIC S*Linéahuset's Sweet Midori</v>
      </c>
      <c r="C47" s="5" t="str">
        <f t="shared" ref="C47:C59" si="6">"SBI"</f>
        <v>SBI</v>
      </c>
      <c r="D47" s="5" t="str">
        <f>"n"</f>
        <v>n</v>
      </c>
      <c r="E47" s="4" t="s">
        <v>13</v>
      </c>
      <c r="F47" s="5" t="str">
        <f>"Hona"</f>
        <v>Hona</v>
      </c>
      <c r="G47" s="5" t="str">
        <f>"Porat, Eva"</f>
        <v>Porat, Eva</v>
      </c>
      <c r="H47" s="7" t="s">
        <v>14</v>
      </c>
    </row>
    <row r="48" spans="1:11" s="5" customFormat="1" ht="12" x14ac:dyDescent="0.25">
      <c r="A48" s="4" t="str">
        <f>"46"</f>
        <v>46</v>
      </c>
      <c r="B48" s="5" t="str">
        <f>"S*Mandelstenens Juvelina"</f>
        <v>S*Mandelstenens Juvelina</v>
      </c>
      <c r="C48" s="5" t="str">
        <f t="shared" si="6"/>
        <v>SBI</v>
      </c>
      <c r="D48" s="5" t="str">
        <f>"a"</f>
        <v>a</v>
      </c>
      <c r="E48" s="4" t="s">
        <v>13</v>
      </c>
      <c r="F48" s="5" t="str">
        <f>"Hona"</f>
        <v>Hona</v>
      </c>
      <c r="G48" s="5" t="str">
        <f>"Petersén, Annica"</f>
        <v>Petersén, Annica</v>
      </c>
      <c r="H48" s="6">
        <v>2</v>
      </c>
    </row>
    <row r="49" spans="1:11" s="62" customFormat="1" ht="12" x14ac:dyDescent="0.25">
      <c r="A49" s="61" t="str">
        <f>"47"</f>
        <v>47</v>
      </c>
      <c r="B49" s="62" t="str">
        <f>"GIP GIC Caesar"</f>
        <v>GIP GIC Caesar</v>
      </c>
      <c r="C49" s="62" t="str">
        <f t="shared" si="6"/>
        <v>SBI</v>
      </c>
      <c r="D49" s="62" t="str">
        <f>"a"</f>
        <v>a</v>
      </c>
      <c r="E49" s="61" t="s">
        <v>11</v>
      </c>
      <c r="F49" s="62" t="str">
        <f>"Hane (K)"</f>
        <v>Hane (K)</v>
      </c>
      <c r="G49" s="62" t="str">
        <f>"Filander, Annika"</f>
        <v>Filander, Annika</v>
      </c>
      <c r="H49" s="63">
        <v>1</v>
      </c>
      <c r="K49" s="62" t="s">
        <v>24</v>
      </c>
    </row>
    <row r="50" spans="1:11" s="5" customFormat="1" ht="12" x14ac:dyDescent="0.25">
      <c r="A50" s="4" t="str">
        <f>"48"</f>
        <v>48</v>
      </c>
      <c r="B50" s="5" t="str">
        <f>"S*Apple Road's Sweet Magnolia"</f>
        <v>S*Apple Road's Sweet Magnolia</v>
      </c>
      <c r="C50" s="5" t="str">
        <f t="shared" si="6"/>
        <v>SBI</v>
      </c>
      <c r="D50" s="5" t="str">
        <f>"a"</f>
        <v>a</v>
      </c>
      <c r="E50" s="4" t="s">
        <v>17</v>
      </c>
      <c r="F50" s="5" t="str">
        <f>"Hona"</f>
        <v>Hona</v>
      </c>
      <c r="G50" s="5" t="str">
        <f>"Kangedal Holm, Birgitta"</f>
        <v>Kangedal Holm, Birgitta</v>
      </c>
      <c r="H50" s="6">
        <v>2</v>
      </c>
    </row>
    <row r="51" spans="1:11" s="5" customFormat="1" ht="12" x14ac:dyDescent="0.25">
      <c r="A51" s="4" t="str">
        <f>"49"</f>
        <v>49</v>
      </c>
      <c r="B51" s="5" t="str">
        <f>"S*Dixie Chicks Bubbling Spirit"</f>
        <v>S*Dixie Chicks Bubbling Spirit</v>
      </c>
      <c r="C51" s="5" t="str">
        <f t="shared" si="6"/>
        <v>SBI</v>
      </c>
      <c r="D51" s="5" t="str">
        <f>"a"</f>
        <v>a</v>
      </c>
      <c r="E51" s="4" t="s">
        <v>17</v>
      </c>
      <c r="F51" s="5" t="str">
        <f>"Hona"</f>
        <v>Hona</v>
      </c>
      <c r="G51" s="5" t="str">
        <f>"Ekstrand, Anna"</f>
        <v>Ekstrand, Anna</v>
      </c>
      <c r="H51" s="6" t="s">
        <v>16</v>
      </c>
    </row>
    <row r="52" spans="1:11" s="58" customFormat="1" ht="12" x14ac:dyDescent="0.25">
      <c r="A52" s="57" t="str">
        <f>"50"</f>
        <v>50</v>
      </c>
      <c r="B52" s="58" t="str">
        <f>"WW'13 SP GIC S*Linéahuset's Maharajah DSM DVM"</f>
        <v>WW'13 SP GIC S*Linéahuset's Maharajah DSM DVM</v>
      </c>
      <c r="C52" s="58" t="str">
        <f t="shared" si="6"/>
        <v>SBI</v>
      </c>
      <c r="D52" s="58" t="str">
        <f>"b"</f>
        <v>b</v>
      </c>
      <c r="E52" s="57" t="s">
        <v>11</v>
      </c>
      <c r="F52" s="58" t="str">
        <f>"Hane (K)"</f>
        <v>Hane (K)</v>
      </c>
      <c r="G52" s="58" t="str">
        <f>"Porat, Eva"</f>
        <v>Porat, Eva</v>
      </c>
      <c r="H52" s="59">
        <v>1</v>
      </c>
      <c r="K52" s="58" t="s">
        <v>23</v>
      </c>
    </row>
    <row r="53" spans="1:11" s="62" customFormat="1" ht="12" x14ac:dyDescent="0.25">
      <c r="A53" s="61" t="str">
        <f>"51"</f>
        <v>51</v>
      </c>
      <c r="B53" s="62" t="str">
        <f>"S*Gulledej's Kronos"</f>
        <v>S*Gulledej's Kronos</v>
      </c>
      <c r="C53" s="62" t="str">
        <f t="shared" si="6"/>
        <v>SBI</v>
      </c>
      <c r="D53" s="62" t="str">
        <f>"b"</f>
        <v>b</v>
      </c>
      <c r="E53" s="61" t="s">
        <v>17</v>
      </c>
      <c r="F53" s="62" t="str">
        <f>"Hane"</f>
        <v>Hane</v>
      </c>
      <c r="G53" s="62" t="str">
        <f>"Finnebäck, Annelie"</f>
        <v>Finnebäck, Annelie</v>
      </c>
      <c r="H53" s="63">
        <v>1</v>
      </c>
      <c r="K53" s="62" t="s">
        <v>24</v>
      </c>
    </row>
    <row r="54" spans="1:11" s="5" customFormat="1" ht="12" x14ac:dyDescent="0.25">
      <c r="A54" s="4" t="str">
        <f>"52"</f>
        <v>52</v>
      </c>
      <c r="B54" s="5" t="str">
        <f>"S*Noppeligan's Le'roy"</f>
        <v>S*Noppeligan's Le'roy</v>
      </c>
      <c r="C54" s="5" t="str">
        <f t="shared" si="6"/>
        <v>SBI</v>
      </c>
      <c r="D54" s="5" t="str">
        <f>"c"</f>
        <v>c</v>
      </c>
      <c r="E54" s="4" t="s">
        <v>13</v>
      </c>
      <c r="F54" s="5" t="str">
        <f>"Hane"</f>
        <v>Hane</v>
      </c>
      <c r="G54" s="5" t="str">
        <f>"Ehrenholm, Agneta"</f>
        <v>Ehrenholm, Agneta</v>
      </c>
      <c r="H54" s="6" t="s">
        <v>19</v>
      </c>
    </row>
    <row r="55" spans="1:11" s="5" customFormat="1" ht="12" x14ac:dyDescent="0.25">
      <c r="A55" s="4" t="str">
        <f>"53"</f>
        <v>53</v>
      </c>
      <c r="B55" s="5" t="str">
        <f>"SE*Shinseina Dai Naomi"</f>
        <v>SE*Shinseina Dai Naomi</v>
      </c>
      <c r="C55" s="5" t="str">
        <f t="shared" si="6"/>
        <v>SBI</v>
      </c>
      <c r="D55" s="5" t="str">
        <f>"c"</f>
        <v>c</v>
      </c>
      <c r="E55" s="4" t="s">
        <v>11</v>
      </c>
      <c r="F55" s="5" t="str">
        <f>"Hona (K)"</f>
        <v>Hona (K)</v>
      </c>
      <c r="G55" s="5" t="str">
        <f>"Ehrenholm, Agneta"</f>
        <v>Ehrenholm, Agneta</v>
      </c>
      <c r="H55" s="6" t="s">
        <v>19</v>
      </c>
    </row>
    <row r="56" spans="1:11" s="5" customFormat="1" ht="12" x14ac:dyDescent="0.25">
      <c r="A56" s="4" t="str">
        <f>"54"</f>
        <v>54</v>
      </c>
      <c r="B56" s="5" t="str">
        <f>"S*Mandelstenens Karim"</f>
        <v>S*Mandelstenens Karim</v>
      </c>
      <c r="C56" s="5" t="str">
        <f t="shared" si="6"/>
        <v>SBI</v>
      </c>
      <c r="D56" s="5" t="str">
        <f>"c"</f>
        <v>c</v>
      </c>
      <c r="E56" s="4" t="s">
        <v>18</v>
      </c>
      <c r="F56" s="5" t="str">
        <f>"Hane"</f>
        <v>Hane</v>
      </c>
      <c r="G56" s="5" t="str">
        <f>"Bogren, Cecilia"</f>
        <v>Bogren, Cecilia</v>
      </c>
      <c r="H56" s="6" t="s">
        <v>16</v>
      </c>
    </row>
    <row r="57" spans="1:11" s="5" customFormat="1" ht="12" x14ac:dyDescent="0.25">
      <c r="A57" s="4" t="str">
        <f>"55"</f>
        <v>55</v>
      </c>
      <c r="B57" s="5" t="str">
        <f>"S*Respons Wilda Mathilda"</f>
        <v>S*Respons Wilda Mathilda</v>
      </c>
      <c r="C57" s="5" t="str">
        <f t="shared" si="6"/>
        <v>SBI</v>
      </c>
      <c r="D57" s="5" t="str">
        <f>"f"</f>
        <v>f</v>
      </c>
      <c r="E57" s="4" t="s">
        <v>18</v>
      </c>
      <c r="F57" s="5" t="str">
        <f>"Hona"</f>
        <v>Hona</v>
      </c>
      <c r="G57" s="5" t="str">
        <f>"Filander, Annika"</f>
        <v>Filander, Annika</v>
      </c>
      <c r="H57" s="6" t="s">
        <v>16</v>
      </c>
    </row>
    <row r="58" spans="1:11" s="5" customFormat="1" ht="12" x14ac:dyDescent="0.25">
      <c r="A58" s="4" t="str">
        <f>"56"</f>
        <v>56</v>
      </c>
      <c r="B58" s="5" t="str">
        <f>"PR S*Tjugestas Nitro"</f>
        <v>PR S*Tjugestas Nitro</v>
      </c>
      <c r="C58" s="5" t="str">
        <f t="shared" si="6"/>
        <v>SBI</v>
      </c>
      <c r="D58" s="5" t="str">
        <f>"n 21"</f>
        <v>n 21</v>
      </c>
      <c r="E58" s="4" t="s">
        <v>11</v>
      </c>
      <c r="F58" s="5" t="str">
        <f>"Hane (K)"</f>
        <v>Hane (K)</v>
      </c>
      <c r="G58" s="5" t="str">
        <f>"Lindgren, Ulrika"</f>
        <v>Lindgren, Ulrika</v>
      </c>
      <c r="H58" s="6">
        <v>1</v>
      </c>
    </row>
    <row r="59" spans="1:11" s="5" customFormat="1" ht="12" x14ac:dyDescent="0.25">
      <c r="A59" s="4" t="str">
        <f>"57"</f>
        <v>57</v>
      </c>
      <c r="B59" s="5" t="str">
        <f>"PR SC S*Linéahuset's Princess Dharma"</f>
        <v>PR SC S*Linéahuset's Princess Dharma</v>
      </c>
      <c r="C59" s="5" t="str">
        <f t="shared" si="6"/>
        <v>SBI</v>
      </c>
      <c r="D59" s="5" t="str">
        <f>"b 21"</f>
        <v>b 21</v>
      </c>
      <c r="E59" s="4" t="s">
        <v>11</v>
      </c>
      <c r="F59" s="5" t="str">
        <f>"Hona (K)"</f>
        <v>Hona (K)</v>
      </c>
      <c r="G59" s="5" t="str">
        <f>"Porat, Eva"</f>
        <v>Porat, Eva</v>
      </c>
      <c r="H59" s="7" t="s">
        <v>12</v>
      </c>
    </row>
    <row r="60" spans="1:11" s="5" customFormat="1" ht="12" x14ac:dyDescent="0.25">
      <c r="A60" s="4" t="str">
        <f>"59"</f>
        <v>59</v>
      </c>
      <c r="B60" s="5" t="str">
        <f>"SE*Muscardinus Pumbaa"</f>
        <v>SE*Muscardinus Pumbaa</v>
      </c>
      <c r="C60" s="5" t="str">
        <f>"SIB"</f>
        <v>SIB</v>
      </c>
      <c r="D60" s="5" t="str">
        <f>"Grupp 4"</f>
        <v>Grupp 4</v>
      </c>
      <c r="E60" s="4" t="s">
        <v>13</v>
      </c>
      <c r="F60" s="5" t="str">
        <f>"Hane"</f>
        <v>Hane</v>
      </c>
      <c r="G60" s="5" t="str">
        <f>"Andersson, Jeanette"</f>
        <v>Andersson, Jeanette</v>
      </c>
      <c r="H60" s="6">
        <v>1</v>
      </c>
    </row>
    <row r="61" spans="1:11" s="5" customFormat="1" ht="12" x14ac:dyDescent="0.25">
      <c r="A61" s="4" t="str">
        <f>"60"</f>
        <v>60</v>
      </c>
      <c r="B61" s="5" t="str">
        <f>"Greger"</f>
        <v>Greger</v>
      </c>
      <c r="C61" s="5" t="str">
        <f t="shared" ref="C61:C76" si="7">"BRI"</f>
        <v>BRI</v>
      </c>
      <c r="D61" s="5" t="str">
        <f>"n"</f>
        <v>n</v>
      </c>
      <c r="E61" s="4" t="s">
        <v>17</v>
      </c>
      <c r="F61" s="5" t="str">
        <f>"Hane"</f>
        <v>Hane</v>
      </c>
      <c r="G61" s="5" t="str">
        <f>"Jansson, Susanne"</f>
        <v>Jansson, Susanne</v>
      </c>
      <c r="H61" s="6" t="s">
        <v>16</v>
      </c>
    </row>
    <row r="62" spans="1:11" s="5" customFormat="1" ht="12" x14ac:dyDescent="0.25">
      <c r="A62" s="4" t="str">
        <f>"61"</f>
        <v>61</v>
      </c>
      <c r="B62" s="5" t="str">
        <f>"IP CH S*Azucar cat's Jack Daniels"</f>
        <v>IP CH S*Azucar cat's Jack Daniels</v>
      </c>
      <c r="C62" s="5" t="str">
        <f t="shared" si="7"/>
        <v>BRI</v>
      </c>
      <c r="D62" s="5" t="str">
        <f>"b"</f>
        <v>b</v>
      </c>
      <c r="E62" s="4" t="s">
        <v>11</v>
      </c>
      <c r="F62" s="5" t="str">
        <f>"Hane (K)"</f>
        <v>Hane (K)</v>
      </c>
      <c r="G62" s="5" t="str">
        <f>"Bergkvist, Linda"</f>
        <v>Bergkvist, Linda</v>
      </c>
      <c r="H62" s="6" t="s">
        <v>16</v>
      </c>
    </row>
    <row r="63" spans="1:11" s="5" customFormat="1" ht="12" x14ac:dyDescent="0.25">
      <c r="A63" s="4" t="str">
        <f>"62"</f>
        <v>62</v>
      </c>
      <c r="B63" s="5" t="str">
        <f>"CH SE*BaraBus Panther"</f>
        <v>CH SE*BaraBus Panther</v>
      </c>
      <c r="C63" s="5" t="str">
        <f t="shared" si="7"/>
        <v>BRI</v>
      </c>
      <c r="D63" s="5" t="str">
        <f>"c"</f>
        <v>c</v>
      </c>
      <c r="E63" s="4" t="s">
        <v>13</v>
      </c>
      <c r="F63" s="5" t="str">
        <f>"Hane"</f>
        <v>Hane</v>
      </c>
      <c r="G63" s="5" t="str">
        <f>"Björnstad, Madeleine"</f>
        <v>Björnstad, Madeleine</v>
      </c>
      <c r="H63" s="6">
        <v>1</v>
      </c>
    </row>
    <row r="64" spans="1:11" s="5" customFormat="1" ht="12" x14ac:dyDescent="0.25">
      <c r="A64" s="4" t="str">
        <f>"63"</f>
        <v>63</v>
      </c>
      <c r="B64" s="5" t="str">
        <f>"S*Iliadens Ismene"</f>
        <v>S*Iliadens Ismene</v>
      </c>
      <c r="C64" s="5" t="str">
        <f t="shared" si="7"/>
        <v>BRI</v>
      </c>
      <c r="D64" s="5" t="str">
        <f>"e"</f>
        <v>e</v>
      </c>
      <c r="E64" s="4" t="s">
        <v>13</v>
      </c>
      <c r="F64" s="5" t="str">
        <f>"Hona"</f>
        <v>Hona</v>
      </c>
      <c r="G64" s="5" t="str">
        <f>"Björnstad, Madeleine"</f>
        <v>Björnstad, Madeleine</v>
      </c>
      <c r="H64" s="7" t="s">
        <v>12</v>
      </c>
    </row>
    <row r="65" spans="1:11" s="54" customFormat="1" ht="12" x14ac:dyDescent="0.25">
      <c r="A65" s="53" t="str">
        <f>"64"</f>
        <v>64</v>
      </c>
      <c r="B65" s="54" t="str">
        <f>"S*Sagotassens Lakritz"</f>
        <v>S*Sagotassens Lakritz</v>
      </c>
      <c r="C65" s="54" t="str">
        <f t="shared" si="7"/>
        <v>BRI</v>
      </c>
      <c r="D65" s="54" t="str">
        <f>"fs"</f>
        <v>fs</v>
      </c>
      <c r="E65" s="53" t="s">
        <v>17</v>
      </c>
      <c r="F65" s="54" t="str">
        <f>"Hona"</f>
        <v>Hona</v>
      </c>
      <c r="G65" s="54" t="str">
        <f>"Bergqvist, Karolina"</f>
        <v>Bergqvist, Karolina</v>
      </c>
      <c r="H65" s="55" t="s">
        <v>14</v>
      </c>
      <c r="I65" s="56" t="s">
        <v>25</v>
      </c>
      <c r="K65" s="54" t="s">
        <v>24</v>
      </c>
    </row>
    <row r="66" spans="1:11" s="5" customFormat="1" ht="12" x14ac:dyDescent="0.25">
      <c r="A66" s="4" t="str">
        <f>"65"</f>
        <v>65</v>
      </c>
      <c r="B66" s="5" t="str">
        <f>"CH S*Javeliner's Glen Scotia"</f>
        <v>CH S*Javeliner's Glen Scotia</v>
      </c>
      <c r="C66" s="5" t="str">
        <f t="shared" si="7"/>
        <v>BRI</v>
      </c>
      <c r="D66" s="5" t="str">
        <f>"n 22"</f>
        <v>n 22</v>
      </c>
      <c r="E66" s="4" t="s">
        <v>13</v>
      </c>
      <c r="F66" s="5" t="str">
        <f>"Hane"</f>
        <v>Hane</v>
      </c>
      <c r="G66" s="5" t="str">
        <f>"Magnusson, Berit"</f>
        <v>Magnusson, Berit</v>
      </c>
      <c r="H66" s="7" t="s">
        <v>14</v>
      </c>
    </row>
    <row r="67" spans="1:11" s="5" customFormat="1" ht="12" x14ac:dyDescent="0.25">
      <c r="A67" s="4" t="str">
        <f>"66"</f>
        <v>66</v>
      </c>
      <c r="B67" s="5" t="str">
        <f>"IP SC S*Palace&amp;Main's Cherry Garcia"</f>
        <v>IP SC S*Palace&amp;Main's Cherry Garcia</v>
      </c>
      <c r="C67" s="5" t="str">
        <f t="shared" si="7"/>
        <v>BRI</v>
      </c>
      <c r="D67" s="5" t="str">
        <f>"n 24"</f>
        <v>n 24</v>
      </c>
      <c r="E67" s="4" t="s">
        <v>11</v>
      </c>
      <c r="F67" s="5" t="str">
        <f>"Hane (K)"</f>
        <v>Hane (K)</v>
      </c>
      <c r="G67" s="5" t="str">
        <f>"Magnusson, Berit"</f>
        <v>Magnusson, Berit</v>
      </c>
      <c r="H67" s="6" t="s">
        <v>16</v>
      </c>
    </row>
    <row r="68" spans="1:11" s="5" customFormat="1" ht="12" x14ac:dyDescent="0.25">
      <c r="A68" s="4" t="str">
        <f>"67"</f>
        <v>67</v>
      </c>
      <c r="B68" s="5" t="str">
        <f>"PR SC S*Kentuckygårdens Dancing queen"</f>
        <v>PR SC S*Kentuckygårdens Dancing queen</v>
      </c>
      <c r="C68" s="5" t="str">
        <f t="shared" si="7"/>
        <v>BRI</v>
      </c>
      <c r="D68" s="5" t="str">
        <f>"n 24"</f>
        <v>n 24</v>
      </c>
      <c r="E68" s="4" t="s">
        <v>11</v>
      </c>
      <c r="F68" s="5" t="str">
        <f>"Hona (K)"</f>
        <v>Hona (K)</v>
      </c>
      <c r="G68" s="5" t="str">
        <f>"Magnusson, Berit"</f>
        <v>Magnusson, Berit</v>
      </c>
      <c r="H68" s="7" t="s">
        <v>12</v>
      </c>
    </row>
    <row r="69" spans="1:11" s="5" customFormat="1" ht="12" x14ac:dyDescent="0.25">
      <c r="A69" s="4" t="str">
        <f>"68"</f>
        <v>68</v>
      </c>
      <c r="B69" s="5" t="str">
        <f>"S*Palace&amp;Main's Spotlight"</f>
        <v>S*Palace&amp;Main's Spotlight</v>
      </c>
      <c r="C69" s="5" t="str">
        <f t="shared" si="7"/>
        <v>BRI</v>
      </c>
      <c r="D69" s="5" t="str">
        <f>"n 24"</f>
        <v>n 24</v>
      </c>
      <c r="E69" s="4" t="s">
        <v>18</v>
      </c>
      <c r="F69" s="5" t="str">
        <f>"Hona"</f>
        <v>Hona</v>
      </c>
      <c r="G69" s="5" t="str">
        <f>"Magnusson, Berit"</f>
        <v>Magnusson, Berit</v>
      </c>
      <c r="H69" s="7" t="s">
        <v>14</v>
      </c>
    </row>
    <row r="70" spans="1:11" s="5" customFormat="1" ht="12" x14ac:dyDescent="0.25">
      <c r="A70" s="4" t="str">
        <f>"69"</f>
        <v>69</v>
      </c>
      <c r="B70" s="5" t="str">
        <f>"S*Kentuckygårdens Gloria"</f>
        <v>S*Kentuckygårdens Gloria</v>
      </c>
      <c r="C70" s="5" t="str">
        <f t="shared" si="7"/>
        <v>BRI</v>
      </c>
      <c r="D70" s="5" t="str">
        <f>"e 22"</f>
        <v>e 22</v>
      </c>
      <c r="E70" s="4" t="s">
        <v>17</v>
      </c>
      <c r="F70" s="5" t="str">
        <f>"Hona"</f>
        <v>Hona</v>
      </c>
      <c r="G70" s="5" t="str">
        <f>"Magnusson, Tommy"</f>
        <v>Magnusson, Tommy</v>
      </c>
      <c r="H70" s="6">
        <v>1</v>
      </c>
    </row>
    <row r="71" spans="1:11" s="5" customFormat="1" ht="12" x14ac:dyDescent="0.25">
      <c r="A71" s="4" t="str">
        <f>"70"</f>
        <v>70</v>
      </c>
      <c r="B71" s="5" t="str">
        <f>"CH S*Sagotassens Legolas"</f>
        <v>CH S*Sagotassens Legolas</v>
      </c>
      <c r="C71" s="5" t="str">
        <f t="shared" si="7"/>
        <v>BRI</v>
      </c>
      <c r="D71" s="5" t="str">
        <f>"e 23"</f>
        <v>e 23</v>
      </c>
      <c r="E71" s="4" t="s">
        <v>13</v>
      </c>
      <c r="F71" s="5" t="str">
        <f>"Hane"</f>
        <v>Hane</v>
      </c>
      <c r="G71" s="5" t="str">
        <f>"Bergqvist, Sofie"</f>
        <v>Bergqvist, Sofie</v>
      </c>
      <c r="H71" s="6">
        <v>1</v>
      </c>
    </row>
    <row r="72" spans="1:11" s="5" customFormat="1" ht="12" x14ac:dyDescent="0.25">
      <c r="A72" s="4" t="str">
        <f>"1071"</f>
        <v>1071</v>
      </c>
      <c r="B72" s="5" t="str">
        <f>"CH IDP*Linden's Chester"</f>
        <v>CH IDP*Linden's Chester</v>
      </c>
      <c r="C72" s="5" t="str">
        <f t="shared" si="7"/>
        <v>BRI</v>
      </c>
      <c r="D72" s="5" t="str">
        <f>"e 24"</f>
        <v>e 24</v>
      </c>
      <c r="E72" s="4" t="s">
        <v>13</v>
      </c>
      <c r="F72" s="5" t="str">
        <f>"Hane"</f>
        <v>Hane</v>
      </c>
      <c r="G72" s="5" t="str">
        <f>"Magnusson, Berit"</f>
        <v>Magnusson, Berit</v>
      </c>
      <c r="H72" s="6">
        <v>1</v>
      </c>
    </row>
    <row r="73" spans="1:11" s="5" customFormat="1" ht="12" x14ac:dyDescent="0.25">
      <c r="A73" s="4" t="str">
        <f>"71"</f>
        <v>71</v>
      </c>
      <c r="B73" s="5" t="str">
        <f>"S*Kentuckygårdens Daisy"</f>
        <v>S*Kentuckygårdens Daisy</v>
      </c>
      <c r="C73" s="5" t="str">
        <f t="shared" si="7"/>
        <v>BRI</v>
      </c>
      <c r="D73" s="5" t="str">
        <f>"e 24"</f>
        <v>e 24</v>
      </c>
      <c r="E73" s="4" t="s">
        <v>17</v>
      </c>
      <c r="F73" s="5" t="str">
        <f>"Hona"</f>
        <v>Hona</v>
      </c>
      <c r="G73" s="5" t="str">
        <f>"Bergqvist, Sofie"</f>
        <v>Bergqvist, Sofie</v>
      </c>
      <c r="H73" s="6" t="s">
        <v>16</v>
      </c>
    </row>
    <row r="74" spans="1:11" s="5" customFormat="1" ht="12" x14ac:dyDescent="0.25">
      <c r="A74" s="4" t="str">
        <f>"73"</f>
        <v>73</v>
      </c>
      <c r="B74" s="5" t="str">
        <f>"Märta"</f>
        <v>Märta</v>
      </c>
      <c r="C74" s="5" t="str">
        <f t="shared" si="7"/>
        <v>BRI</v>
      </c>
      <c r="D74" s="5" t="str">
        <f>"h 24"</f>
        <v>h 24</v>
      </c>
      <c r="E74" s="4" t="s">
        <v>17</v>
      </c>
      <c r="F74" s="5" t="str">
        <f>"Hona"</f>
        <v>Hona</v>
      </c>
      <c r="G74" s="5" t="str">
        <f>"Jansson, Susanne"</f>
        <v>Jansson, Susanne</v>
      </c>
      <c r="H74" s="6">
        <v>1</v>
      </c>
    </row>
    <row r="75" spans="1:11" s="5" customFormat="1" ht="12" x14ac:dyDescent="0.25">
      <c r="A75" s="4" t="str">
        <f>"74"</f>
        <v>74</v>
      </c>
      <c r="B75" s="5" t="str">
        <f>"S*Applecat Ivanhoe"</f>
        <v>S*Applecat Ivanhoe</v>
      </c>
      <c r="C75" s="5" t="str">
        <f t="shared" si="7"/>
        <v>BRI</v>
      </c>
      <c r="D75" s="5" t="str">
        <f>"a 03"</f>
        <v>a 03</v>
      </c>
      <c r="E75" s="4" t="s">
        <v>13</v>
      </c>
      <c r="F75" s="5" t="str">
        <f>"Hane"</f>
        <v>Hane</v>
      </c>
      <c r="G75" s="5" t="str">
        <f>"Bergqvist, Karolina"</f>
        <v>Bergqvist, Karolina</v>
      </c>
      <c r="H75" s="6" t="s">
        <v>16</v>
      </c>
    </row>
    <row r="76" spans="1:11" s="5" customFormat="1" ht="12" x14ac:dyDescent="0.25">
      <c r="A76" s="4" t="str">
        <f>"1075"</f>
        <v>1075</v>
      </c>
      <c r="B76" s="5" t="str">
        <f>"IC Pirot Dane Isolde"</f>
        <v>IC Pirot Dane Isolde</v>
      </c>
      <c r="C76" s="5" t="str">
        <f t="shared" si="7"/>
        <v>BRI</v>
      </c>
      <c r="D76" s="5" t="str">
        <f>"b 33"</f>
        <v>b 33</v>
      </c>
      <c r="E76" s="4" t="s">
        <v>13</v>
      </c>
      <c r="F76" s="5" t="str">
        <f>"Hona"</f>
        <v>Hona</v>
      </c>
      <c r="G76" s="5" t="str">
        <f>"Magnusson, Berit"</f>
        <v>Magnusson, Berit</v>
      </c>
      <c r="H76" s="6">
        <v>1</v>
      </c>
    </row>
    <row r="77" spans="1:11" s="5" customFormat="1" ht="12" x14ac:dyDescent="0.25">
      <c r="A77" s="4" t="str">
        <f>"75"</f>
        <v>75</v>
      </c>
      <c r="B77" s="5" t="str">
        <f>"LV*Malsan Jett Riviera"</f>
        <v>LV*Malsan Jett Riviera</v>
      </c>
      <c r="C77" s="5" t="str">
        <f>"BUR"</f>
        <v>BUR</v>
      </c>
      <c r="D77" s="5" t="str">
        <f>"a"</f>
        <v>a</v>
      </c>
      <c r="E77" s="4" t="s">
        <v>17</v>
      </c>
      <c r="F77" s="5" t="str">
        <f>"Hane"</f>
        <v>Hane</v>
      </c>
      <c r="G77" s="5" t="str">
        <f>"Hellman, Mary"</f>
        <v>Hellman, Mary</v>
      </c>
      <c r="H77" s="7" t="s">
        <v>26</v>
      </c>
    </row>
    <row r="78" spans="1:11" s="5" customFormat="1" ht="12" x14ac:dyDescent="0.25">
      <c r="A78" s="4" t="str">
        <f>"76"</f>
        <v>76</v>
      </c>
      <c r="B78" s="5" t="str">
        <f>"S*Rex Dandy Magna"</f>
        <v>S*Rex Dandy Magna</v>
      </c>
      <c r="C78" s="5" t="str">
        <f>"CRX"</f>
        <v>CRX</v>
      </c>
      <c r="D78" s="5" t="str">
        <f>"Grupp 2"</f>
        <v>Grupp 2</v>
      </c>
      <c r="E78" s="4" t="s">
        <v>18</v>
      </c>
      <c r="F78" s="5" t="str">
        <f>"Hona"</f>
        <v>Hona</v>
      </c>
      <c r="G78" s="5" t="str">
        <f>"Andersson, Agnetha"</f>
        <v>Andersson, Agnetha</v>
      </c>
      <c r="H78" s="6" t="s">
        <v>16</v>
      </c>
    </row>
    <row r="79" spans="1:11" s="5" customFormat="1" ht="12" x14ac:dyDescent="0.25">
      <c r="A79" s="4" t="str">
        <f>"77"</f>
        <v>77</v>
      </c>
      <c r="B79" s="5" t="str">
        <f>"S*Vox Bauers Euphonia Phantom af YG"</f>
        <v>S*Vox Bauers Euphonia Phantom af YG</v>
      </c>
      <c r="C79" s="5" t="str">
        <f>"CRX"</f>
        <v>CRX</v>
      </c>
      <c r="D79" s="5" t="str">
        <f>"Grupp 3"</f>
        <v>Grupp 3</v>
      </c>
      <c r="E79" s="4" t="s">
        <v>17</v>
      </c>
      <c r="F79" s="5" t="str">
        <f>"Hona"</f>
        <v>Hona</v>
      </c>
      <c r="G79" s="5" t="str">
        <f>"Kangedal, Ylva"</f>
        <v>Kangedal, Ylva</v>
      </c>
      <c r="H79" s="6" t="s">
        <v>16</v>
      </c>
    </row>
    <row r="80" spans="1:11" s="5" customFormat="1" ht="12" x14ac:dyDescent="0.25">
      <c r="A80" s="4" t="str">
        <f>"78"</f>
        <v>78</v>
      </c>
      <c r="B80" s="5" t="str">
        <f>"PR S*Vox Bauers Duke Damien Dynavoice"</f>
        <v>PR S*Vox Bauers Duke Damien Dynavoice</v>
      </c>
      <c r="C80" s="5" t="str">
        <f>"CRX"</f>
        <v>CRX</v>
      </c>
      <c r="D80" s="5" t="str">
        <f>"Grupp 4"</f>
        <v>Grupp 4</v>
      </c>
      <c r="E80" s="4" t="s">
        <v>11</v>
      </c>
      <c r="F80" s="5" t="str">
        <f>"Hane (K)"</f>
        <v>Hane (K)</v>
      </c>
      <c r="G80" s="5" t="str">
        <f>"Kangedal, Ylva"</f>
        <v>Kangedal, Ylva</v>
      </c>
      <c r="H80" s="6">
        <v>2</v>
      </c>
    </row>
    <row r="81" spans="1:11" s="5" customFormat="1" ht="12" x14ac:dyDescent="0.25">
      <c r="A81" s="4" t="str">
        <f>"79"</f>
        <v>79</v>
      </c>
      <c r="B81" s="5" t="str">
        <f>"S*Cruzmyntas Lycka"</f>
        <v>S*Cruzmyntas Lycka</v>
      </c>
      <c r="C81" s="5" t="str">
        <f>"CRX"</f>
        <v>CRX</v>
      </c>
      <c r="D81" s="5" t="str">
        <f>"Grupp 4"</f>
        <v>Grupp 4</v>
      </c>
      <c r="E81" s="4" t="s">
        <v>17</v>
      </c>
      <c r="F81" s="5" t="str">
        <f>"Hona"</f>
        <v>Hona</v>
      </c>
      <c r="G81" s="5" t="str">
        <f>"Westerberg, Jeanine"</f>
        <v>Westerberg, Jeanine</v>
      </c>
      <c r="H81" s="6">
        <v>2</v>
      </c>
    </row>
    <row r="82" spans="1:11" s="5" customFormat="1" ht="12" x14ac:dyDescent="0.25">
      <c r="A82" s="4" t="str">
        <f>"80"</f>
        <v>80</v>
      </c>
      <c r="B82" s="5" t="str">
        <f>"PR S*Hub Cats William"</f>
        <v>PR S*Hub Cats William</v>
      </c>
      <c r="C82" s="5" t="str">
        <f>"CRX"</f>
        <v>CRX</v>
      </c>
      <c r="D82" s="5" t="str">
        <f>"Grupp 6"</f>
        <v>Grupp 6</v>
      </c>
      <c r="E82" s="4" t="s">
        <v>11</v>
      </c>
      <c r="F82" s="5" t="str">
        <f>"Hane (K)"</f>
        <v>Hane (K)</v>
      </c>
      <c r="G82" s="5" t="str">
        <f>"Johansson, Daniel"</f>
        <v>Johansson, Daniel</v>
      </c>
      <c r="H82" s="6">
        <v>1</v>
      </c>
    </row>
    <row r="83" spans="1:11" s="5" customFormat="1" ht="12" x14ac:dyDescent="0.25">
      <c r="A83" s="4" t="str">
        <f>"81"</f>
        <v>81</v>
      </c>
      <c r="B83" s="5" t="str">
        <f>"PR S*Sayyads Joyful Joyce"</f>
        <v>PR S*Sayyads Joyful Joyce</v>
      </c>
      <c r="C83" s="5" t="str">
        <f>"SPH"</f>
        <v>SPH</v>
      </c>
      <c r="D83" s="5" t="str">
        <f>"Grupp 1"</f>
        <v>Grupp 1</v>
      </c>
      <c r="E83" s="4" t="s">
        <v>11</v>
      </c>
      <c r="F83" s="5" t="str">
        <f>"Hona (K)"</f>
        <v>Hona (K)</v>
      </c>
      <c r="G83" s="5" t="str">
        <f>"Andersson, Agnetha"</f>
        <v>Andersson, Agnetha</v>
      </c>
      <c r="H83" s="6" t="s">
        <v>16</v>
      </c>
    </row>
    <row r="84" spans="1:11" s="5" customFormat="1" ht="12" x14ac:dyDescent="0.25">
      <c r="A84" s="4" t="str">
        <f>"1082"</f>
        <v>1082</v>
      </c>
      <c r="B84" s="5" t="str">
        <f>"S*Sayyads Touchdown"</f>
        <v>S*Sayyads Touchdown</v>
      </c>
      <c r="C84" s="5" t="str">
        <f>"SPH"</f>
        <v>SPH</v>
      </c>
      <c r="D84" s="5" t="str">
        <f>"Grupp 1"</f>
        <v>Grupp 1</v>
      </c>
      <c r="E84" s="4" t="s">
        <v>18</v>
      </c>
      <c r="F84" s="5" t="str">
        <f>"Hane"</f>
        <v>Hane</v>
      </c>
      <c r="G84" s="5" t="str">
        <f>"Larsson, Therese"</f>
        <v>Larsson, Therese</v>
      </c>
      <c r="H84" s="7" t="s">
        <v>12</v>
      </c>
    </row>
    <row r="85" spans="1:11" s="5" customFormat="1" ht="12" x14ac:dyDescent="0.25">
      <c r="A85" s="4" t="str">
        <f>"2082"</f>
        <v>2082</v>
      </c>
      <c r="B85" s="5" t="str">
        <f>"PR S*Sayyads Gigolo"</f>
        <v>PR S*Sayyads Gigolo</v>
      </c>
      <c r="C85" s="5" t="str">
        <f>"SPH"</f>
        <v>SPH</v>
      </c>
      <c r="D85" s="5" t="str">
        <f>"Grupp 2"</f>
        <v>Grupp 2</v>
      </c>
      <c r="E85" s="4" t="s">
        <v>11</v>
      </c>
      <c r="F85" s="5" t="str">
        <f>"Hane (K)"</f>
        <v>Hane (K)</v>
      </c>
      <c r="G85" s="5" t="str">
        <f>"Larsson, Therese"</f>
        <v>Larsson, Therese</v>
      </c>
      <c r="H85" s="7" t="s">
        <v>14</v>
      </c>
    </row>
    <row r="86" spans="1:11" s="5" customFormat="1" ht="12" x14ac:dyDescent="0.25">
      <c r="A86" s="4" t="str">
        <f>"82"</f>
        <v>82</v>
      </c>
      <c r="B86" s="5" t="str">
        <f>"S*Fylgias Heimdall"</f>
        <v>S*Fylgias Heimdall</v>
      </c>
      <c r="C86" s="5" t="str">
        <f>"SPH"</f>
        <v>SPH</v>
      </c>
      <c r="D86" s="5" t="str">
        <f>"Grupp 2"</f>
        <v>Grupp 2</v>
      </c>
      <c r="E86" s="4" t="s">
        <v>11</v>
      </c>
      <c r="F86" s="5" t="str">
        <f>"Hane (K)"</f>
        <v>Hane (K)</v>
      </c>
      <c r="G86" s="5" t="str">
        <f>"Johansson, Daniel"</f>
        <v>Johansson, Daniel</v>
      </c>
      <c r="H86" s="6">
        <v>2</v>
      </c>
    </row>
    <row r="87" spans="1:11" s="5" customFormat="1" ht="12" x14ac:dyDescent="0.25">
      <c r="A87" s="4" t="str">
        <f>"83"</f>
        <v>83</v>
      </c>
      <c r="B87" s="5" t="str">
        <f>"Zorro"</f>
        <v>Zorro</v>
      </c>
      <c r="C87" s="5" t="str">
        <f>"HCL"</f>
        <v>HCL</v>
      </c>
      <c r="D87" s="5" t="str">
        <f>"n"</f>
        <v>n</v>
      </c>
      <c r="E87" s="4" t="s">
        <v>27</v>
      </c>
      <c r="F87" s="5" t="str">
        <f>"Hane (K)"</f>
        <v>Hane (K)</v>
      </c>
      <c r="G87" s="5" t="str">
        <f>"Ekström, Anette"</f>
        <v>Ekström, Anette</v>
      </c>
      <c r="H87" s="7" t="s">
        <v>28</v>
      </c>
    </row>
    <row r="88" spans="1:11" s="5" customFormat="1" ht="12" x14ac:dyDescent="0.25">
      <c r="A88" s="4" t="str">
        <f>"84"</f>
        <v>84</v>
      </c>
      <c r="B88" s="5" t="str">
        <f>"Kobra"</f>
        <v>Kobra</v>
      </c>
      <c r="C88" s="5" t="str">
        <f>"HCL"</f>
        <v>HCL</v>
      </c>
      <c r="D88" s="5" t="str">
        <f>"n"</f>
        <v>n</v>
      </c>
      <c r="E88" s="4" t="s">
        <v>27</v>
      </c>
      <c r="F88" s="5" t="str">
        <f>"Hane (K)"</f>
        <v>Hane (K)</v>
      </c>
      <c r="G88" s="5" t="str">
        <f>"Strid, Elin"</f>
        <v>Strid, Elin</v>
      </c>
      <c r="H88" s="6">
        <v>3</v>
      </c>
    </row>
    <row r="89" spans="1:11" s="5" customFormat="1" ht="12" x14ac:dyDescent="0.25">
      <c r="A89" s="4" t="str">
        <f>"85"</f>
        <v>85</v>
      </c>
      <c r="B89" s="5" t="str">
        <f>"Tiger"</f>
        <v>Tiger</v>
      </c>
      <c r="C89" s="5" t="str">
        <f>"HCL"</f>
        <v>HCL</v>
      </c>
      <c r="D89" s="5" t="str">
        <f>"n 02 21"</f>
        <v>n 02 21</v>
      </c>
      <c r="E89" s="4" t="s">
        <v>27</v>
      </c>
      <c r="F89" s="5" t="str">
        <f>"Hane"</f>
        <v>Hane</v>
      </c>
      <c r="G89" s="5" t="str">
        <f>"Wahlström, Rose-Marie"</f>
        <v>Wahlström, Rose-Marie</v>
      </c>
      <c r="H89" s="6">
        <v>2</v>
      </c>
    </row>
    <row r="90" spans="1:11" s="5" customFormat="1" ht="12" x14ac:dyDescent="0.25">
      <c r="A90" s="4" t="str">
        <f>"86"</f>
        <v>86</v>
      </c>
      <c r="B90" s="5" t="str">
        <f>"SW SW'09 SW'07 Feztiz DSM"</f>
        <v>SW SW'09 SW'07 Feztiz DSM</v>
      </c>
      <c r="C90" s="5" t="str">
        <f>"HCL"</f>
        <v>HCL</v>
      </c>
      <c r="D90" s="5" t="str">
        <f>"f 02"</f>
        <v>f 02</v>
      </c>
      <c r="E90" s="4" t="s">
        <v>27</v>
      </c>
      <c r="F90" s="5" t="str">
        <f>"Hona (K)"</f>
        <v>Hona (K)</v>
      </c>
      <c r="G90" s="5" t="str">
        <f>"Rugner, Madeleine"</f>
        <v>Rugner, Madeleine</v>
      </c>
      <c r="H90" s="6" t="s">
        <v>16</v>
      </c>
    </row>
    <row r="91" spans="1:11" s="5" customFormat="1" ht="12" x14ac:dyDescent="0.25">
      <c r="A91" s="4" t="str">
        <f>"87"</f>
        <v>87</v>
      </c>
      <c r="B91" s="5" t="str">
        <f>"Nowa"</f>
        <v>Nowa</v>
      </c>
      <c r="C91" s="5" t="str">
        <f>"HCL"</f>
        <v>HCL</v>
      </c>
      <c r="D91" s="5" t="str">
        <f>"n 09 23"</f>
        <v>n 09 23</v>
      </c>
      <c r="E91" s="4" t="s">
        <v>27</v>
      </c>
      <c r="F91" s="5" t="str">
        <f>"Hona (K)"</f>
        <v>Hona (K)</v>
      </c>
      <c r="G91" s="5" t="str">
        <f>"Strid, Maud"</f>
        <v>Strid, Maud</v>
      </c>
      <c r="H91" s="6">
        <v>2</v>
      </c>
    </row>
    <row r="92" spans="1:11" s="5" customFormat="1" ht="12" x14ac:dyDescent="0.25">
      <c r="A92" s="4" t="str">
        <f>"88"</f>
        <v>88</v>
      </c>
      <c r="B92" s="5" t="str">
        <f>"Pete"</f>
        <v>Pete</v>
      </c>
      <c r="C92" s="5" t="str">
        <f>"HCS"</f>
        <v>HCS</v>
      </c>
      <c r="D92" s="5" t="str">
        <f>"n"</f>
        <v>n</v>
      </c>
      <c r="E92" s="4" t="s">
        <v>27</v>
      </c>
      <c r="F92" s="5" t="str">
        <f>"Hane"</f>
        <v>Hane</v>
      </c>
      <c r="G92" s="5" t="str">
        <f>"Hellman, Mary"</f>
        <v>Hellman, Mary</v>
      </c>
      <c r="H92" s="6">
        <v>2</v>
      </c>
    </row>
    <row r="93" spans="1:11" s="5" customFormat="1" ht="12" x14ac:dyDescent="0.25">
      <c r="A93" s="4" t="str">
        <f>"89"</f>
        <v>89</v>
      </c>
      <c r="B93" s="5" t="str">
        <f>"Gossen"</f>
        <v>Gossen</v>
      </c>
      <c r="C93" s="5" t="str">
        <f>"HCS"</f>
        <v>HCS</v>
      </c>
      <c r="D93" s="5" t="str">
        <f>"n 09"</f>
        <v>n 09</v>
      </c>
      <c r="E93" s="4" t="s">
        <v>27</v>
      </c>
      <c r="F93" s="5" t="str">
        <f>"Hane"</f>
        <v>Hane</v>
      </c>
      <c r="G93" s="5" t="str">
        <f>"Johansson, Madelene"</f>
        <v>Johansson, Madelene</v>
      </c>
      <c r="H93" s="6" t="s">
        <v>16</v>
      </c>
    </row>
    <row r="94" spans="1:11" s="52" customFormat="1" ht="12" x14ac:dyDescent="0.25">
      <c r="A94" s="64" t="str">
        <f>"90"</f>
        <v>90</v>
      </c>
      <c r="B94" s="52" t="str">
        <f>"Snuffan"</f>
        <v>Snuffan</v>
      </c>
      <c r="C94" s="52" t="str">
        <f>"HCS"</f>
        <v>HCS</v>
      </c>
      <c r="D94" s="52" t="str">
        <f>"f 03"</f>
        <v>f 03</v>
      </c>
      <c r="E94" s="64" t="s">
        <v>27</v>
      </c>
      <c r="F94" s="52" t="str">
        <f>"Hona"</f>
        <v>Hona</v>
      </c>
      <c r="G94" s="52" t="str">
        <f>"Johansson, Madelene"</f>
        <v>Johansson, Madelene</v>
      </c>
      <c r="H94" s="65" t="s">
        <v>29</v>
      </c>
      <c r="J94" s="52" t="s">
        <v>30</v>
      </c>
    </row>
    <row r="95" spans="1:11" s="58" customFormat="1" ht="12" x14ac:dyDescent="0.25">
      <c r="A95" s="57" t="str">
        <f>"91"</f>
        <v>91</v>
      </c>
      <c r="B95" s="58" t="str">
        <f>"Missan DSM"</f>
        <v>Missan DSM</v>
      </c>
      <c r="C95" s="58" t="str">
        <f>"HCS"</f>
        <v>HCS</v>
      </c>
      <c r="D95" s="58" t="str">
        <f>"n 09 24"</f>
        <v>n 09 24</v>
      </c>
      <c r="E95" s="57" t="s">
        <v>27</v>
      </c>
      <c r="F95" s="58" t="str">
        <f>"Hona (K)"</f>
        <v>Hona (K)</v>
      </c>
      <c r="G95" s="58" t="str">
        <f>"Bergkvist, Linda"</f>
        <v>Bergkvist, Linda</v>
      </c>
      <c r="H95" s="59">
        <v>2</v>
      </c>
      <c r="K95" s="58" t="s">
        <v>23</v>
      </c>
    </row>
  </sheetData>
  <autoFilter ref="A1:K95" xr:uid="{00000000-0009-0000-0000-000000000000}"/>
  <phoneticPr fontId="0" type="noConversion"/>
  <printOptions gridLines="1"/>
  <pageMargins left="0.19685039370078741" right="0.15748031496062992" top="0.19685039370078741" bottom="7.874015748031496E-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workbookViewId="0">
      <selection activeCell="M16" sqref="M16"/>
    </sheetView>
  </sheetViews>
  <sheetFormatPr defaultColWidth="9.109375" defaultRowHeight="10.199999999999999" x14ac:dyDescent="0.2"/>
  <cols>
    <col min="1" max="1" width="14" style="32" bestFit="1" customWidth="1"/>
    <col min="2" max="10" width="14.33203125" style="19" customWidth="1"/>
    <col min="11" max="16384" width="9.109375" style="12"/>
  </cols>
  <sheetData>
    <row r="1" spans="1:10" x14ac:dyDescent="0.2">
      <c r="A1" s="30"/>
      <c r="B1" s="66" t="s">
        <v>31</v>
      </c>
      <c r="C1" s="67"/>
      <c r="D1" s="66" t="s">
        <v>13</v>
      </c>
      <c r="E1" s="67"/>
      <c r="F1" s="66" t="s">
        <v>18</v>
      </c>
      <c r="G1" s="67"/>
      <c r="H1" s="66" t="s">
        <v>17</v>
      </c>
      <c r="I1" s="67"/>
      <c r="J1" s="41"/>
    </row>
    <row r="2" spans="1:10" ht="10.8" thickBot="1" x14ac:dyDescent="0.25">
      <c r="A2" s="31" t="s">
        <v>32</v>
      </c>
      <c r="B2" s="13" t="s">
        <v>33</v>
      </c>
      <c r="C2" s="14" t="s">
        <v>34</v>
      </c>
      <c r="D2" s="13" t="s">
        <v>33</v>
      </c>
      <c r="E2" s="14" t="s">
        <v>34</v>
      </c>
      <c r="F2" s="13" t="s">
        <v>33</v>
      </c>
      <c r="G2" s="14" t="s">
        <v>34</v>
      </c>
      <c r="H2" s="13" t="s">
        <v>33</v>
      </c>
      <c r="I2" s="14" t="s">
        <v>34</v>
      </c>
      <c r="J2" s="41"/>
    </row>
    <row r="3" spans="1:10" ht="20.399999999999999" x14ac:dyDescent="0.2">
      <c r="A3" s="32" t="s">
        <v>35</v>
      </c>
      <c r="B3" s="15" t="s">
        <v>36</v>
      </c>
      <c r="C3" s="16"/>
      <c r="D3" s="15" t="s">
        <v>37</v>
      </c>
      <c r="E3" s="16" t="s">
        <v>38</v>
      </c>
      <c r="F3" s="15"/>
      <c r="G3" s="16"/>
      <c r="H3" s="15"/>
      <c r="I3" s="16" t="s">
        <v>39</v>
      </c>
    </row>
    <row r="4" spans="1:10" ht="21" thickBot="1" x14ac:dyDescent="0.25">
      <c r="A4" s="32" t="s">
        <v>40</v>
      </c>
      <c r="B4" s="20"/>
      <c r="C4" s="21" t="s">
        <v>41</v>
      </c>
      <c r="D4" s="20" t="s">
        <v>42</v>
      </c>
      <c r="E4" s="21"/>
      <c r="F4" s="20"/>
      <c r="G4" s="21"/>
      <c r="H4" s="20"/>
      <c r="I4" s="21"/>
    </row>
    <row r="5" spans="1:10" ht="21" thickBot="1" x14ac:dyDescent="0.25">
      <c r="A5" s="47" t="s">
        <v>43</v>
      </c>
      <c r="B5" s="15"/>
      <c r="C5" s="46" t="s">
        <v>41</v>
      </c>
      <c r="E5" s="46" t="s">
        <v>38</v>
      </c>
      <c r="F5" s="15"/>
      <c r="G5" s="16"/>
      <c r="H5" s="15"/>
      <c r="I5" s="16"/>
      <c r="J5" s="41" t="s">
        <v>44</v>
      </c>
    </row>
    <row r="6" spans="1:10" ht="21" thickBot="1" x14ac:dyDescent="0.25">
      <c r="A6" s="47" t="s">
        <v>45</v>
      </c>
      <c r="B6" s="33" t="s">
        <v>36</v>
      </c>
      <c r="C6" s="21"/>
      <c r="D6" s="33" t="s">
        <v>42</v>
      </c>
      <c r="E6" s="21"/>
      <c r="F6" s="20"/>
      <c r="G6" s="21"/>
      <c r="H6" s="43"/>
      <c r="I6" s="45" t="s">
        <v>39</v>
      </c>
      <c r="J6" s="42" t="s">
        <v>42</v>
      </c>
    </row>
    <row r="7" spans="1:10" ht="3.75" customHeight="1" thickBot="1" x14ac:dyDescent="0.25"/>
    <row r="8" spans="1:10" x14ac:dyDescent="0.2">
      <c r="A8" s="30"/>
      <c r="B8" s="66" t="s">
        <v>31</v>
      </c>
      <c r="C8" s="67"/>
      <c r="D8" s="66" t="s">
        <v>13</v>
      </c>
      <c r="E8" s="67"/>
      <c r="F8" s="66" t="s">
        <v>18</v>
      </c>
      <c r="G8" s="67"/>
      <c r="H8" s="66" t="s">
        <v>17</v>
      </c>
      <c r="I8" s="67"/>
      <c r="J8" s="41"/>
    </row>
    <row r="9" spans="1:10" ht="10.8" thickBot="1" x14ac:dyDescent="0.25">
      <c r="A9" s="31" t="s">
        <v>46</v>
      </c>
      <c r="B9" s="13" t="s">
        <v>33</v>
      </c>
      <c r="C9" s="14" t="s">
        <v>34</v>
      </c>
      <c r="D9" s="13" t="s">
        <v>33</v>
      </c>
      <c r="E9" s="14" t="s">
        <v>34</v>
      </c>
      <c r="F9" s="13" t="s">
        <v>33</v>
      </c>
      <c r="G9" s="14" t="s">
        <v>34</v>
      </c>
      <c r="H9" s="13" t="s">
        <v>33</v>
      </c>
      <c r="I9" s="14" t="s">
        <v>34</v>
      </c>
      <c r="J9" s="41"/>
    </row>
    <row r="10" spans="1:10" ht="40.799999999999997" x14ac:dyDescent="0.2">
      <c r="A10" s="32" t="s">
        <v>35</v>
      </c>
      <c r="B10" s="17" t="s">
        <v>47</v>
      </c>
      <c r="C10" s="18" t="s">
        <v>48</v>
      </c>
      <c r="D10" s="17" t="s">
        <v>49</v>
      </c>
      <c r="E10" s="18" t="s">
        <v>50</v>
      </c>
      <c r="F10" s="17" t="s">
        <v>51</v>
      </c>
      <c r="G10" s="18" t="s">
        <v>52</v>
      </c>
      <c r="H10" s="17" t="s">
        <v>53</v>
      </c>
      <c r="I10" s="18" t="s">
        <v>54</v>
      </c>
    </row>
    <row r="11" spans="1:10" ht="20.399999999999999" x14ac:dyDescent="0.2">
      <c r="A11" s="32" t="s">
        <v>55</v>
      </c>
      <c r="B11" s="17" t="s">
        <v>56</v>
      </c>
      <c r="C11" s="18" t="s">
        <v>57</v>
      </c>
      <c r="D11" s="17" t="s">
        <v>58</v>
      </c>
      <c r="E11" s="18" t="s">
        <v>59</v>
      </c>
      <c r="F11" s="17" t="s">
        <v>60</v>
      </c>
      <c r="G11" s="18" t="s">
        <v>61</v>
      </c>
      <c r="H11" s="17" t="s">
        <v>62</v>
      </c>
      <c r="I11" s="18" t="s">
        <v>63</v>
      </c>
    </row>
    <row r="12" spans="1:10" ht="21" thickBot="1" x14ac:dyDescent="0.25">
      <c r="A12" s="32" t="s">
        <v>40</v>
      </c>
      <c r="B12" s="20" t="s">
        <v>64</v>
      </c>
      <c r="C12" s="21" t="s">
        <v>65</v>
      </c>
      <c r="D12" s="20"/>
      <c r="E12" s="21" t="s">
        <v>66</v>
      </c>
      <c r="F12" s="20" t="s">
        <v>67</v>
      </c>
      <c r="G12" s="21"/>
      <c r="H12" s="20" t="s">
        <v>68</v>
      </c>
      <c r="I12" s="21" t="s">
        <v>69</v>
      </c>
    </row>
    <row r="13" spans="1:10" ht="31.2" thickBot="1" x14ac:dyDescent="0.25">
      <c r="A13" s="47" t="s">
        <v>43</v>
      </c>
      <c r="B13" s="15"/>
      <c r="C13" s="51" t="s">
        <v>48</v>
      </c>
      <c r="D13" s="49" t="s">
        <v>49</v>
      </c>
      <c r="E13" s="16"/>
      <c r="F13" s="15"/>
      <c r="G13" s="48" t="s">
        <v>61</v>
      </c>
      <c r="H13" s="49" t="s">
        <v>62</v>
      </c>
      <c r="I13" s="16"/>
      <c r="J13" s="41" t="s">
        <v>44</v>
      </c>
    </row>
    <row r="14" spans="1:10" ht="21" thickBot="1" x14ac:dyDescent="0.25">
      <c r="A14" s="47" t="s">
        <v>45</v>
      </c>
      <c r="B14" s="33" t="s">
        <v>56</v>
      </c>
      <c r="C14" s="21"/>
      <c r="D14" s="20"/>
      <c r="E14" s="34" t="s">
        <v>59</v>
      </c>
      <c r="F14" s="33" t="s">
        <v>51</v>
      </c>
      <c r="G14" s="21"/>
      <c r="H14" s="36"/>
      <c r="I14" s="35" t="s">
        <v>69</v>
      </c>
      <c r="J14" s="42" t="s">
        <v>69</v>
      </c>
    </row>
    <row r="15" spans="1:10" ht="3.75" customHeight="1" thickBot="1" x14ac:dyDescent="0.25"/>
    <row r="16" spans="1:10" x14ac:dyDescent="0.2">
      <c r="A16" s="30"/>
      <c r="B16" s="66" t="s">
        <v>31</v>
      </c>
      <c r="C16" s="67"/>
      <c r="D16" s="66" t="s">
        <v>13</v>
      </c>
      <c r="E16" s="67"/>
      <c r="F16" s="66" t="s">
        <v>18</v>
      </c>
      <c r="G16" s="70"/>
      <c r="H16" s="66" t="s">
        <v>17</v>
      </c>
      <c r="I16" s="67"/>
    </row>
    <row r="17" spans="1:10" ht="10.8" thickBot="1" x14ac:dyDescent="0.25">
      <c r="A17" s="31" t="s">
        <v>70</v>
      </c>
      <c r="B17" s="13" t="s">
        <v>33</v>
      </c>
      <c r="C17" s="14" t="s">
        <v>34</v>
      </c>
      <c r="D17" s="13" t="s">
        <v>33</v>
      </c>
      <c r="E17" s="14" t="s">
        <v>34</v>
      </c>
      <c r="F17" s="13" t="s">
        <v>33</v>
      </c>
      <c r="G17" s="37" t="s">
        <v>34</v>
      </c>
      <c r="H17" s="13" t="s">
        <v>33</v>
      </c>
      <c r="I17" s="14" t="s">
        <v>34</v>
      </c>
    </row>
    <row r="18" spans="1:10" ht="20.399999999999999" x14ac:dyDescent="0.2">
      <c r="A18" s="32" t="s">
        <v>35</v>
      </c>
      <c r="B18" s="17" t="s">
        <v>71</v>
      </c>
      <c r="C18" s="18"/>
      <c r="D18" s="17" t="s">
        <v>72</v>
      </c>
      <c r="E18" s="18" t="s">
        <v>73</v>
      </c>
      <c r="F18" s="17"/>
      <c r="G18" s="38"/>
      <c r="H18" s="17" t="s">
        <v>74</v>
      </c>
      <c r="I18" s="18" t="s">
        <v>75</v>
      </c>
    </row>
    <row r="19" spans="1:10" ht="30.6" x14ac:dyDescent="0.2">
      <c r="A19" s="32" t="s">
        <v>55</v>
      </c>
      <c r="B19" s="17" t="s">
        <v>76</v>
      </c>
      <c r="C19" s="18" t="s">
        <v>77</v>
      </c>
      <c r="D19" s="17"/>
      <c r="E19" s="18"/>
      <c r="F19" s="17" t="s">
        <v>78</v>
      </c>
      <c r="G19" s="38" t="s">
        <v>79</v>
      </c>
      <c r="H19" s="17" t="s">
        <v>80</v>
      </c>
      <c r="I19" s="18" t="s">
        <v>81</v>
      </c>
    </row>
    <row r="20" spans="1:10" ht="31.2" thickBot="1" x14ac:dyDescent="0.25">
      <c r="A20" s="32" t="s">
        <v>40</v>
      </c>
      <c r="B20" s="20" t="s">
        <v>82</v>
      </c>
      <c r="C20" s="21" t="s">
        <v>83</v>
      </c>
      <c r="D20" s="20" t="s">
        <v>84</v>
      </c>
      <c r="E20" s="21"/>
      <c r="F20" s="20"/>
      <c r="G20" s="50" t="s">
        <v>85</v>
      </c>
      <c r="H20" s="20"/>
      <c r="I20" s="21" t="s">
        <v>86</v>
      </c>
      <c r="J20" s="41"/>
    </row>
    <row r="21" spans="1:10" ht="31.2" thickBot="1" x14ac:dyDescent="0.25">
      <c r="A21" s="47" t="s">
        <v>43</v>
      </c>
      <c r="B21" s="15"/>
      <c r="C21" s="48" t="s">
        <v>83</v>
      </c>
      <c r="E21" s="48" t="s">
        <v>73</v>
      </c>
      <c r="F21" s="49" t="s">
        <v>78</v>
      </c>
      <c r="G21" s="40"/>
      <c r="H21" s="49" t="s">
        <v>80</v>
      </c>
      <c r="I21" s="16"/>
      <c r="J21" s="41" t="s">
        <v>44</v>
      </c>
    </row>
    <row r="22" spans="1:10" ht="21" thickBot="1" x14ac:dyDescent="0.25">
      <c r="A22" s="47" t="s">
        <v>45</v>
      </c>
      <c r="B22" s="33" t="s">
        <v>76</v>
      </c>
      <c r="C22" s="21"/>
      <c r="D22" s="33" t="s">
        <v>84</v>
      </c>
      <c r="E22" s="21"/>
      <c r="F22" s="36"/>
      <c r="G22" s="39" t="s">
        <v>85</v>
      </c>
      <c r="H22" s="43"/>
      <c r="I22" s="34" t="s">
        <v>86</v>
      </c>
      <c r="J22" s="42" t="s">
        <v>86</v>
      </c>
    </row>
    <row r="23" spans="1:10" ht="3.75" customHeight="1" thickBot="1" x14ac:dyDescent="0.25"/>
    <row r="24" spans="1:10" x14ac:dyDescent="0.2">
      <c r="A24" s="30"/>
      <c r="B24" s="68" t="s">
        <v>87</v>
      </c>
      <c r="C24" s="69"/>
      <c r="D24" s="68" t="s">
        <v>88</v>
      </c>
      <c r="E24" s="69"/>
    </row>
    <row r="25" spans="1:10" ht="10.8" thickBot="1" x14ac:dyDescent="0.25">
      <c r="A25" s="31" t="s">
        <v>89</v>
      </c>
      <c r="B25" s="22" t="s">
        <v>33</v>
      </c>
      <c r="C25" s="23" t="s">
        <v>34</v>
      </c>
      <c r="D25" s="22" t="s">
        <v>33</v>
      </c>
      <c r="E25" s="23" t="s">
        <v>34</v>
      </c>
      <c r="I25" s="12"/>
      <c r="J25" s="12"/>
    </row>
    <row r="26" spans="1:10" ht="21" thickBot="1" x14ac:dyDescent="0.25">
      <c r="A26" s="32" t="s">
        <v>35</v>
      </c>
      <c r="B26" s="15"/>
      <c r="C26" s="16" t="s">
        <v>90</v>
      </c>
      <c r="D26" s="15"/>
      <c r="E26" s="16"/>
      <c r="I26" s="28" t="s">
        <v>91</v>
      </c>
      <c r="J26" s="44" t="s">
        <v>69</v>
      </c>
    </row>
    <row r="27" spans="1:10" ht="10.8" thickBot="1" x14ac:dyDescent="0.25">
      <c r="A27" s="32" t="s">
        <v>55</v>
      </c>
      <c r="B27" s="17"/>
      <c r="C27" s="18"/>
      <c r="D27" s="17"/>
      <c r="E27" s="18" t="s">
        <v>92</v>
      </c>
      <c r="I27" s="12"/>
      <c r="J27" s="12"/>
    </row>
    <row r="28" spans="1:10" ht="21" thickBot="1" x14ac:dyDescent="0.25">
      <c r="A28" s="32" t="s">
        <v>40</v>
      </c>
      <c r="B28" s="25" t="s">
        <v>93</v>
      </c>
      <c r="C28" s="26"/>
      <c r="D28" s="25" t="s">
        <v>94</v>
      </c>
      <c r="E28" s="26"/>
      <c r="G28" s="28" t="s">
        <v>95</v>
      </c>
      <c r="H28" s="44" t="s">
        <v>92</v>
      </c>
    </row>
    <row r="29" spans="1:10" ht="10.8" thickBot="1" x14ac:dyDescent="0.25">
      <c r="A29" s="47" t="s">
        <v>96</v>
      </c>
      <c r="B29" s="29" t="s">
        <v>93</v>
      </c>
      <c r="C29" s="27"/>
      <c r="D29" s="29" t="s">
        <v>92</v>
      </c>
      <c r="E29" s="27"/>
      <c r="I29" s="24"/>
    </row>
    <row r="30" spans="1:10" x14ac:dyDescent="0.2">
      <c r="I30" s="24"/>
    </row>
    <row r="31" spans="1:10" x14ac:dyDescent="0.2">
      <c r="I31" s="24"/>
    </row>
    <row r="32" spans="1:10" x14ac:dyDescent="0.2">
      <c r="I32" s="24"/>
    </row>
    <row r="33" spans="1:10" x14ac:dyDescent="0.2">
      <c r="I33" s="24"/>
    </row>
    <row r="34" spans="1:10" x14ac:dyDescent="0.2">
      <c r="I34" s="24"/>
    </row>
    <row r="35" spans="1:10" x14ac:dyDescent="0.2">
      <c r="I35" s="12"/>
      <c r="J35" s="12"/>
    </row>
    <row r="38" spans="1:10" x14ac:dyDescent="0.2">
      <c r="A38" s="31"/>
    </row>
  </sheetData>
  <autoFilter ref="A1:J38" xr:uid="{00000000-0009-0000-0000-000001000000}">
    <filterColumn colId="7" showButton="0"/>
  </autoFilter>
  <mergeCells count="14">
    <mergeCell ref="B24:C24"/>
    <mergeCell ref="D24:E24"/>
    <mergeCell ref="B16:C16"/>
    <mergeCell ref="D16:E16"/>
    <mergeCell ref="F16:G16"/>
    <mergeCell ref="B1:C1"/>
    <mergeCell ref="D1:E1"/>
    <mergeCell ref="F1:G1"/>
    <mergeCell ref="H1:I1"/>
    <mergeCell ref="H16:I16"/>
    <mergeCell ref="B8:C8"/>
    <mergeCell ref="D8:E8"/>
    <mergeCell ref="F8:G8"/>
    <mergeCell ref="H8:I8"/>
  </mergeCells>
  <phoneticPr fontId="0" type="noConversion"/>
  <pageMargins left="0.16" right="0.16" top="0.16" bottom="0.13" header="0.16" footer="0.1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Resultatlista</vt:lpstr>
      <vt:lpstr>Panelresultat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Hemma</dc:creator>
  <cp:keywords/>
  <dc:description/>
  <cp:lastModifiedBy>Annelie Finnebäck</cp:lastModifiedBy>
  <cp:revision/>
  <dcterms:created xsi:type="dcterms:W3CDTF">2014-11-29T22:22:16Z</dcterms:created>
  <dcterms:modified xsi:type="dcterms:W3CDTF">2023-01-02T15:21:38Z</dcterms:modified>
  <cp:category/>
  <cp:contentStatus/>
</cp:coreProperties>
</file>