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ate1904="1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55b9c212f6d482/Private/Sejlads/Yachtskipper/Y1/Vestindien/"/>
    </mc:Choice>
  </mc:AlternateContent>
  <xr:revisionPtr revIDLastSave="20" documentId="8_{1F2B94FD-6670-45C4-A1E3-5CFAC8118A17}" xr6:coauthVersionLast="47" xr6:coauthVersionMax="47" xr10:uidLastSave="{AEB8B4FB-E4E4-4402-8131-8427F3FFB2AA}"/>
  <bookViews>
    <workbookView xWindow="40920" yWindow="-120" windowWidth="29040" windowHeight="15840" xr2:uid="{94BB1A71-62EB-4AEC-A2C1-07DAE3B56F78}"/>
  </bookViews>
  <sheets>
    <sheet name="Main" sheetId="11" r:id="rId1"/>
    <sheet name="db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12" l="1"/>
  <c r="R4" i="12" s="1"/>
  <c r="J4" i="12"/>
  <c r="Q4" i="12" s="1"/>
  <c r="G4" i="12"/>
  <c r="P4" i="12" s="1"/>
  <c r="D4" i="12"/>
  <c r="O4" i="12" s="1"/>
  <c r="M3" i="12" l="1"/>
  <c r="R3" i="12" s="1"/>
  <c r="J3" i="12"/>
  <c r="Q3" i="12" s="1"/>
  <c r="G3" i="12"/>
  <c r="P3" i="12" s="1"/>
  <c r="D3" i="12"/>
  <c r="O3" i="12" s="1"/>
  <c r="J13" i="11" l="1"/>
  <c r="I13" i="11"/>
  <c r="J12" i="11"/>
  <c r="I12" i="11"/>
  <c r="G13" i="11"/>
  <c r="F13" i="11"/>
  <c r="F12" i="11"/>
  <c r="G12" i="11"/>
  <c r="C49" i="11" l="1"/>
  <c r="C50" i="11"/>
  <c r="L13" i="11"/>
  <c r="C13" i="11" s="1"/>
  <c r="M12" i="11"/>
  <c r="M13" i="11"/>
  <c r="D13" i="11" s="1"/>
  <c r="L12" i="11"/>
  <c r="C12" i="11" s="1"/>
  <c r="C14" i="11"/>
  <c r="C55" i="11" s="1"/>
  <c r="C53" i="11"/>
  <c r="C61" i="11" s="1"/>
  <c r="C62" i="11" s="1"/>
  <c r="C54" i="11"/>
  <c r="C37" i="11"/>
  <c r="C36" i="11"/>
  <c r="C25" i="11" l="1"/>
  <c r="D25" i="11" s="1"/>
  <c r="M14" i="11"/>
  <c r="M15" i="11" s="1"/>
  <c r="C6" i="11"/>
  <c r="D35" i="11"/>
  <c r="D12" i="11"/>
  <c r="L14" i="11"/>
  <c r="L15" i="11" s="1"/>
  <c r="O15" i="11" l="1"/>
  <c r="O14" i="11" s="1"/>
  <c r="C28" i="11"/>
  <c r="C29" i="11" s="1"/>
  <c r="C18" i="11"/>
  <c r="C19" i="11" s="1"/>
  <c r="C40" i="11"/>
  <c r="D19" i="11" l="1"/>
  <c r="J3" i="11" s="1"/>
  <c r="D41" i="11"/>
  <c r="D29" i="11"/>
  <c r="J4" i="11" s="1"/>
  <c r="C43" i="11"/>
  <c r="C41" i="11"/>
  <c r="J5" i="11" l="1"/>
  <c r="C21" i="11"/>
  <c r="D21" i="11" s="1"/>
  <c r="D43" i="11"/>
  <c r="C5" i="11"/>
  <c r="C31" i="11"/>
  <c r="C3" i="11" l="1"/>
  <c r="D31" i="11"/>
  <c r="C4" i="11"/>
  <c r="G4" i="11" l="1"/>
  <c r="G3" i="11"/>
  <c r="G5" i="11" l="1"/>
</calcChain>
</file>

<file path=xl/sharedStrings.xml><?xml version="1.0" encoding="utf-8"?>
<sst xmlns="http://schemas.openxmlformats.org/spreadsheetml/2006/main" count="128" uniqueCount="76">
  <si>
    <t>Bredde</t>
  </si>
  <si>
    <t>Påk.</t>
  </si>
  <si>
    <t>Aff</t>
  </si>
  <si>
    <t>lg</t>
  </si>
  <si>
    <t>br</t>
  </si>
  <si>
    <t>afv = lgf * cos(påk.br)</t>
  </si>
  <si>
    <t>distance</t>
  </si>
  <si>
    <t>Kurs</t>
  </si>
  <si>
    <t>dist = brf /cos(c)</t>
  </si>
  <si>
    <t>Påkommende</t>
  </si>
  <si>
    <t>Affarende</t>
  </si>
  <si>
    <t>Distance</t>
  </si>
  <si>
    <t>Middelbredde</t>
  </si>
  <si>
    <t>afvigning</t>
  </si>
  <si>
    <t>Merkatortrekant</t>
  </si>
  <si>
    <t>Grader</t>
  </si>
  <si>
    <t>Minutter</t>
  </si>
  <si>
    <t>Aff.</t>
  </si>
  <si>
    <t>lg.</t>
  </si>
  <si>
    <t>br.</t>
  </si>
  <si>
    <t>Lgf / Brf</t>
  </si>
  <si>
    <t>Længde</t>
  </si>
  <si>
    <t>sm</t>
  </si>
  <si>
    <t>grader</t>
  </si>
  <si>
    <t>kurs/afrundet</t>
  </si>
  <si>
    <t>Emne</t>
  </si>
  <si>
    <t>Påkommende sted</t>
  </si>
  <si>
    <t>Mbr = aff.br + Påk.br./2</t>
  </si>
  <si>
    <t>tan(C)r = lgf / voks.brf</t>
  </si>
  <si>
    <t>Voksende bredde</t>
  </si>
  <si>
    <t>dist = cos-1( sin(Ba) * sin(Bp) + cos(Ba) * cos(Bp) * cos(Lgf)) = 77,1046= 4626,3 sømil</t>
  </si>
  <si>
    <t>dist i sømil</t>
  </si>
  <si>
    <t>dist i grader</t>
  </si>
  <si>
    <t>Begyndelseskurs</t>
  </si>
  <si>
    <t>Storcirkel</t>
  </si>
  <si>
    <t>Br_grd</t>
  </si>
  <si>
    <t>Br_min</t>
  </si>
  <si>
    <t>Lg_grd</t>
  </si>
  <si>
    <t>Lg_min</t>
  </si>
  <si>
    <t>Scenario</t>
  </si>
  <si>
    <t>kurs</t>
  </si>
  <si>
    <t>Trekant m/middelbredde</t>
  </si>
  <si>
    <t>Trekant</t>
  </si>
  <si>
    <t>not used</t>
  </si>
  <si>
    <t>Bredde affarende (Ba)</t>
  </si>
  <si>
    <t>Bredde påkommende (Bp)</t>
  </si>
  <si>
    <t>længdeforandring (Lgf)</t>
  </si>
  <si>
    <t>Elementer</t>
  </si>
  <si>
    <t>Merkator</t>
  </si>
  <si>
    <t>Max</t>
  </si>
  <si>
    <t>Min</t>
  </si>
  <si>
    <t>Spread</t>
  </si>
  <si>
    <t>Position</t>
  </si>
  <si>
    <t xml:space="preserve"> -&gt; 60 sm</t>
  </si>
  <si>
    <t xml:space="preserve"> -&gt; 600 sm</t>
  </si>
  <si>
    <t xml:space="preserve"> alle distancer</t>
  </si>
  <si>
    <t>Trekant m/mbr</t>
  </si>
  <si>
    <t>=IF(M14&lt;0;180+DEGREES(ATAN((C18/M14)));DEGREES(ATAN((C18/M14))))</t>
  </si>
  <si>
    <t>Påk</t>
  </si>
  <si>
    <t>BG</t>
  </si>
  <si>
    <t>LG</t>
  </si>
  <si>
    <t>x</t>
  </si>
  <si>
    <t>y</t>
  </si>
  <si>
    <t>000-090</t>
  </si>
  <si>
    <t>091-180</t>
  </si>
  <si>
    <t>181-270</t>
  </si>
  <si>
    <t>271-360</t>
  </si>
  <si>
    <t>p</t>
  </si>
  <si>
    <t>m</t>
  </si>
  <si>
    <t>pp</t>
  </si>
  <si>
    <t>mm</t>
  </si>
  <si>
    <t>mp</t>
  </si>
  <si>
    <t>pm</t>
  </si>
  <si>
    <t>Y1-eks</t>
  </si>
  <si>
    <t>Y1-storcirkel</t>
  </si>
  <si>
    <t>anvendelse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</si>
</sst>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hh]\°mm\'ss.00\'\'"/>
    <numFmt numFmtId="168" formatCode="#,##0.0"/>
    <numFmt numFmtId="169" formatCode="0.0000"/>
    <numFmt numFmtId="171" formatCode="00.00"/>
    <numFmt numFmtId="172" formatCode="000"/>
    <numFmt numFmtId="173" formatCode="0.0"/>
    <numFmt numFmtId="174" formatCode="0.00000000000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0" xfId="0" applyBorder="1"/>
    <xf numFmtId="0" fontId="0" fillId="0" borderId="0" xfId="0" quotePrefix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/>
    <xf numFmtId="0" fontId="2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169" fontId="0" fillId="0" borderId="0" xfId="0" applyNumberFormat="1"/>
    <xf numFmtId="0" fontId="5" fillId="0" borderId="0" xfId="0" applyFont="1" applyFill="1"/>
    <xf numFmtId="0" fontId="0" fillId="0" borderId="0" xfId="0" applyAlignment="1">
      <alignment horizontal="left"/>
    </xf>
    <xf numFmtId="0" fontId="0" fillId="2" borderId="1" xfId="0" applyFill="1" applyBorder="1"/>
    <xf numFmtId="171" fontId="0" fillId="0" borderId="0" xfId="0" applyNumberFormat="1"/>
    <xf numFmtId="172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6" fillId="3" borderId="0" xfId="0" applyFont="1" applyFill="1"/>
    <xf numFmtId="173" fontId="0" fillId="0" borderId="0" xfId="0" applyNumberFormat="1"/>
    <xf numFmtId="0" fontId="0" fillId="0" borderId="4" xfId="0" applyBorder="1"/>
    <xf numFmtId="168" fontId="0" fillId="0" borderId="5" xfId="0" applyNumberFormat="1" applyBorder="1"/>
    <xf numFmtId="0" fontId="0" fillId="0" borderId="5" xfId="0" applyBorder="1"/>
    <xf numFmtId="0" fontId="0" fillId="0" borderId="7" xfId="0" applyBorder="1"/>
    <xf numFmtId="168" fontId="0" fillId="0" borderId="0" xfId="0" applyNumberFormat="1" applyBorder="1"/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1" fillId="0" borderId="0" xfId="0" applyFont="1" applyAlignment="1">
      <alignment horizontal="right"/>
    </xf>
    <xf numFmtId="1" fontId="1" fillId="0" borderId="0" xfId="0" applyNumberFormat="1" applyFont="1"/>
    <xf numFmtId="0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73" fontId="0" fillId="0" borderId="8" xfId="0" applyNumberFormat="1" applyBorder="1"/>
    <xf numFmtId="173" fontId="0" fillId="0" borderId="6" xfId="0" applyNumberFormat="1" applyBorder="1"/>
    <xf numFmtId="0" fontId="0" fillId="0" borderId="0" xfId="0" quotePrefix="1" applyNumberFormat="1"/>
    <xf numFmtId="174" fontId="0" fillId="0" borderId="0" xfId="0" applyNumberFormat="1" applyAlignment="1">
      <alignment horizontal="center"/>
    </xf>
    <xf numFmtId="0" fontId="0" fillId="0" borderId="6" xfId="0" applyBorder="1"/>
    <xf numFmtId="168" fontId="0" fillId="0" borderId="2" xfId="0" applyNumberFormat="1" applyBorder="1"/>
    <xf numFmtId="0" fontId="4" fillId="3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173" fontId="5" fillId="0" borderId="0" xfId="0" applyNumberFormat="1" applyFont="1"/>
    <xf numFmtId="0" fontId="9" fillId="0" borderId="0" xfId="0" applyFont="1"/>
    <xf numFmtId="0" fontId="0" fillId="5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542924</xdr:colOff>
      <xdr:row>0</xdr:row>
      <xdr:rowOff>85725</xdr:rowOff>
    </xdr:from>
    <xdr:to>
      <xdr:col>35</xdr:col>
      <xdr:colOff>389313</xdr:colOff>
      <xdr:row>24</xdr:row>
      <xdr:rowOff>75271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C5DB3B-10B8-44F9-9809-8F70F0B11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59699" y="85725"/>
          <a:ext cx="8266489" cy="4328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C7C8-A880-4AD2-8DB3-A9D035D886CA}">
  <sheetPr codeName="Sheet1">
    <outlinePr summaryBelow="0"/>
  </sheetPr>
  <dimension ref="A1:U70"/>
  <sheetViews>
    <sheetView showGridLines="0" tabSelected="1" workbookViewId="0">
      <selection activeCell="B1" sqref="B1"/>
    </sheetView>
  </sheetViews>
  <sheetFormatPr defaultRowHeight="14.25" outlineLevelRow="1" x14ac:dyDescent="0.45"/>
  <cols>
    <col min="2" max="2" width="24" customWidth="1"/>
    <col min="3" max="4" width="14.86328125" customWidth="1"/>
    <col min="5" max="5" width="8" customWidth="1"/>
    <col min="6" max="6" width="10.86328125" customWidth="1"/>
    <col min="8" max="8" width="1.86328125" customWidth="1"/>
    <col min="12" max="14" width="0" hidden="1" customWidth="1"/>
    <col min="15" max="15" width="19.86328125" hidden="1" customWidth="1"/>
    <col min="16" max="22" width="0" hidden="1" customWidth="1"/>
  </cols>
  <sheetData>
    <row r="1" spans="2:21" x14ac:dyDescent="0.45">
      <c r="B1" s="53" t="s">
        <v>74</v>
      </c>
    </row>
    <row r="2" spans="2:21" x14ac:dyDescent="0.45">
      <c r="C2" s="7" t="s">
        <v>6</v>
      </c>
      <c r="D2" t="s">
        <v>75</v>
      </c>
      <c r="J2" s="7" t="s">
        <v>40</v>
      </c>
    </row>
    <row r="3" spans="2:21" outlineLevel="1" x14ac:dyDescent="0.45">
      <c r="B3" s="26" t="s">
        <v>42</v>
      </c>
      <c r="C3" s="27">
        <f>+C21</f>
        <v>2746.2112590083839</v>
      </c>
      <c r="D3" s="43" t="s">
        <v>53</v>
      </c>
      <c r="E3" s="28"/>
      <c r="F3" s="28" t="s">
        <v>49</v>
      </c>
      <c r="G3" s="27">
        <f>(MAX(C3,C4,C5,C6))</f>
        <v>2746.2112590083839</v>
      </c>
      <c r="H3" s="28"/>
      <c r="I3" s="28"/>
      <c r="J3" s="40">
        <f>D19</f>
        <v>257.70270006565545</v>
      </c>
      <c r="R3" t="s">
        <v>59</v>
      </c>
      <c r="S3" t="s">
        <v>60</v>
      </c>
    </row>
    <row r="4" spans="2:21" outlineLevel="1" x14ac:dyDescent="0.45">
      <c r="B4" s="29" t="s">
        <v>56</v>
      </c>
      <c r="C4" s="30">
        <f>+C31</f>
        <v>2661.5625776314419</v>
      </c>
      <c r="D4" s="31" t="s">
        <v>54</v>
      </c>
      <c r="E4" s="3"/>
      <c r="F4" s="3" t="s">
        <v>50</v>
      </c>
      <c r="G4" s="30">
        <f>(MIN(C3,C4,C5,C6))</f>
        <v>2644.57559715769</v>
      </c>
      <c r="H4" s="3"/>
      <c r="I4" s="3"/>
      <c r="J4" s="39">
        <f>D29</f>
        <v>257.305173121726</v>
      </c>
      <c r="R4" t="s">
        <v>61</v>
      </c>
      <c r="S4" t="s">
        <v>62</v>
      </c>
    </row>
    <row r="5" spans="2:21" outlineLevel="1" x14ac:dyDescent="0.45">
      <c r="B5" s="29" t="s">
        <v>48</v>
      </c>
      <c r="C5" s="30">
        <f>+C43</f>
        <v>2671.4457933073231</v>
      </c>
      <c r="D5" s="31" t="s">
        <v>55</v>
      </c>
      <c r="E5" s="3"/>
      <c r="F5" s="3" t="s">
        <v>51</v>
      </c>
      <c r="G5" s="30">
        <f>G3-G4</f>
        <v>101.63566185069385</v>
      </c>
      <c r="H5" s="3"/>
      <c r="I5" s="3"/>
      <c r="J5" s="39">
        <f>D41</f>
        <v>257.35291805402466</v>
      </c>
      <c r="Q5" s="4" t="s">
        <v>63</v>
      </c>
      <c r="R5" t="s">
        <v>67</v>
      </c>
      <c r="S5" t="s">
        <v>67</v>
      </c>
      <c r="T5" t="s">
        <v>69</v>
      </c>
      <c r="U5">
        <v>0</v>
      </c>
    </row>
    <row r="6" spans="2:21" outlineLevel="1" x14ac:dyDescent="0.45">
      <c r="B6" s="32" t="s">
        <v>34</v>
      </c>
      <c r="C6" s="44">
        <f>+C62</f>
        <v>2644.57559715769</v>
      </c>
      <c r="D6" s="34" t="s">
        <v>55</v>
      </c>
      <c r="E6" s="3"/>
      <c r="F6" s="3"/>
      <c r="G6" s="3"/>
      <c r="H6" s="3"/>
      <c r="I6" s="3"/>
      <c r="J6" s="31"/>
      <c r="Q6" s="4" t="s">
        <v>64</v>
      </c>
      <c r="R6" t="s">
        <v>68</v>
      </c>
      <c r="S6" t="s">
        <v>67</v>
      </c>
      <c r="T6" t="s">
        <v>71</v>
      </c>
      <c r="U6">
        <v>180</v>
      </c>
    </row>
    <row r="7" spans="2:21" outlineLevel="1" x14ac:dyDescent="0.45">
      <c r="B7" s="32"/>
      <c r="C7" s="33"/>
      <c r="D7" s="33"/>
      <c r="E7" s="33"/>
      <c r="F7" s="33"/>
      <c r="G7" s="33"/>
      <c r="H7" s="33"/>
      <c r="I7" s="33"/>
      <c r="J7" s="34"/>
      <c r="Q7" s="4" t="s">
        <v>65</v>
      </c>
      <c r="R7" t="s">
        <v>68</v>
      </c>
      <c r="S7" t="s">
        <v>68</v>
      </c>
      <c r="T7" t="s">
        <v>70</v>
      </c>
      <c r="U7">
        <v>180</v>
      </c>
    </row>
    <row r="8" spans="2:21" x14ac:dyDescent="0.45">
      <c r="Q8" s="4" t="s">
        <v>66</v>
      </c>
      <c r="R8" t="s">
        <v>67</v>
      </c>
      <c r="S8" t="s">
        <v>68</v>
      </c>
      <c r="T8" t="s">
        <v>72</v>
      </c>
      <c r="U8">
        <v>360</v>
      </c>
    </row>
    <row r="9" spans="2:21" x14ac:dyDescent="0.45">
      <c r="B9" s="45" t="s">
        <v>52</v>
      </c>
      <c r="C9" s="45"/>
      <c r="D9" s="45"/>
      <c r="F9" s="45" t="s">
        <v>21</v>
      </c>
      <c r="G9" s="45"/>
      <c r="H9" s="7"/>
      <c r="I9" s="45" t="s">
        <v>0</v>
      </c>
      <c r="J9" s="45"/>
      <c r="K9" s="7"/>
      <c r="L9" s="46" t="s">
        <v>16</v>
      </c>
      <c r="M9" s="46"/>
    </row>
    <row r="10" spans="2:21" x14ac:dyDescent="0.45">
      <c r="B10" s="10" t="s">
        <v>25</v>
      </c>
      <c r="C10" s="11" t="s">
        <v>18</v>
      </c>
      <c r="D10" s="11" t="s">
        <v>19</v>
      </c>
      <c r="F10" s="11" t="s">
        <v>15</v>
      </c>
      <c r="G10" s="11" t="s">
        <v>16</v>
      </c>
      <c r="H10" s="7"/>
      <c r="I10" s="11" t="s">
        <v>15</v>
      </c>
      <c r="J10" s="11" t="s">
        <v>16</v>
      </c>
      <c r="K10" s="7"/>
      <c r="L10" s="12" t="s">
        <v>3</v>
      </c>
      <c r="M10" s="12" t="s">
        <v>4</v>
      </c>
    </row>
    <row r="12" spans="2:21" x14ac:dyDescent="0.45">
      <c r="B12" t="s">
        <v>1</v>
      </c>
      <c r="C12" s="6">
        <f>L12/60/24</f>
        <v>-2.7104166666666667</v>
      </c>
      <c r="D12" s="6">
        <f>M12/60/24</f>
        <v>0.77756944444444454</v>
      </c>
      <c r="F12" s="18">
        <f>VLOOKUP($B$1,db!$A$2:$M$148,11,FALSE)</f>
        <v>-65</v>
      </c>
      <c r="G12" s="17">
        <f>VLOOKUP($B$1,db!$A$2:$M$148,12,FALSE)</f>
        <v>-3</v>
      </c>
      <c r="I12">
        <f>VLOOKUP($B$1,db!$A$2:$M$148,8,FALSE)</f>
        <v>18</v>
      </c>
      <c r="J12" s="17">
        <f>VLOOKUP($B$1,db!$A$2:$M$148,9,FALSE)</f>
        <v>39.700000000000003</v>
      </c>
      <c r="L12">
        <f>F12*60+G12</f>
        <v>-3903</v>
      </c>
      <c r="M12">
        <f>I12*60+J12</f>
        <v>1119.7</v>
      </c>
    </row>
    <row r="13" spans="2:21" x14ac:dyDescent="0.45">
      <c r="B13" t="s">
        <v>17</v>
      </c>
      <c r="C13" s="6">
        <f>L13/60/24</f>
        <v>-0.74368055555555568</v>
      </c>
      <c r="D13" s="6">
        <f>M13/60/24</f>
        <v>1.1837500000000001</v>
      </c>
      <c r="F13" s="18">
        <f>VLOOKUP($B$1,db!$A$2:$M$148,5,FALSE)</f>
        <v>-17</v>
      </c>
      <c r="G13" s="17">
        <f>VLOOKUP($B$1,db!$A$2:$M$148,6,FALSE)</f>
        <v>-50.9</v>
      </c>
      <c r="I13">
        <f>VLOOKUP($B$1,db!$A$2:$M$148,2,FALSE)</f>
        <v>28</v>
      </c>
      <c r="J13" s="17">
        <f>VLOOKUP($B$1,db!$A$2:$M$148,3,FALSE)</f>
        <v>24.6</v>
      </c>
      <c r="L13">
        <f>F13*60+G13</f>
        <v>-1070.9000000000001</v>
      </c>
      <c r="M13">
        <f>I13*60+J13</f>
        <v>1704.6</v>
      </c>
    </row>
    <row r="14" spans="2:21" x14ac:dyDescent="0.45">
      <c r="B14" t="s">
        <v>20</v>
      </c>
      <c r="C14" s="25">
        <f>(F13+G13/100/0.6)-(F12+G12/100/0.6)</f>
        <v>47.201666666666668</v>
      </c>
      <c r="L14">
        <f>L12-L13</f>
        <v>-2832.1</v>
      </c>
      <c r="M14">
        <f>M12-M13</f>
        <v>-584.89999999999986</v>
      </c>
      <c r="O14" s="5">
        <f>VLOOKUP(O15,T5:U8,2,FALSE)</f>
        <v>180</v>
      </c>
    </row>
    <row r="15" spans="2:21" x14ac:dyDescent="0.45">
      <c r="L15" s="35" t="str">
        <f>IF(L14&lt;0,"m","p")</f>
        <v>m</v>
      </c>
      <c r="M15" s="35" t="str">
        <f>IF(M14&lt;0,"m","p")</f>
        <v>m</v>
      </c>
      <c r="N15" s="35"/>
      <c r="O15" s="35" t="str">
        <f>CONCATENATE(M15,L15)</f>
        <v>mm</v>
      </c>
    </row>
    <row r="16" spans="2:21" x14ac:dyDescent="0.45">
      <c r="B16" s="24" t="s">
        <v>42</v>
      </c>
      <c r="C16" s="24"/>
    </row>
    <row r="17" spans="2:15" outlineLevel="1" x14ac:dyDescent="0.45">
      <c r="B17" s="9" t="s">
        <v>7</v>
      </c>
    </row>
    <row r="18" spans="2:15" outlineLevel="1" x14ac:dyDescent="0.45">
      <c r="B18" t="s">
        <v>13</v>
      </c>
      <c r="C18">
        <f>L14*COS(RADIANS(I12+J12/60))</f>
        <v>-2683.2011234911943</v>
      </c>
      <c r="E18" t="s">
        <v>22</v>
      </c>
      <c r="O18" t="s">
        <v>5</v>
      </c>
    </row>
    <row r="19" spans="2:15" outlineLevel="1" x14ac:dyDescent="0.45">
      <c r="B19" t="s">
        <v>40</v>
      </c>
      <c r="C19">
        <f>DEGREES(ATAN((C18/M14)))</f>
        <v>77.702700065655478</v>
      </c>
      <c r="D19" s="36">
        <f>O14+C19</f>
        <v>257.70270006565545</v>
      </c>
      <c r="E19" t="s">
        <v>23</v>
      </c>
      <c r="F19" s="36"/>
      <c r="O19" s="4" t="s">
        <v>57</v>
      </c>
    </row>
    <row r="20" spans="2:15" ht="6" customHeight="1" outlineLevel="1" x14ac:dyDescent="0.45"/>
    <row r="21" spans="2:15" outlineLevel="1" x14ac:dyDescent="0.45">
      <c r="B21" s="9" t="s">
        <v>11</v>
      </c>
      <c r="C21">
        <f>ABS(M14/COS(RADIANS(C19)))</f>
        <v>2746.2112590083839</v>
      </c>
      <c r="D21">
        <f>ABS(ROUND(C21,1))</f>
        <v>2746.2</v>
      </c>
      <c r="E21" t="s">
        <v>22</v>
      </c>
      <c r="O21" t="s">
        <v>8</v>
      </c>
    </row>
    <row r="22" spans="2:15" outlineLevel="1" x14ac:dyDescent="0.45">
      <c r="B22" s="9" t="s">
        <v>26</v>
      </c>
    </row>
    <row r="24" spans="2:15" x14ac:dyDescent="0.45">
      <c r="B24" s="24" t="s">
        <v>41</v>
      </c>
      <c r="C24" s="24"/>
    </row>
    <row r="25" spans="2:15" outlineLevel="1" x14ac:dyDescent="0.45">
      <c r="B25" s="9" t="s">
        <v>12</v>
      </c>
      <c r="C25" s="14">
        <f>(M12+M13)/2</f>
        <v>1412.15</v>
      </c>
      <c r="D25" s="13">
        <f>+C25/60</f>
        <v>23.535833333333336</v>
      </c>
      <c r="O25" t="s">
        <v>27</v>
      </c>
    </row>
    <row r="26" spans="2:15" ht="6.75" customHeight="1" outlineLevel="1" x14ac:dyDescent="0.45">
      <c r="B26" s="2"/>
    </row>
    <row r="27" spans="2:15" outlineLevel="1" x14ac:dyDescent="0.45">
      <c r="B27" s="9" t="s">
        <v>7</v>
      </c>
    </row>
    <row r="28" spans="2:15" outlineLevel="1" x14ac:dyDescent="0.45">
      <c r="B28" t="s">
        <v>13</v>
      </c>
      <c r="C28">
        <f>-L14*COS(RADIANS(D25))</f>
        <v>2596.499055391339</v>
      </c>
      <c r="E28" t="s">
        <v>22</v>
      </c>
      <c r="O28" t="s">
        <v>5</v>
      </c>
    </row>
    <row r="29" spans="2:15" outlineLevel="1" x14ac:dyDescent="0.45">
      <c r="B29" t="s">
        <v>24</v>
      </c>
      <c r="C29">
        <f>DEGREES(ATAN((C28/M14)))</f>
        <v>-77.305173121726014</v>
      </c>
      <c r="D29" s="36">
        <f>O14-C29</f>
        <v>257.305173121726</v>
      </c>
      <c r="E29" t="s">
        <v>23</v>
      </c>
    </row>
    <row r="30" spans="2:15" ht="6" customHeight="1" outlineLevel="1" x14ac:dyDescent="0.45"/>
    <row r="31" spans="2:15" outlineLevel="1" x14ac:dyDescent="0.45">
      <c r="B31" s="9" t="s">
        <v>11</v>
      </c>
      <c r="C31">
        <f>ABS(M14/COS(RADIANS(C29)))</f>
        <v>2661.5625776314419</v>
      </c>
      <c r="D31">
        <f>ABS(ROUND(C31,1))</f>
        <v>2661.6</v>
      </c>
      <c r="E31" t="s">
        <v>22</v>
      </c>
      <c r="O31" t="s">
        <v>8</v>
      </c>
    </row>
    <row r="32" spans="2:15" outlineLevel="1" x14ac:dyDescent="0.45">
      <c r="B32" s="9" t="s">
        <v>26</v>
      </c>
    </row>
    <row r="34" spans="2:15" x14ac:dyDescent="0.45">
      <c r="B34" s="24" t="s">
        <v>14</v>
      </c>
      <c r="C34" s="24"/>
    </row>
    <row r="35" spans="2:15" outlineLevel="1" x14ac:dyDescent="0.45">
      <c r="B35" s="9" t="s">
        <v>29</v>
      </c>
      <c r="D35" s="47">
        <f>C36-C37</f>
        <v>-635.49331550011175</v>
      </c>
    </row>
    <row r="36" spans="2:15" outlineLevel="1" x14ac:dyDescent="0.45">
      <c r="B36" t="s">
        <v>1</v>
      </c>
      <c r="C36">
        <f>3437.746771*LN((((1-0.0813*SIN(RADIANS(I12+J12/100/0.6)))/(1+0.0813*SIN(RADIANS(I12+J12/100/0.6))))^(0.0813/2))*TAN(RADIANS(45+(I12+J12/100/0.6)/2)))</f>
        <v>1132.7667453335182</v>
      </c>
    </row>
    <row r="37" spans="2:15" outlineLevel="1" x14ac:dyDescent="0.45">
      <c r="B37" t="s">
        <v>2</v>
      </c>
      <c r="C37">
        <f>3437.746771*LN((((1-0.0813*SIN(RADIANS(I13+J13/100/0.6)))/(1+0.0813*SIN(RADIANS(I13+J13/100/0.6))))^(0.0813/2))*TAN(RADIANS(45+(I13+J13/100/0.6)/2)))</f>
        <v>1768.26006083363</v>
      </c>
    </row>
    <row r="38" spans="2:15" ht="8.25" customHeight="1" outlineLevel="1" x14ac:dyDescent="0.45"/>
    <row r="39" spans="2:15" outlineLevel="1" x14ac:dyDescent="0.45">
      <c r="B39" s="9" t="s">
        <v>7</v>
      </c>
    </row>
    <row r="40" spans="2:15" outlineLevel="1" x14ac:dyDescent="0.45">
      <c r="B40" t="s">
        <v>23</v>
      </c>
      <c r="C40">
        <f>DEGREES(ATAN(L14/D35))</f>
        <v>77.352918054024641</v>
      </c>
      <c r="O40" t="s">
        <v>28</v>
      </c>
    </row>
    <row r="41" spans="2:15" outlineLevel="1" x14ac:dyDescent="0.45">
      <c r="B41" t="s">
        <v>24</v>
      </c>
      <c r="C41">
        <f>180+C40</f>
        <v>257.35291805402466</v>
      </c>
      <c r="D41" s="36">
        <f>O14+C40</f>
        <v>257.35291805402466</v>
      </c>
      <c r="E41" t="s">
        <v>23</v>
      </c>
    </row>
    <row r="42" spans="2:15" ht="7.5" customHeight="1" outlineLevel="1" x14ac:dyDescent="0.45"/>
    <row r="43" spans="2:15" outlineLevel="1" x14ac:dyDescent="0.45">
      <c r="B43" s="9" t="s">
        <v>11</v>
      </c>
      <c r="C43">
        <f>ABS(M14/COS(RADIANS(C40)))</f>
        <v>2671.4457933073231</v>
      </c>
      <c r="D43" s="48">
        <f>ABS(ROUND(C43,1))</f>
        <v>2671.4</v>
      </c>
      <c r="E43" s="48" t="s">
        <v>22</v>
      </c>
      <c r="O43" t="s">
        <v>8</v>
      </c>
    </row>
    <row r="44" spans="2:15" outlineLevel="1" x14ac:dyDescent="0.45">
      <c r="B44" s="9" t="s">
        <v>26</v>
      </c>
    </row>
    <row r="46" spans="2:15" x14ac:dyDescent="0.45">
      <c r="B46" s="24" t="s">
        <v>34</v>
      </c>
      <c r="C46" s="24"/>
    </row>
    <row r="47" spans="2:15" outlineLevel="1" x14ac:dyDescent="0.45"/>
    <row r="48" spans="2:15" hidden="1" outlineLevel="1" x14ac:dyDescent="0.45">
      <c r="B48" s="9" t="s">
        <v>29</v>
      </c>
    </row>
    <row r="49" spans="1:15" hidden="1" outlineLevel="1" x14ac:dyDescent="0.45">
      <c r="B49" t="s">
        <v>1</v>
      </c>
      <c r="C49">
        <f>3437.746771*LN((((1-0.0813*SIN(RADIANS(I12+J12/100/0.6)))/(1+0.0813*SIN(RADIANS(I12+J12/100/0.6))))^(0.0813/2))*TAN(RADIANS(45+(I12+J12/100/0.6)/2)))</f>
        <v>1132.7667453335182</v>
      </c>
      <c r="D49" t="s">
        <v>43</v>
      </c>
    </row>
    <row r="50" spans="1:15" hidden="1" outlineLevel="1" x14ac:dyDescent="0.45">
      <c r="B50" t="s">
        <v>2</v>
      </c>
      <c r="C50">
        <f>3437.746771*LN((((1-0.0813*SIN(RADIANS(I13+J13/100/0.6)))/(1+0.0813*SIN(RADIANS(I13+J13/100/0.6))))^(0.0813/2))*TAN(RADIANS(45+(I13+J13/100/0.6)/2)))</f>
        <v>1768.26006083363</v>
      </c>
      <c r="D50" t="s">
        <v>43</v>
      </c>
    </row>
    <row r="51" spans="1:15" s="48" customFormat="1" hidden="1" outlineLevel="1" x14ac:dyDescent="0.45"/>
    <row r="52" spans="1:15" s="48" customFormat="1" hidden="1" outlineLevel="1" x14ac:dyDescent="0.45">
      <c r="B52" s="49" t="s">
        <v>47</v>
      </c>
    </row>
    <row r="53" spans="1:15" s="48" customFormat="1" hidden="1" outlineLevel="1" x14ac:dyDescent="0.45">
      <c r="A53" s="50"/>
      <c r="B53" s="48" t="s">
        <v>44</v>
      </c>
      <c r="C53" s="48">
        <f>+I12+(J12/60)</f>
        <v>18.661666666666665</v>
      </c>
    </row>
    <row r="54" spans="1:15" s="48" customFormat="1" hidden="1" outlineLevel="1" x14ac:dyDescent="0.45">
      <c r="A54" s="50"/>
      <c r="B54" s="48" t="s">
        <v>45</v>
      </c>
      <c r="C54" s="48">
        <f>+I13+(J13/60)</f>
        <v>28.41</v>
      </c>
    </row>
    <row r="55" spans="1:15" s="48" customFormat="1" hidden="1" outlineLevel="1" x14ac:dyDescent="0.45">
      <c r="A55" s="50"/>
      <c r="B55" s="48" t="s">
        <v>46</v>
      </c>
      <c r="C55" s="51">
        <f>C14</f>
        <v>47.201666666666668</v>
      </c>
    </row>
    <row r="56" spans="1:15" s="48" customFormat="1" hidden="1" outlineLevel="1" x14ac:dyDescent="0.45"/>
    <row r="57" spans="1:15" s="48" customFormat="1" hidden="1" outlineLevel="1" x14ac:dyDescent="0.45">
      <c r="B57" s="49" t="s">
        <v>33</v>
      </c>
      <c r="O57" s="48" t="s">
        <v>28</v>
      </c>
    </row>
    <row r="58" spans="1:15" s="48" customFormat="1" hidden="1" outlineLevel="1" x14ac:dyDescent="0.45">
      <c r="B58" s="48" t="s">
        <v>24</v>
      </c>
    </row>
    <row r="59" spans="1:15" s="48" customFormat="1" hidden="1" outlineLevel="1" x14ac:dyDescent="0.45"/>
    <row r="60" spans="1:15" s="48" customFormat="1" outlineLevel="1" x14ac:dyDescent="0.45">
      <c r="B60" s="52" t="s">
        <v>11</v>
      </c>
      <c r="O60" s="48" t="s">
        <v>30</v>
      </c>
    </row>
    <row r="61" spans="1:15" s="48" customFormat="1" outlineLevel="1" x14ac:dyDescent="0.45">
      <c r="B61" s="48" t="s">
        <v>32</v>
      </c>
      <c r="C61" s="48">
        <f>DEGREES(ACOS(SIN(RADIANS(C53))*SIN(RADIANS(C54))+COS(RADIANS(C53))*COS(RADIANS(C54))*COS(RADIANS(C55))))</f>
        <v>44.07625995262817</v>
      </c>
      <c r="D61" s="48" t="s">
        <v>23</v>
      </c>
    </row>
    <row r="62" spans="1:15" s="48" customFormat="1" outlineLevel="1" x14ac:dyDescent="0.45">
      <c r="B62" s="48" t="s">
        <v>31</v>
      </c>
      <c r="C62" s="48">
        <f>C61*60</f>
        <v>2644.57559715769</v>
      </c>
      <c r="D62" s="48" t="s">
        <v>22</v>
      </c>
    </row>
    <row r="63" spans="1:15" s="48" customFormat="1" outlineLevel="1" x14ac:dyDescent="0.45"/>
    <row r="64" spans="1:15" s="48" customFormat="1" hidden="1" outlineLevel="1" x14ac:dyDescent="0.45">
      <c r="B64" s="49" t="s">
        <v>26</v>
      </c>
    </row>
    <row r="65" spans="2:21" s="48" customFormat="1" hidden="1" outlineLevel="1" x14ac:dyDescent="0.45"/>
    <row r="66" spans="2:21" s="48" customFormat="1" outlineLevel="1" x14ac:dyDescent="0.45"/>
    <row r="67" spans="2:21" s="48" customFormat="1" x14ac:dyDescent="0.45"/>
    <row r="68" spans="2:21" s="48" customFormat="1" x14ac:dyDescent="0.45"/>
    <row r="69" spans="2:21" x14ac:dyDescent="0.45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</row>
    <row r="70" spans="2:21" x14ac:dyDescent="0.45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</row>
  </sheetData>
  <sheetProtection algorithmName="SHA-512" hashValue="7cHmD79v91N1a+fuMRd6TG12zpYhCgfR1ZvciVLOMUBSlKn3O8ApDBn6+nkfyqgo7Et1a4T7GxKjY4hE0Yz0Gg==" saltValue="kn94UA5PHX5GN/0vUAVKdQ==" spinCount="100000" sheet="1" objects="1" scenarios="1"/>
  <mergeCells count="4">
    <mergeCell ref="B9:D9"/>
    <mergeCell ref="F9:G9"/>
    <mergeCell ref="I9:J9"/>
    <mergeCell ref="L9:M9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39E655-BD1A-480C-9813-52C44204B402}">
          <x14:formula1>
            <xm:f>db!$A$3:$A$4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B4F66-C2D5-46F9-BD76-9AA6EFBFA098}">
  <dimension ref="A1:R148"/>
  <sheetViews>
    <sheetView workbookViewId="0">
      <pane ySplit="2" topLeftCell="A3" activePane="bottomLeft" state="frozen"/>
      <selection pane="bottomLeft"/>
    </sheetView>
  </sheetViews>
  <sheetFormatPr defaultRowHeight="14.25" x14ac:dyDescent="0.45"/>
  <cols>
    <col min="1" max="1" width="24.86328125" customWidth="1"/>
    <col min="2" max="3" width="13.1328125" style="8" customWidth="1"/>
    <col min="4" max="4" width="16.265625" style="8" bestFit="1" customWidth="1"/>
    <col min="5" max="5" width="16.9296875" style="8" bestFit="1" customWidth="1"/>
    <col min="6" max="6" width="13.1328125" style="8" customWidth="1"/>
    <col min="7" max="7" width="16.9296875" style="8" bestFit="1" customWidth="1"/>
    <col min="8" max="8" width="13.1328125" style="8" customWidth="1"/>
    <col min="9" max="9" width="14.53125" style="8" customWidth="1"/>
    <col min="10" max="10" width="16.265625" style="8" bestFit="1" customWidth="1"/>
    <col min="13" max="13" width="16.9296875" bestFit="1" customWidth="1"/>
    <col min="15" max="18" width="13.1328125" style="19" customWidth="1"/>
    <col min="19" max="20" width="11.59765625" bestFit="1" customWidth="1"/>
  </cols>
  <sheetData>
    <row r="1" spans="1:18" x14ac:dyDescent="0.45">
      <c r="B1" s="20" t="s">
        <v>10</v>
      </c>
      <c r="C1" s="20"/>
      <c r="D1" s="20"/>
      <c r="E1" s="21"/>
      <c r="F1" s="21"/>
      <c r="G1" s="21"/>
      <c r="H1" s="20" t="s">
        <v>9</v>
      </c>
      <c r="I1" s="20"/>
      <c r="J1" s="21"/>
      <c r="O1" s="15" t="s">
        <v>2</v>
      </c>
      <c r="Q1" s="15" t="s">
        <v>58</v>
      </c>
    </row>
    <row r="2" spans="1:18" x14ac:dyDescent="0.45">
      <c r="A2" s="16" t="s">
        <v>39</v>
      </c>
      <c r="B2" s="22" t="s">
        <v>35</v>
      </c>
      <c r="C2" s="23" t="s">
        <v>36</v>
      </c>
      <c r="D2" s="23"/>
      <c r="E2" s="23" t="s">
        <v>37</v>
      </c>
      <c r="F2" s="23" t="s">
        <v>38</v>
      </c>
      <c r="G2" s="23"/>
      <c r="H2" s="22" t="s">
        <v>35</v>
      </c>
      <c r="I2" s="23" t="s">
        <v>36</v>
      </c>
      <c r="J2" s="23"/>
      <c r="K2" s="23" t="s">
        <v>37</v>
      </c>
      <c r="L2" s="23" t="s">
        <v>38</v>
      </c>
      <c r="M2" s="23"/>
      <c r="O2" s="19" t="s">
        <v>0</v>
      </c>
      <c r="P2" s="37" t="s">
        <v>21</v>
      </c>
      <c r="Q2" s="19" t="s">
        <v>0</v>
      </c>
      <c r="R2" s="37" t="s">
        <v>21</v>
      </c>
    </row>
    <row r="3" spans="1:18" x14ac:dyDescent="0.45">
      <c r="A3" s="1" t="s">
        <v>73</v>
      </c>
      <c r="B3" s="8">
        <v>50</v>
      </c>
      <c r="C3" s="8">
        <v>7.1</v>
      </c>
      <c r="D3" s="42">
        <f>C3/60+B3</f>
        <v>50.118333333333332</v>
      </c>
      <c r="E3" s="8">
        <v>-2</v>
      </c>
      <c r="F3" s="8">
        <v>-60</v>
      </c>
      <c r="G3" s="42">
        <f>F3/60+E3</f>
        <v>-3</v>
      </c>
      <c r="H3" s="8">
        <v>49</v>
      </c>
      <c r="I3" s="8">
        <v>4</v>
      </c>
      <c r="J3" s="42">
        <f>I3/60+H3</f>
        <v>49.06666666666667</v>
      </c>
      <c r="K3">
        <v>-5</v>
      </c>
      <c r="L3">
        <v>-52</v>
      </c>
      <c r="M3" s="42">
        <f>L3/60+K3</f>
        <v>-5.8666666666666671</v>
      </c>
      <c r="O3" s="38">
        <f t="shared" ref="O3" si="0">D3/24</f>
        <v>2.0882638888888887</v>
      </c>
      <c r="P3" s="38">
        <f t="shared" ref="P3" si="1">G3/24</f>
        <v>-0.125</v>
      </c>
      <c r="Q3" s="38">
        <f t="shared" ref="Q3" si="2">J3/24</f>
        <v>2.0444444444444447</v>
      </c>
      <c r="R3" s="38">
        <f t="shared" ref="R3" si="3">M3/24</f>
        <v>-0.24444444444444446</v>
      </c>
    </row>
    <row r="4" spans="1:18" x14ac:dyDescent="0.45">
      <c r="A4" s="1" t="s">
        <v>74</v>
      </c>
      <c r="B4" s="8">
        <v>28</v>
      </c>
      <c r="C4" s="8">
        <v>24.6</v>
      </c>
      <c r="D4" s="42">
        <f>C4/60+B4</f>
        <v>28.41</v>
      </c>
      <c r="E4" s="8">
        <v>-17</v>
      </c>
      <c r="F4" s="8">
        <v>-50.9</v>
      </c>
      <c r="G4" s="42">
        <f>F4/60+E4</f>
        <v>-17.848333333333333</v>
      </c>
      <c r="H4" s="8">
        <v>18</v>
      </c>
      <c r="I4" s="8">
        <v>39.700000000000003</v>
      </c>
      <c r="J4" s="42">
        <f>I4/60+H4</f>
        <v>18.661666666666665</v>
      </c>
      <c r="K4">
        <v>-65</v>
      </c>
      <c r="L4">
        <v>-3</v>
      </c>
      <c r="M4" s="42">
        <f>L4/60+K4</f>
        <v>-65.05</v>
      </c>
      <c r="O4" s="38">
        <f t="shared" ref="O4" si="4">D4/24</f>
        <v>1.1837500000000001</v>
      </c>
      <c r="P4" s="38">
        <f t="shared" ref="P4" si="5">G4/24</f>
        <v>-0.74368055555555557</v>
      </c>
      <c r="Q4" s="38">
        <f t="shared" ref="Q4" si="6">J4/24</f>
        <v>0.77756944444444442</v>
      </c>
      <c r="R4" s="38">
        <f t="shared" ref="R4" si="7">M4/24</f>
        <v>-2.7104166666666667</v>
      </c>
    </row>
    <row r="5" spans="1:18" x14ac:dyDescent="0.45">
      <c r="A5" s="1"/>
      <c r="D5" s="41"/>
      <c r="G5" s="41"/>
      <c r="J5" s="41"/>
      <c r="M5" s="41"/>
    </row>
    <row r="6" spans="1:18" x14ac:dyDescent="0.45">
      <c r="A6" s="1"/>
    </row>
    <row r="7" spans="1:18" x14ac:dyDescent="0.45">
      <c r="A7" s="1"/>
    </row>
    <row r="8" spans="1:18" x14ac:dyDescent="0.45">
      <c r="A8" s="1"/>
    </row>
    <row r="9" spans="1:18" x14ac:dyDescent="0.45">
      <c r="A9" s="1"/>
    </row>
    <row r="10" spans="1:18" x14ac:dyDescent="0.45">
      <c r="A10" s="1"/>
    </row>
    <row r="11" spans="1:18" x14ac:dyDescent="0.45">
      <c r="A11" s="1"/>
    </row>
    <row r="12" spans="1:18" x14ac:dyDescent="0.45">
      <c r="A12" s="1"/>
    </row>
    <row r="13" spans="1:18" x14ac:dyDescent="0.45">
      <c r="A13" s="1"/>
    </row>
    <row r="14" spans="1:18" x14ac:dyDescent="0.45">
      <c r="A14" s="1"/>
    </row>
    <row r="15" spans="1:18" x14ac:dyDescent="0.45">
      <c r="A15" s="1"/>
    </row>
    <row r="16" spans="1:18" x14ac:dyDescent="0.45">
      <c r="A16" s="1"/>
    </row>
    <row r="17" spans="1:1" x14ac:dyDescent="0.45">
      <c r="A17" s="1"/>
    </row>
    <row r="18" spans="1:1" x14ac:dyDescent="0.45">
      <c r="A18" s="1"/>
    </row>
    <row r="19" spans="1:1" x14ac:dyDescent="0.45">
      <c r="A19" s="1"/>
    </row>
    <row r="20" spans="1:1" x14ac:dyDescent="0.45">
      <c r="A20" s="1"/>
    </row>
    <row r="21" spans="1:1" x14ac:dyDescent="0.45">
      <c r="A21" s="1"/>
    </row>
    <row r="22" spans="1:1" x14ac:dyDescent="0.45">
      <c r="A22" s="1"/>
    </row>
    <row r="23" spans="1:1" x14ac:dyDescent="0.45">
      <c r="A23" s="1"/>
    </row>
    <row r="24" spans="1:1" x14ac:dyDescent="0.45">
      <c r="A24" s="1"/>
    </row>
    <row r="25" spans="1:1" x14ac:dyDescent="0.45">
      <c r="A25" s="1"/>
    </row>
    <row r="26" spans="1:1" x14ac:dyDescent="0.45">
      <c r="A26" s="1"/>
    </row>
    <row r="27" spans="1:1" x14ac:dyDescent="0.45">
      <c r="A27" s="1"/>
    </row>
    <row r="28" spans="1:1" x14ac:dyDescent="0.45">
      <c r="A28" s="1"/>
    </row>
    <row r="29" spans="1:1" x14ac:dyDescent="0.45">
      <c r="A29" s="1"/>
    </row>
    <row r="30" spans="1:1" x14ac:dyDescent="0.45">
      <c r="A30" s="1"/>
    </row>
    <row r="31" spans="1:1" x14ac:dyDescent="0.45">
      <c r="A31" s="1"/>
    </row>
    <row r="32" spans="1:1" x14ac:dyDescent="0.45">
      <c r="A32" s="1"/>
    </row>
    <row r="33" spans="1:1" x14ac:dyDescent="0.45">
      <c r="A33" s="1"/>
    </row>
    <row r="34" spans="1:1" x14ac:dyDescent="0.45">
      <c r="A34" s="1"/>
    </row>
    <row r="35" spans="1:1" x14ac:dyDescent="0.45">
      <c r="A35" s="1"/>
    </row>
    <row r="36" spans="1:1" x14ac:dyDescent="0.45">
      <c r="A36" s="1"/>
    </row>
    <row r="37" spans="1:1" x14ac:dyDescent="0.45">
      <c r="A37" s="1"/>
    </row>
    <row r="38" spans="1:1" x14ac:dyDescent="0.45">
      <c r="A38" s="1"/>
    </row>
    <row r="39" spans="1:1" x14ac:dyDescent="0.45">
      <c r="A39" s="1"/>
    </row>
    <row r="40" spans="1:1" x14ac:dyDescent="0.45">
      <c r="A40" s="1"/>
    </row>
    <row r="41" spans="1:1" x14ac:dyDescent="0.45">
      <c r="A41" s="1"/>
    </row>
    <row r="42" spans="1:1" x14ac:dyDescent="0.45">
      <c r="A42" s="1"/>
    </row>
    <row r="43" spans="1:1" x14ac:dyDescent="0.45">
      <c r="A43" s="1"/>
    </row>
    <row r="44" spans="1:1" x14ac:dyDescent="0.45">
      <c r="A44" s="1"/>
    </row>
    <row r="45" spans="1:1" x14ac:dyDescent="0.45">
      <c r="A45" s="1"/>
    </row>
    <row r="46" spans="1:1" x14ac:dyDescent="0.45">
      <c r="A46" s="1"/>
    </row>
    <row r="47" spans="1:1" x14ac:dyDescent="0.45">
      <c r="A47" s="1"/>
    </row>
    <row r="48" spans="1:1" x14ac:dyDescent="0.45">
      <c r="A48" s="1"/>
    </row>
    <row r="49" spans="1:1" x14ac:dyDescent="0.45">
      <c r="A49" s="1"/>
    </row>
    <row r="50" spans="1:1" x14ac:dyDescent="0.45">
      <c r="A50" s="1"/>
    </row>
    <row r="51" spans="1:1" x14ac:dyDescent="0.45">
      <c r="A51" s="1"/>
    </row>
    <row r="52" spans="1:1" x14ac:dyDescent="0.45">
      <c r="A52" s="1"/>
    </row>
    <row r="53" spans="1:1" x14ac:dyDescent="0.45">
      <c r="A53" s="1"/>
    </row>
    <row r="54" spans="1:1" x14ac:dyDescent="0.45">
      <c r="A54" s="1"/>
    </row>
    <row r="55" spans="1:1" x14ac:dyDescent="0.45">
      <c r="A55" s="1"/>
    </row>
    <row r="56" spans="1:1" x14ac:dyDescent="0.45">
      <c r="A56" s="1"/>
    </row>
    <row r="57" spans="1:1" x14ac:dyDescent="0.45">
      <c r="A57" s="1"/>
    </row>
    <row r="58" spans="1:1" x14ac:dyDescent="0.45">
      <c r="A58" s="1"/>
    </row>
    <row r="59" spans="1:1" x14ac:dyDescent="0.45">
      <c r="A59" s="1"/>
    </row>
    <row r="60" spans="1:1" x14ac:dyDescent="0.45">
      <c r="A60" s="1"/>
    </row>
    <row r="61" spans="1:1" x14ac:dyDescent="0.45">
      <c r="A61" s="1"/>
    </row>
    <row r="62" spans="1:1" x14ac:dyDescent="0.45">
      <c r="A62" s="1"/>
    </row>
    <row r="63" spans="1:1" x14ac:dyDescent="0.45">
      <c r="A63" s="1"/>
    </row>
    <row r="64" spans="1:1" x14ac:dyDescent="0.45">
      <c r="A64" s="1"/>
    </row>
    <row r="65" spans="1:1" x14ac:dyDescent="0.45">
      <c r="A65" s="1"/>
    </row>
    <row r="66" spans="1:1" x14ac:dyDescent="0.45">
      <c r="A66" s="1"/>
    </row>
    <row r="67" spans="1:1" x14ac:dyDescent="0.45">
      <c r="A67" s="1"/>
    </row>
    <row r="68" spans="1:1" x14ac:dyDescent="0.45">
      <c r="A68" s="1"/>
    </row>
    <row r="69" spans="1:1" x14ac:dyDescent="0.45">
      <c r="A69" s="1"/>
    </row>
    <row r="70" spans="1:1" x14ac:dyDescent="0.45">
      <c r="A70" s="1"/>
    </row>
    <row r="71" spans="1:1" x14ac:dyDescent="0.45">
      <c r="A71" s="1"/>
    </row>
    <row r="72" spans="1:1" x14ac:dyDescent="0.45">
      <c r="A72" s="1"/>
    </row>
    <row r="73" spans="1:1" x14ac:dyDescent="0.45">
      <c r="A73" s="1"/>
    </row>
    <row r="74" spans="1:1" x14ac:dyDescent="0.45">
      <c r="A74" s="1"/>
    </row>
    <row r="75" spans="1:1" x14ac:dyDescent="0.45">
      <c r="A75" s="1"/>
    </row>
    <row r="76" spans="1:1" x14ac:dyDescent="0.45">
      <c r="A76" s="1"/>
    </row>
    <row r="77" spans="1:1" x14ac:dyDescent="0.45">
      <c r="A77" s="1"/>
    </row>
    <row r="78" spans="1:1" x14ac:dyDescent="0.45">
      <c r="A78" s="1"/>
    </row>
    <row r="79" spans="1:1" x14ac:dyDescent="0.45">
      <c r="A79" s="1"/>
    </row>
    <row r="80" spans="1:1" x14ac:dyDescent="0.45">
      <c r="A80" s="1"/>
    </row>
    <row r="81" spans="1:1" x14ac:dyDescent="0.45">
      <c r="A81" s="1"/>
    </row>
    <row r="82" spans="1:1" x14ac:dyDescent="0.45">
      <c r="A82" s="1"/>
    </row>
    <row r="83" spans="1:1" x14ac:dyDescent="0.45">
      <c r="A83" s="1"/>
    </row>
    <row r="84" spans="1:1" x14ac:dyDescent="0.45">
      <c r="A84" s="1"/>
    </row>
    <row r="85" spans="1:1" x14ac:dyDescent="0.45">
      <c r="A85" s="1"/>
    </row>
    <row r="86" spans="1:1" x14ac:dyDescent="0.45">
      <c r="A86" s="1"/>
    </row>
    <row r="87" spans="1:1" x14ac:dyDescent="0.45">
      <c r="A87" s="1"/>
    </row>
    <row r="88" spans="1:1" x14ac:dyDescent="0.45">
      <c r="A88" s="1"/>
    </row>
    <row r="89" spans="1:1" x14ac:dyDescent="0.45">
      <c r="A89" s="1"/>
    </row>
    <row r="90" spans="1:1" x14ac:dyDescent="0.45">
      <c r="A90" s="1"/>
    </row>
    <row r="91" spans="1:1" x14ac:dyDescent="0.45">
      <c r="A91" s="1"/>
    </row>
    <row r="92" spans="1:1" x14ac:dyDescent="0.45">
      <c r="A92" s="1"/>
    </row>
    <row r="93" spans="1:1" x14ac:dyDescent="0.45">
      <c r="A93" s="1"/>
    </row>
    <row r="94" spans="1:1" x14ac:dyDescent="0.45">
      <c r="A94" s="1"/>
    </row>
    <row r="95" spans="1:1" x14ac:dyDescent="0.45">
      <c r="A95" s="1"/>
    </row>
    <row r="96" spans="1:1" x14ac:dyDescent="0.45">
      <c r="A96" s="1"/>
    </row>
    <row r="97" spans="1:1" x14ac:dyDescent="0.45">
      <c r="A97" s="1"/>
    </row>
    <row r="98" spans="1:1" x14ac:dyDescent="0.45">
      <c r="A98" s="1"/>
    </row>
    <row r="99" spans="1:1" x14ac:dyDescent="0.45">
      <c r="A99" s="1"/>
    </row>
    <row r="100" spans="1:1" x14ac:dyDescent="0.45">
      <c r="A100" s="1"/>
    </row>
    <row r="101" spans="1:1" x14ac:dyDescent="0.45">
      <c r="A101" s="1"/>
    </row>
    <row r="102" spans="1:1" x14ac:dyDescent="0.45">
      <c r="A102" s="1"/>
    </row>
    <row r="103" spans="1:1" x14ac:dyDescent="0.45">
      <c r="A103" s="1"/>
    </row>
    <row r="104" spans="1:1" x14ac:dyDescent="0.45">
      <c r="A104" s="1"/>
    </row>
    <row r="105" spans="1:1" x14ac:dyDescent="0.45">
      <c r="A105" s="1"/>
    </row>
    <row r="106" spans="1:1" x14ac:dyDescent="0.45">
      <c r="A106" s="1"/>
    </row>
    <row r="107" spans="1:1" x14ac:dyDescent="0.45">
      <c r="A107" s="1"/>
    </row>
    <row r="108" spans="1:1" x14ac:dyDescent="0.45">
      <c r="A108" s="1"/>
    </row>
    <row r="109" spans="1:1" x14ac:dyDescent="0.45">
      <c r="A109" s="1"/>
    </row>
    <row r="110" spans="1:1" x14ac:dyDescent="0.45">
      <c r="A110" s="1"/>
    </row>
    <row r="111" spans="1:1" x14ac:dyDescent="0.45">
      <c r="A111" s="1"/>
    </row>
    <row r="112" spans="1:1" x14ac:dyDescent="0.45">
      <c r="A112" s="1"/>
    </row>
    <row r="113" spans="1:1" x14ac:dyDescent="0.45">
      <c r="A113" s="1"/>
    </row>
    <row r="114" spans="1:1" x14ac:dyDescent="0.45">
      <c r="A114" s="1"/>
    </row>
    <row r="115" spans="1:1" x14ac:dyDescent="0.45">
      <c r="A115" s="1"/>
    </row>
    <row r="116" spans="1:1" x14ac:dyDescent="0.45">
      <c r="A116" s="1"/>
    </row>
    <row r="117" spans="1:1" x14ac:dyDescent="0.45">
      <c r="A117" s="1"/>
    </row>
    <row r="118" spans="1:1" x14ac:dyDescent="0.45">
      <c r="A118" s="1"/>
    </row>
    <row r="119" spans="1:1" x14ac:dyDescent="0.45">
      <c r="A119" s="1"/>
    </row>
    <row r="120" spans="1:1" x14ac:dyDescent="0.45">
      <c r="A120" s="1"/>
    </row>
    <row r="121" spans="1:1" x14ac:dyDescent="0.45">
      <c r="A121" s="1"/>
    </row>
    <row r="122" spans="1:1" x14ac:dyDescent="0.45">
      <c r="A122" s="1"/>
    </row>
    <row r="123" spans="1:1" x14ac:dyDescent="0.45">
      <c r="A123" s="1"/>
    </row>
    <row r="124" spans="1:1" x14ac:dyDescent="0.45">
      <c r="A124" s="1"/>
    </row>
    <row r="125" spans="1:1" x14ac:dyDescent="0.45">
      <c r="A125" s="1"/>
    </row>
    <row r="126" spans="1:1" x14ac:dyDescent="0.45">
      <c r="A126" s="1"/>
    </row>
    <row r="127" spans="1:1" x14ac:dyDescent="0.45">
      <c r="A127" s="1"/>
    </row>
    <row r="128" spans="1:1" x14ac:dyDescent="0.45">
      <c r="A128" s="1"/>
    </row>
    <row r="129" spans="1:1" x14ac:dyDescent="0.45">
      <c r="A129" s="1"/>
    </row>
    <row r="130" spans="1:1" x14ac:dyDescent="0.45">
      <c r="A130" s="1"/>
    </row>
    <row r="131" spans="1:1" x14ac:dyDescent="0.45">
      <c r="A131" s="1"/>
    </row>
    <row r="132" spans="1:1" x14ac:dyDescent="0.45">
      <c r="A132" s="1"/>
    </row>
    <row r="133" spans="1:1" x14ac:dyDescent="0.45">
      <c r="A133" s="1"/>
    </row>
    <row r="134" spans="1:1" x14ac:dyDescent="0.45">
      <c r="A134" s="1"/>
    </row>
    <row r="135" spans="1:1" x14ac:dyDescent="0.45">
      <c r="A135" s="1"/>
    </row>
    <row r="136" spans="1:1" x14ac:dyDescent="0.45">
      <c r="A136" s="1"/>
    </row>
    <row r="137" spans="1:1" x14ac:dyDescent="0.45">
      <c r="A137" s="1"/>
    </row>
    <row r="138" spans="1:1" x14ac:dyDescent="0.45">
      <c r="A138" s="1"/>
    </row>
    <row r="139" spans="1:1" x14ac:dyDescent="0.45">
      <c r="A139" s="1"/>
    </row>
    <row r="140" spans="1:1" x14ac:dyDescent="0.45">
      <c r="A140" s="1"/>
    </row>
    <row r="141" spans="1:1" x14ac:dyDescent="0.45">
      <c r="A141" s="1"/>
    </row>
    <row r="142" spans="1:1" x14ac:dyDescent="0.45">
      <c r="A142" s="1"/>
    </row>
    <row r="143" spans="1:1" x14ac:dyDescent="0.45">
      <c r="A143" s="1"/>
    </row>
    <row r="144" spans="1:1" x14ac:dyDescent="0.45">
      <c r="A144" s="1"/>
    </row>
    <row r="145" spans="1:1" x14ac:dyDescent="0.45">
      <c r="A145" s="1"/>
    </row>
    <row r="146" spans="1:1" x14ac:dyDescent="0.45">
      <c r="A146" s="1"/>
    </row>
    <row r="147" spans="1:1" x14ac:dyDescent="0.45">
      <c r="A147" s="1"/>
    </row>
    <row r="148" spans="1:1" x14ac:dyDescent="0.45">
      <c r="A148" s="1"/>
    </row>
  </sheetData>
  <sheetProtection algorithmName="SHA-512" hashValue="Y17g/ptE9UJkgRbKOOy1AqpLj3iyxDdQCEkVwS7vM/AVhHJqNCI5sqho+vqVN9agpwmm6Tbk/x0mW49lausOKA==" saltValue="VWVbKuPJXCEAiEeCFUom1w==" spinCount="100000" sheet="1" objects="1" scenarios="1"/>
  <phoneticPr fontId="7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213DCF022D1145B09CC17D959C9FF3" ma:contentTypeVersion="12" ma:contentTypeDescription="Create a new document." ma:contentTypeScope="" ma:versionID="5ae8433238fb4bde29f7f9b6dffe58ad">
  <xsd:schema xmlns:xsd="http://www.w3.org/2001/XMLSchema" xmlns:xs="http://www.w3.org/2001/XMLSchema" xmlns:p="http://schemas.microsoft.com/office/2006/metadata/properties" xmlns:ns3="4c4c937f-3605-4fe3-9caf-0fc06bf78559" xmlns:ns4="a3fb5af2-5375-4868-9eff-15e25c1029ce" targetNamespace="http://schemas.microsoft.com/office/2006/metadata/properties" ma:root="true" ma:fieldsID="7eeec36082e930a93ce3f6f661d0aa39" ns3:_="" ns4:_="">
    <xsd:import namespace="4c4c937f-3605-4fe3-9caf-0fc06bf78559"/>
    <xsd:import namespace="a3fb5af2-5375-4868-9eff-15e25c1029c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c937f-3605-4fe3-9caf-0fc06bf785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b5af2-5375-4868-9eff-15e25c1029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A9253C-723C-4010-A170-A5B1B49F74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B37F00-2390-4E96-AA60-A00AE32B8D6E}">
  <ds:schemaRefs>
    <ds:schemaRef ds:uri="http://schemas.microsoft.com/office/2006/metadata/properties"/>
    <ds:schemaRef ds:uri="http://purl.org/dc/terms/"/>
    <ds:schemaRef ds:uri="http://purl.org/dc/elements/1.1/"/>
    <ds:schemaRef ds:uri="a3fb5af2-5375-4868-9eff-15e25c1029ce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c4c937f-3605-4fe3-9caf-0fc06bf7855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147505-CF54-431C-9636-E0E304E58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4c937f-3605-4fe3-9caf-0fc06bf78559"/>
    <ds:schemaRef ds:uri="a3fb5af2-5375-4868-9eff-15e25c1029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Kjeldsen, Søren L.</dc:creator>
  <cp:lastModifiedBy>Søren Kjeldsen</cp:lastModifiedBy>
  <dcterms:created xsi:type="dcterms:W3CDTF">2021-01-08T10:47:03Z</dcterms:created>
  <dcterms:modified xsi:type="dcterms:W3CDTF">2021-10-22T09:50:42Z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0x010100EC213DCF022D1145B09CC17D959C9FF3</vt:lpwstr>
  </property>
</Properties>
</file>