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10_ncr:8100000_{000FC50F-FDC0-46E9-A4E1-3EFEDFF8F633}" xr6:coauthVersionLast="34" xr6:coauthVersionMax="34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H20" i="1" l="1"/>
  <c r="H21" i="1"/>
  <c r="H22" i="1"/>
  <c r="D29" i="1" l="1"/>
  <c r="D30" i="1"/>
  <c r="D31" i="1"/>
  <c r="D32" i="1"/>
  <c r="H15" i="1" l="1"/>
  <c r="H16" i="1"/>
  <c r="H17" i="1"/>
  <c r="H18" i="1"/>
  <c r="H23" i="1"/>
  <c r="H24" i="1"/>
  <c r="H25" i="1"/>
  <c r="H26" i="1"/>
  <c r="H27" i="1"/>
  <c r="H29" i="1"/>
  <c r="H30" i="1"/>
  <c r="H32" i="1"/>
  <c r="H36" i="1"/>
  <c r="H37" i="1"/>
  <c r="H38" i="1"/>
  <c r="H39" i="1"/>
  <c r="H14" i="1"/>
  <c r="H13" i="1"/>
  <c r="H12" i="1"/>
  <c r="B29" i="1" l="1"/>
  <c r="F35" i="1" l="1"/>
  <c r="A25" i="3" s="1"/>
  <c r="D35" i="1"/>
  <c r="B35" i="1" s="1"/>
  <c r="M25" i="3" l="1"/>
  <c r="F25" i="3"/>
  <c r="B25" i="3"/>
  <c r="C25" i="3" s="1"/>
  <c r="D25" i="3"/>
  <c r="E25" i="3" s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C16" i="2" l="1"/>
  <c r="C12" i="2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C2" i="2"/>
  <c r="D13" i="1"/>
  <c r="M3" i="3" s="1"/>
  <c r="O3" i="3" s="1"/>
  <c r="F13" i="1"/>
  <c r="A3" i="3" s="1"/>
  <c r="G13" i="1"/>
  <c r="C3" i="2"/>
  <c r="D14" i="1"/>
  <c r="B14" i="1" s="1"/>
  <c r="F14" i="1"/>
  <c r="A4" i="3" s="1"/>
  <c r="G14" i="1"/>
  <c r="C4" i="2"/>
  <c r="D15" i="1"/>
  <c r="M5" i="3" s="1"/>
  <c r="N5" i="3" s="1"/>
  <c r="F15" i="1"/>
  <c r="A5" i="3" s="1"/>
  <c r="G15" i="1"/>
  <c r="C5" i="2"/>
  <c r="D16" i="1"/>
  <c r="F16" i="1"/>
  <c r="A6" i="3" s="1"/>
  <c r="D17" i="1"/>
  <c r="A17" i="1" s="1"/>
  <c r="F17" i="1"/>
  <c r="A7" i="3" s="1"/>
  <c r="G17" i="1"/>
  <c r="C7" i="2"/>
  <c r="D18" i="1"/>
  <c r="M8" i="3" s="1"/>
  <c r="F18" i="1"/>
  <c r="A8" i="3" s="1"/>
  <c r="G18" i="1"/>
  <c r="C8" i="2"/>
  <c r="D19" i="1"/>
  <c r="B19" i="1" s="1"/>
  <c r="F19" i="1"/>
  <c r="A9" i="3" s="1"/>
  <c r="D20" i="1"/>
  <c r="B20" i="1" s="1"/>
  <c r="F20" i="1"/>
  <c r="A10" i="3" s="1"/>
  <c r="G20" i="1"/>
  <c r="C10" i="2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F29" i="1"/>
  <c r="A19" i="3" s="1"/>
  <c r="B30" i="1"/>
  <c r="F30" i="1"/>
  <c r="A20" i="3" s="1"/>
  <c r="G30" i="1"/>
  <c r="C20" i="2"/>
  <c r="B31" i="1"/>
  <c r="F31" i="1"/>
  <c r="A21" i="3" s="1"/>
  <c r="M22" i="3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A23" i="1" l="1"/>
  <c r="B23" i="1"/>
  <c r="M17" i="3"/>
  <c r="O17" i="3" s="1"/>
  <c r="B27" i="1"/>
  <c r="A24" i="1"/>
  <c r="B24" i="1"/>
  <c r="B16" i="1"/>
  <c r="B40" i="1"/>
  <c r="A40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U28" i="3" s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G31" i="1" l="1"/>
  <c r="V28" i="3"/>
  <c r="K25" i="3"/>
  <c r="L25" i="3"/>
  <c r="G35" i="1" s="1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J24" i="1" l="1"/>
  <c r="K24" i="1" s="1"/>
  <c r="J35" i="1"/>
  <c r="K35" i="1" s="1"/>
  <c r="J39" i="1"/>
  <c r="K39" i="1" s="1"/>
  <c r="G16" i="1"/>
  <c r="H35" i="1" s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33" i="1" l="1"/>
  <c r="H34" i="1"/>
  <c r="H19" i="1"/>
  <c r="H28" i="1"/>
  <c r="C18" i="2" s="1"/>
  <c r="H31" i="1"/>
  <c r="C21" i="2" s="1"/>
  <c r="C22" i="2"/>
  <c r="C27" i="2"/>
  <c r="C6" i="2"/>
  <c r="C26" i="2"/>
  <c r="C9" i="2"/>
  <c r="C14" i="2"/>
  <c r="C23" i="2"/>
  <c r="C15" i="2"/>
  <c r="C24" i="2"/>
  <c r="C13" i="2"/>
  <c r="C11" i="2"/>
  <c r="C28" i="2"/>
  <c r="C19" i="2"/>
  <c r="C17" i="2"/>
</calcChain>
</file>

<file path=xl/sharedStrings.xml><?xml version="1.0" encoding="utf-8"?>
<sst xmlns="http://schemas.openxmlformats.org/spreadsheetml/2006/main" count="182" uniqueCount="126">
  <si>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</si>
  <si>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</si>
  <si>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</si>
  <si>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</si>
  <si>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</si>
  <si>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</si>
  <si>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</si>
  <si>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</si>
  <si>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</si>
  <si>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</si>
  <si>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</si>
  <si>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</si>
  <si>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</si>
  <si>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</si>
  <si>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</si>
  <si>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</si>
  <si>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</si>
  <si>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</si>
  <si>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</si>
  <si>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</si>
  <si>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</si>
  <si>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</si>
  <si>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</si>
  <si>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</si>
  <si>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</si>
  <si>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</si>
  <si>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</si>
  <si>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</si>
  <si>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</si>
  <si>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</si>
  <si>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</si>
  <si>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</si>
  <si>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</si>
  <si>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</si>
  <si>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</si>
  <si>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</si>
  <si>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</si>
  <si>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</si>
  <si>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</si>
  <si>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</si>
  <si>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</si>
  <si>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</si>
  <si>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</si>
  <si>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</si>
  <si>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</si>
  <si>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</si>
  <si>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</si>
  <si>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</si>
  <si>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</si>
  <si>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</si>
  <si>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</si>
  <si>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</si>
  <si>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</si>
  <si>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</si>
  <si>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</si>
  <si>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</si>
  <si>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</si>
  <si>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</si>
  <si>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</si>
  <si>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</si>
  <si>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</si>
  <si>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</si>
  <si>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</si>
  <si>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</si>
  <si>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</si>
  <si>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</si>
  <si>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</si>
  <si>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</si>
  <si>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</si>
  <si>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</si>
  <si>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</si>
  <si>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</si>
  <si>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</si>
  <si>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</si>
  <si>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</si>
  <si>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</si>
  <si>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</si>
  <si>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</si>
  <si>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</si>
  <si>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</si>
  <si>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</si>
  <si>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</si>
  <si>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</si>
  <si>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</si>
  <si>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</si>
  <si>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</si>
  <si>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</si>
  <si>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</si>
  <si>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</si>
  <si>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</si>
  <si>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</si>
  <si>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</si>
  <si>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</si>
  <si>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</si>
  <si>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</si>
  <si>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</si>
  <si>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</si>
  <si>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</si>
  <si>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</si>
  <si>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</si>
  <si>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</si>
  <si>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</si>
  <si>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</si>
  <si>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</si>
  <si>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</si>
  <si>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</si>
  <si>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</si>
  <si>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</si>
  <si>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Kvadrat</t>
  </si>
  <si>
    <t>Marina 36</t>
  </si>
  <si>
    <t>Gilbjerg</t>
  </si>
  <si>
    <t>Miss Grey</t>
  </si>
  <si>
    <t>L23</t>
  </si>
  <si>
    <t>Fru Brøgger</t>
  </si>
  <si>
    <t>mangler</t>
  </si>
  <si>
    <t>Luffe 37</t>
  </si>
  <si>
    <t>Skuld IV</t>
  </si>
  <si>
    <t>Gilberg</t>
  </si>
  <si>
    <t>Snehvide</t>
  </si>
  <si>
    <t>Certifikat</t>
  </si>
  <si>
    <t>#certifikat</t>
  </si>
  <si>
    <t>beregnet</t>
  </si>
  <si>
    <t>Xalina</t>
  </si>
  <si>
    <t>X-382</t>
  </si>
  <si>
    <t>Skolebåd</t>
  </si>
  <si>
    <t>mgl. Målerbrev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</si>
</sst>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Border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40"/>
  <sheetViews>
    <sheetView tabSelected="1" zoomScaleNormal="100" workbookViewId="0"/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0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79"/>
      <c r="F1" s="1"/>
      <c r="H1" s="1"/>
      <c r="I1" s="1"/>
    </row>
    <row r="2" spans="1:14" ht="13.5" thickBot="1" x14ac:dyDescent="0.25">
      <c r="A2" s="2" t="s">
        <v>12</v>
      </c>
      <c r="B2" s="78">
        <v>43320</v>
      </c>
      <c r="C2" s="79"/>
      <c r="D2" s="30"/>
      <c r="E2" s="4" t="s">
        <v>97</v>
      </c>
      <c r="F2" s="46">
        <v>0.80555555555555547</v>
      </c>
      <c r="G2" s="5" t="s">
        <v>16</v>
      </c>
      <c r="H2" s="47">
        <v>1.6</v>
      </c>
      <c r="I2" s="52" t="s">
        <v>54</v>
      </c>
      <c r="J2" s="3"/>
    </row>
    <row r="3" spans="1:14" x14ac:dyDescent="0.2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2">
      <c r="A4" s="2" t="s">
        <v>55</v>
      </c>
      <c r="B4" s="44">
        <v>852</v>
      </c>
      <c r="D4" s="25"/>
      <c r="E4" s="86" t="s">
        <v>20</v>
      </c>
      <c r="F4" s="87"/>
      <c r="G4" s="7"/>
      <c r="H4" s="88" t="s">
        <v>69</v>
      </c>
      <c r="I4" s="87"/>
      <c r="J4" s="3"/>
      <c r="M4" s="40" t="s">
        <v>101</v>
      </c>
    </row>
    <row r="5" spans="1:14" x14ac:dyDescent="0.2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5">
      <c r="A6" s="2" t="s">
        <v>64</v>
      </c>
      <c r="B6" s="45">
        <v>1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2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2">
      <c r="A8" s="89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2">
      <c r="A9" s="90"/>
      <c r="B9" s="74">
        <v>43228</v>
      </c>
      <c r="C9" s="79"/>
      <c r="D9" s="24"/>
      <c r="E9" s="11"/>
      <c r="F9" s="11"/>
      <c r="H9" s="11"/>
      <c r="I9" s="11"/>
    </row>
    <row r="10" spans="1:14" x14ac:dyDescent="0.2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894.8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1.6574074074074074E-2</v>
      </c>
      <c r="J12" s="19">
        <f>IF((Beregninger!M2&gt;1),TIME(Beregninger!S2,Beregninger!U2,Beregninger!V2),"  ")</f>
        <v>0</v>
      </c>
      <c r="K12" s="19">
        <f>IF((Beregninger!M2&gt;1),(J12+$F$2),"  ")</f>
        <v>0.80555555555555547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999.8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1.8518518518518521E-2</v>
      </c>
      <c r="J13" s="19">
        <f>IF((Beregninger!M3&gt;1),TIME(Beregninger!S3,Beregninger!U3,Beregninger!V3),"  ")</f>
        <v>0</v>
      </c>
      <c r="K13" s="19">
        <f>IF((Beregninger!M3&gt;1),(J13+$F$2),"  ")</f>
        <v>0.80555555555555547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994.8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1.8425925925925925E-2</v>
      </c>
      <c r="J14" s="19">
        <f>IF((Beregninger!M4&gt;1),TIME(Beregninger!S4,Beregninger!U4,Beregninger!V4),"  ")</f>
        <v>0</v>
      </c>
      <c r="K14" s="19">
        <f>IF((Beregninger!M4&gt;1),(J14+$F$2),"  ")</f>
        <v>0.80555555555555547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945.2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1.7499999999999998E-2</v>
      </c>
      <c r="J15" s="19">
        <f>IF((Beregninger!M5&gt;1),TIME(Beregninger!S5,Beregninger!U5,Beregninger!V5),"  ")</f>
        <v>0</v>
      </c>
      <c r="K15" s="19">
        <f>IF((Beregninger!M5&gt;1),(J15+$F$2),"  ")</f>
        <v>0.80555555555555547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797.6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1.4768518518518519E-2</v>
      </c>
      <c r="J16" s="19">
        <f>IF((Beregninger!M6&gt;1),TIME(Beregninger!S6,Beregninger!U6,Beregninger!V6),"  ")</f>
        <v>1.0069444444444444E-3</v>
      </c>
      <c r="K16" s="19">
        <f>IF((Beregninger!M6&gt;1),(J16+$F$2),"  ")</f>
        <v>0.80656249999999996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815.8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1.5104166666666667E-2</v>
      </c>
      <c r="J17" s="19">
        <f>IF((Beregninger!M7&gt;1),TIME(Beregninger!S7,Beregninger!U7,Beregninger!V7),"  ")</f>
        <v>6.7129629629629625E-4</v>
      </c>
      <c r="K17" s="19">
        <f>IF((Beregninger!M7&gt;1),(J17+$F$2),"  ")</f>
        <v>0.80622685185185172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866.6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1.6053240740740739E-2</v>
      </c>
      <c r="J18" s="19">
        <f>IF((Beregninger!M8&gt;1),TIME(Beregninger!S8,Beregninger!U8,Beregninger!V8),"  ")</f>
        <v>0</v>
      </c>
      <c r="K18" s="19">
        <f>IF((Beregninger!M8&gt;1),(J18+$F$2),"  ")</f>
        <v>0.80555555555555547</v>
      </c>
      <c r="N18" s="29"/>
    </row>
    <row r="19" spans="1:14" x14ac:dyDescent="0.2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746.6</v>
      </c>
      <c r="E19" s="27">
        <v>0.84142361111111119</v>
      </c>
      <c r="F19" s="27">
        <f t="shared" si="0"/>
        <v>3.5868055555555722E-2</v>
      </c>
      <c r="G19" s="27">
        <f>IF((E19&gt;$F$2),TIME(Beregninger!I9,Beregninger!K9,Beregninger!L9),"  ")</f>
        <v>3.7812500000000006E-2</v>
      </c>
      <c r="H19" s="20">
        <f t="shared" si="1"/>
        <v>2</v>
      </c>
      <c r="I19" s="19">
        <f>IF((Beregninger!M9&gt;1),TIME(Beregninger!N9,Beregninger!P9,Beregninger!Q9),"  ")</f>
        <v>1.383101851851852E-2</v>
      </c>
      <c r="J19" s="19">
        <f>IF((Beregninger!M9&gt;1),TIME(Beregninger!S9,Beregninger!U9,Beregninger!V9),"  ")</f>
        <v>1.9560185185185184E-3</v>
      </c>
      <c r="K19" s="19">
        <f>IF((Beregninger!M9&gt;1),(J19+$F$2),"  ")</f>
        <v>0.80751157407407403</v>
      </c>
      <c r="M19" s="29"/>
      <c r="N19" s="29"/>
    </row>
    <row r="20" spans="1:14" hidden="1" x14ac:dyDescent="0.2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821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1.5208333333333332E-2</v>
      </c>
      <c r="J20" s="19">
        <f>IF((Beregninger!M10&gt;1),TIME(Beregninger!S10,Beregninger!U10,Beregninger!V10),"  ")</f>
        <v>5.7870370370370378E-4</v>
      </c>
      <c r="K20" s="19">
        <f>IF((Beregninger!M10&gt;1),(J20+$F$2),"  ")</f>
        <v>0.80613425925925919</v>
      </c>
      <c r="N20" s="29"/>
    </row>
    <row r="21" spans="1:14" hidden="1" x14ac:dyDescent="0.2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732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1.3553240740740741E-2</v>
      </c>
      <c r="J21" s="19">
        <f>IF((Beregninger!M11&gt;1),TIME(Beregninger!S11,Beregninger!U11,Beregninger!V11),"  ")</f>
        <v>2.2222222222222222E-3</v>
      </c>
      <c r="K21" s="19">
        <f>IF((Beregninger!M11&gt;1),(J21+$F$2),"  ")</f>
        <v>0.80777777777777771</v>
      </c>
      <c r="M21" s="29"/>
      <c r="N21" s="29"/>
    </row>
    <row r="22" spans="1:14" hidden="1" x14ac:dyDescent="0.2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1.3761574074074074E-2</v>
      </c>
      <c r="J22" s="19">
        <f>IF((Beregninger!M12&gt;1),TIME(Beregninger!S12,Beregninger!U12,Beregninger!V12),"  ")</f>
        <v>2.0138888888888888E-3</v>
      </c>
      <c r="K22" s="19">
        <f>IF((Beregninger!M12&gt;1),(J22+$F$2),"  ")</f>
        <v>0.80756944444444434</v>
      </c>
      <c r="N22" s="29"/>
    </row>
    <row r="23" spans="1:14" x14ac:dyDescent="0.2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621.6</v>
      </c>
      <c r="E23" s="27"/>
      <c r="F23" s="27" t="str">
        <f t="shared" si="0"/>
        <v xml:space="preserve">  </v>
      </c>
      <c r="G23" s="27" t="str">
        <f>IF((E23&gt;$F$2),TIME(Beregninger!I13,Beregninger!K13,Beregninger!L13),"  ")</f>
        <v xml:space="preserve">  </v>
      </c>
      <c r="H23" s="20" t="str">
        <f t="shared" si="1"/>
        <v>DNS</v>
      </c>
      <c r="I23" s="19">
        <f>IF((Beregninger!M13&gt;1),TIME(Beregninger!N13,Beregninger!P13,Beregninger!Q13),"  ")</f>
        <v>1.1516203703703702E-2</v>
      </c>
      <c r="J23" s="19">
        <f>IF((Beregninger!M13&gt;1),TIME(Beregninger!S13,Beregninger!U13,Beregninger!V13),"  ")</f>
        <v>4.2708333333333339E-3</v>
      </c>
      <c r="K23" s="19">
        <f>IF((Beregninger!M13&gt;1),(J23+$F$2),"  ")</f>
        <v>0.8098263888888888</v>
      </c>
      <c r="N23" s="29"/>
    </row>
    <row r="24" spans="1:14" x14ac:dyDescent="0.2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709.2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5">
        <f>IF((Beregninger!M14&gt;1),TIME(Beregninger!N14,Beregninger!P14,Beregninger!Q14),"  ")</f>
        <v>1.3136574074074077E-2</v>
      </c>
      <c r="J24" s="75">
        <f>IF((Beregninger!M14&gt;1),TIME(Beregninger!S14,Beregninger!U14,Beregninger!V14),"  ")</f>
        <v>2.6388888888888885E-3</v>
      </c>
      <c r="K24" s="75">
        <f>IF((Beregninger!M14&gt;1),(J24+$F$2),"  ")</f>
        <v>0.80819444444444433</v>
      </c>
      <c r="N24" s="29"/>
    </row>
    <row r="25" spans="1:14" x14ac:dyDescent="0.2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697.8</v>
      </c>
      <c r="E25" s="53"/>
      <c r="F25" s="27" t="str">
        <f t="shared" si="0"/>
        <v xml:space="preserve">  </v>
      </c>
      <c r="G25" s="27" t="str">
        <f>IF((E25&gt;$F$2),TIME(Beregninger!I15,Beregninger!K15,Beregninger!L15),"  ")</f>
        <v xml:space="preserve">  </v>
      </c>
      <c r="H25" s="20" t="str">
        <f t="shared" si="1"/>
        <v>DNS</v>
      </c>
      <c r="I25" s="19">
        <f>IF((Beregninger!M15&gt;1),TIME(Beregninger!N15,Beregninger!P15,Beregninger!Q15),"  ")</f>
        <v>1.2916666666666667E-2</v>
      </c>
      <c r="J25" s="19">
        <f>IF((Beregninger!M15&gt;1),TIME(Beregninger!S15,Beregninger!U15,Beregninger!V15),"  ")</f>
        <v>2.8587962962962963E-3</v>
      </c>
      <c r="K25" s="19">
        <f>IF((Beregninger!M15&gt;1),(J25+$F$2),"  ")</f>
        <v>0.80841435185185173</v>
      </c>
      <c r="M25" s="29"/>
      <c r="N25" s="29"/>
    </row>
    <row r="26" spans="1:14" hidden="1" x14ac:dyDescent="0.2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721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1.3356481481481483E-2</v>
      </c>
      <c r="J26" s="19">
        <f>IF((Beregninger!M16&gt;1),TIME(Beregninger!S16,Beregninger!U16,Beregninger!V16),"  ")</f>
        <v>2.4305555555555556E-3</v>
      </c>
      <c r="K26" s="19">
        <f>IF((Beregninger!M16&gt;1),(J26+$F$2),"  ")</f>
        <v>0.80798611111111107</v>
      </c>
      <c r="N26" s="29"/>
    </row>
    <row r="27" spans="1:14" hidden="1" x14ac:dyDescent="0.2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793.6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1.4699074074074074E-2</v>
      </c>
      <c r="J27" s="19">
        <f>IF((Beregninger!M17&gt;1),TIME(Beregninger!S17,Beregninger!U17,Beregninger!V17),"  ")</f>
        <v>1.0763888888888889E-3</v>
      </c>
      <c r="K27" s="19">
        <f>IF((Beregninger!M17&gt;1),(J27+$F$2),"  ")</f>
        <v>0.8066319444444443</v>
      </c>
      <c r="N27" s="29"/>
    </row>
    <row r="28" spans="1:14" x14ac:dyDescent="0.2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667.8</v>
      </c>
      <c r="E28" s="54">
        <v>0.83516203703703706</v>
      </c>
      <c r="F28" s="27">
        <f t="shared" si="0"/>
        <v>2.9606481481481595E-2</v>
      </c>
      <c r="G28" s="27">
        <f>IF((E28&gt;$F$2),TIME(Beregninger!I18,Beregninger!K18,Beregninger!L18),"  ")</f>
        <v>3.3009259259259259E-2</v>
      </c>
      <c r="H28" s="20">
        <f t="shared" si="1"/>
        <v>1</v>
      </c>
      <c r="I28" s="19">
        <f>IF((Beregninger!M18&gt;1),TIME(Beregninger!N18,Beregninger!P18,Beregninger!Q18),"  ")</f>
        <v>1.2361111111111113E-2</v>
      </c>
      <c r="J28" s="19">
        <f>IF((Beregninger!M18&gt;1),TIME(Beregninger!S18,Beregninger!U18,Beregninger!V18),"  ")</f>
        <v>3.414351851851852E-3</v>
      </c>
      <c r="K28" s="19">
        <f>IF((Beregninger!M18&gt;1),(J28+$F$2),"  ")</f>
        <v>0.80896990740740737</v>
      </c>
      <c r="N28" s="29"/>
    </row>
    <row r="29" spans="1:14" hidden="1" x14ac:dyDescent="0.2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681.6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1.2627314814814815E-2</v>
      </c>
      <c r="J29" s="19">
        <f>IF((Beregninger!M19&gt;1),TIME(Beregninger!S19,Beregninger!U19,Beregninger!V19),"  ")</f>
        <v>3.1597222222222222E-3</v>
      </c>
      <c r="K29" s="19">
        <f>IF((Beregninger!M19&gt;1),(J29+$F$2),"  ")</f>
        <v>0.80871527777777774</v>
      </c>
      <c r="N29" s="29"/>
    </row>
    <row r="30" spans="1:14" hidden="1" x14ac:dyDescent="0.2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652.4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1.2083333333333333E-2</v>
      </c>
      <c r="J30" s="19">
        <f>IF((Beregninger!M20&gt;1),TIME(Beregninger!S20,Beregninger!U20,Beregninger!V20),"  ")</f>
        <v>3.6921296296296298E-3</v>
      </c>
      <c r="K30" s="19">
        <f>IF((Beregninger!M20&gt;1),(J30+$F$2),"  ")</f>
        <v>0.80924768518518508</v>
      </c>
      <c r="N30" s="29"/>
    </row>
    <row r="31" spans="1:14" x14ac:dyDescent="0.2">
      <c r="A31" s="37" t="s">
        <v>118</v>
      </c>
      <c r="B31" s="2" t="str">
        <f>IF((D31&gt;0.5),Måltal!B21,"     ")</f>
        <v>H-båd</v>
      </c>
      <c r="C31" s="82">
        <v>385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852.8</v>
      </c>
      <c r="E31" s="27">
        <v>0.84765046296296298</v>
      </c>
      <c r="F31" s="27">
        <f t="shared" si="0"/>
        <v>4.2094907407407511E-2</v>
      </c>
      <c r="G31" s="27">
        <f>IF((E31&gt;$F$2),TIME(Beregninger!I21,Beregninger!K21,Beregninger!L21),"  ")</f>
        <v>4.207175925925926E-2</v>
      </c>
      <c r="H31" s="20">
        <f t="shared" si="1"/>
        <v>5</v>
      </c>
      <c r="I31" s="19">
        <f>IF((Beregninger!M21&gt;1),TIME(Beregninger!N21,Beregninger!P21,Beregninger!Q21),"  ")</f>
        <v>1.5787037037037037E-2</v>
      </c>
      <c r="J31" s="19">
        <f>IF((Beregninger!M21&gt;1),TIME(Beregninger!S21,Beregninger!U21,Beregninger!V21),"  ")</f>
        <v>0</v>
      </c>
      <c r="K31" s="19">
        <f>IF((Beregninger!M21&gt;1),(J31+$F$2),"  ")</f>
        <v>0.80555555555555547</v>
      </c>
      <c r="N31" s="29"/>
    </row>
    <row r="32" spans="1:14" ht="12.75" customHeight="1" x14ac:dyDescent="0.2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852.8</v>
      </c>
      <c r="E32" s="27"/>
      <c r="F32" s="27" t="str">
        <f t="shared" si="0"/>
        <v xml:space="preserve">  </v>
      </c>
      <c r="G32" s="27" t="str">
        <f>IF((E32&gt;$F$2),TIME(Beregninger!I22,Beregninger!K22,Beregninger!L22),"  ")</f>
        <v xml:space="preserve">  </v>
      </c>
      <c r="H32" s="20" t="str">
        <f t="shared" si="1"/>
        <v>DNS</v>
      </c>
      <c r="I32" s="19">
        <f>IF((Beregninger!M22&gt;1),TIME(Beregninger!N22,Beregninger!P22,Beregninger!Q22),"  ")</f>
        <v>1.5787037037037037E-2</v>
      </c>
      <c r="J32" s="19">
        <f>IF((Beregninger!M22&gt;1),TIME(Beregninger!S22,Beregninger!U22,Beregninger!V22),"  ")</f>
        <v>0</v>
      </c>
      <c r="K32" s="19">
        <f>IF((Beregninger!M22&gt;1),(J32+$F$2),"  ")</f>
        <v>0.80555555555555547</v>
      </c>
      <c r="M32" s="29"/>
      <c r="N32" s="29"/>
    </row>
    <row r="33" spans="1:14" ht="12.75" customHeight="1" x14ac:dyDescent="0.2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852.8</v>
      </c>
      <c r="E33" s="27">
        <v>0.84898148148148145</v>
      </c>
      <c r="F33" s="27">
        <f t="shared" si="0"/>
        <v>4.3425925925925979E-2</v>
      </c>
      <c r="G33" s="27">
        <f>IF((E33&gt;$F$2),TIME(Beregninger!I23,Beregninger!K23,Beregninger!L23),"  ")</f>
        <v>4.3402777777777783E-2</v>
      </c>
      <c r="H33" s="20">
        <f t="shared" si="1"/>
        <v>6</v>
      </c>
      <c r="I33" s="19">
        <f>IF((Beregninger!M23&gt;1),TIME(Beregninger!N23,Beregninger!P23,Beregninger!Q23),"  ")</f>
        <v>1.5787037037037037E-2</v>
      </c>
      <c r="J33" s="19">
        <f>IF((Beregninger!M23&gt;1),TIME(Beregninger!S23,Beregninger!U23,Beregninger!V23),"  ")</f>
        <v>0</v>
      </c>
      <c r="K33" s="19">
        <f>IF((Beregninger!M23&gt;1),(J33+$F$2),"  ")</f>
        <v>0.80555555555555547</v>
      </c>
      <c r="M33" s="29"/>
      <c r="N33" s="29"/>
    </row>
    <row r="34" spans="1:14" ht="12.75" customHeight="1" x14ac:dyDescent="0.2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852.8</v>
      </c>
      <c r="E34" s="55">
        <v>0.84621527777777772</v>
      </c>
      <c r="F34" s="27">
        <f t="shared" si="0"/>
        <v>4.065972222222225E-2</v>
      </c>
      <c r="G34" s="27">
        <f>IF((E34&gt;$F$2),TIME(Beregninger!I24,Beregninger!K24,Beregninger!L24),"  ")</f>
        <v>4.0636574074074075E-2</v>
      </c>
      <c r="H34" s="20">
        <f t="shared" si="1"/>
        <v>3</v>
      </c>
      <c r="I34" s="19">
        <f>IF((Beregninger!M24&gt;1),TIME(Beregninger!N24,Beregninger!P24,Beregninger!Q24),"  ")</f>
        <v>1.5787037037037037E-2</v>
      </c>
      <c r="J34" s="19">
        <f>IF((Beregninger!M24&gt;1),TIME(Beregninger!S24,Beregninger!U24,Beregninger!V24),"  ")</f>
        <v>0</v>
      </c>
      <c r="K34" s="19">
        <f>IF((Beregninger!M24&gt;1),(J34+$F$2),"  ")</f>
        <v>0.80555555555555547</v>
      </c>
      <c r="M34" s="29"/>
      <c r="N34" s="29"/>
    </row>
    <row r="35" spans="1:14" ht="12.75" customHeight="1" x14ac:dyDescent="0.2">
      <c r="A35" s="37" t="s">
        <v>124</v>
      </c>
      <c r="B35" s="2" t="str">
        <f>IF((D35&gt;0.5),Måltal!B25,"     ")</f>
        <v>H-båd</v>
      </c>
      <c r="C35" s="82"/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852.8</v>
      </c>
      <c r="E35" s="56">
        <v>0.84687499999999993</v>
      </c>
      <c r="F35" s="27">
        <f t="shared" si="0"/>
        <v>4.1319444444444464E-2</v>
      </c>
      <c r="G35" s="27">
        <f>IF((E35&gt;$F$2),TIME(Beregninger!I25,Beregninger!K25,Beregninger!L25),"  ")</f>
        <v>4.1296296296296296E-2</v>
      </c>
      <c r="H35" s="20">
        <f t="shared" si="1"/>
        <v>4</v>
      </c>
      <c r="I35" s="19">
        <f>IF((Beregninger!M25&gt;1),TIME(Beregninger!N25,Beregninger!P25,Beregninger!Q25),"  ")</f>
        <v>1.5787037037037037E-2</v>
      </c>
      <c r="J35" s="19">
        <f>IF((Beregninger!M25&gt;1),TIME(Beregninger!S25,Beregninger!U25,Beregninger!V25),"  ")</f>
        <v>0</v>
      </c>
      <c r="K35" s="19">
        <f>IF((Beregninger!M25&gt;1),(J35+$F$2),"  ")</f>
        <v>0.80555555555555547</v>
      </c>
      <c r="M35" s="29"/>
      <c r="N35" s="29"/>
    </row>
    <row r="36" spans="1:14" ht="12.75" customHeight="1" x14ac:dyDescent="0.2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746.8</v>
      </c>
      <c r="E36" s="57"/>
      <c r="F36" s="27" t="str">
        <f t="shared" si="0"/>
        <v xml:space="preserve">  </v>
      </c>
      <c r="G36" s="27" t="str">
        <f>IF((E36&gt;$F$2),TIME(Beregninger!I26,Beregninger!K26,Beregninger!L26),"  ")</f>
        <v xml:space="preserve">  </v>
      </c>
      <c r="H36" s="20" t="str">
        <f t="shared" si="1"/>
        <v>DNS</v>
      </c>
      <c r="I36" s="19">
        <f>IF((Beregninger!M26&gt;1),TIME(Beregninger!N26,Beregninger!P26,Beregninger!Q26),"  ")</f>
        <v>1.383101851851852E-2</v>
      </c>
      <c r="J36" s="19">
        <f>IF((Beregninger!M26&gt;1),TIME(Beregninger!S26,Beregninger!U26,Beregninger!V26),"  ")</f>
        <v>1.9444444444444442E-3</v>
      </c>
      <c r="K36" s="19">
        <f>IF((Beregninger!M26&gt;1),(J36+$F$2),"  ")</f>
        <v>0.80749999999999988</v>
      </c>
      <c r="N36" s="29"/>
    </row>
    <row r="37" spans="1:14" ht="12.75" customHeight="1" x14ac:dyDescent="0.2"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743.2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1.3761574074074074E-2</v>
      </c>
      <c r="J37" s="19">
        <f>IF((Beregninger!M27&gt;1),TIME(Beregninger!S27,Beregninger!U27,Beregninger!V27),"  ")</f>
        <v>2.0138888888888888E-3</v>
      </c>
      <c r="K37" s="19">
        <f>IF((Beregninger!M27&gt;1),(J37+$F$2),"  ")</f>
        <v>0.80756944444444434</v>
      </c>
      <c r="L37" t="s">
        <v>125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641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1.1875000000000002E-2</v>
      </c>
      <c r="J38" s="19">
        <f>IF((Beregninger!M28&gt;1),TIME(Beregninger!S28,Beregninger!U28,Beregninger!V28),"  ")</f>
        <v>3.9120370370370368E-3</v>
      </c>
      <c r="K38" s="19">
        <f>IF((Beregninger!M28&gt;1),(J38+$F$2),"  ")</f>
        <v>0.80946759259259249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848.4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1.5706018518518518E-2</v>
      </c>
      <c r="J39" s="19">
        <f>IF((Beregninger!M29&gt;1),TIME(Beregninger!S29,Beregninger!U29,Beregninger!V29),"  ")</f>
        <v>6.9444444444444444E-5</v>
      </c>
      <c r="K39" s="19">
        <f>IF((Beregninger!M29&gt;1),(J39+$F$2),"  ")</f>
        <v>0.80562499999999992</v>
      </c>
    </row>
    <row r="40" spans="1:14" ht="12.75" customHeight="1" x14ac:dyDescent="0.2">
      <c r="A40" s="37" t="str">
        <f>IF((D37&gt;0.5),Måltal!A27,"    ")</f>
        <v>Xalina</v>
      </c>
      <c r="B40" s="2" t="str">
        <f>IF((D37&gt;0.5),Måltal!B27,"     ")</f>
        <v>X-382</v>
      </c>
      <c r="C40" s="82">
        <v>86</v>
      </c>
      <c r="E40" s="29">
        <v>0.83697916666666661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>
      <pane ySplit="1" topLeftCell="A2" activePane="bottomLeft" state="frozen"/>
      <selection pane="bottomLeft" activeCell="D27" sqref="D27"/>
    </sheetView>
  </sheetViews>
  <sheetFormatPr defaultColWidth="9.140625" defaultRowHeight="12.75" customHeight="1" x14ac:dyDescent="0.2"/>
  <cols>
    <col min="1" max="1" width="13.140625" style="38" bestFit="1" customWidth="1"/>
    <col min="2" max="2" width="19.7109375" style="38" customWidth="1"/>
    <col min="3" max="3" width="7.85546875" style="38" bestFit="1" customWidth="1"/>
    <col min="4" max="7" width="9.140625" style="65" customWidth="1"/>
    <col min="8" max="8" width="10.28515625" style="65" customWidth="1"/>
    <col min="9" max="10" width="9.140625" style="65" customWidth="1"/>
    <col min="11" max="11" width="9.140625" style="38" customWidth="1"/>
    <col min="12" max="12" width="9.140625" style="38"/>
    <col min="13" max="13" width="10.140625" style="38" bestFit="1" customWidth="1"/>
    <col min="14" max="16384" width="9.140625" style="38"/>
  </cols>
  <sheetData>
    <row r="1" spans="1:13" x14ac:dyDescent="0.2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120</v>
      </c>
      <c r="M1" s="38" t="s">
        <v>119</v>
      </c>
    </row>
    <row r="2" spans="1:13" ht="12.75" customHeight="1" x14ac:dyDescent="0.2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114</v>
      </c>
    </row>
    <row r="3" spans="1:13" x14ac:dyDescent="0.2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114</v>
      </c>
    </row>
    <row r="4" spans="1:13" x14ac:dyDescent="0.2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114</v>
      </c>
    </row>
    <row r="5" spans="1:13" x14ac:dyDescent="0.2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114</v>
      </c>
    </row>
    <row r="6" spans="1:13" x14ac:dyDescent="0.2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114</v>
      </c>
    </row>
    <row r="7" spans="1:13" x14ac:dyDescent="0.2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114</v>
      </c>
    </row>
    <row r="8" spans="1:13" x14ac:dyDescent="0.2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114</v>
      </c>
    </row>
    <row r="9" spans="1:13" s="73" customFormat="1" x14ac:dyDescent="0.2">
      <c r="A9" s="66" t="s">
        <v>1</v>
      </c>
      <c r="B9" s="67" t="s">
        <v>89</v>
      </c>
      <c r="C9" s="31">
        <f>Resultat!H19</f>
        <v>2</v>
      </c>
      <c r="D9" s="35">
        <v>746.6</v>
      </c>
      <c r="E9" s="83">
        <v>582</v>
      </c>
      <c r="F9" s="35">
        <v>513.4</v>
      </c>
      <c r="G9" s="35">
        <v>979.4</v>
      </c>
      <c r="H9" s="35">
        <v>730.4</v>
      </c>
      <c r="I9" s="35">
        <v>621.6</v>
      </c>
      <c r="J9" s="35">
        <v>589.6</v>
      </c>
      <c r="K9" s="36">
        <v>1.1379999999999999</v>
      </c>
      <c r="L9" s="32">
        <v>30673</v>
      </c>
      <c r="M9" s="32" t="s">
        <v>121</v>
      </c>
    </row>
    <row r="10" spans="1:13" x14ac:dyDescent="0.2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114</v>
      </c>
    </row>
    <row r="11" spans="1:13" x14ac:dyDescent="0.2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114</v>
      </c>
    </row>
    <row r="12" spans="1:13" x14ac:dyDescent="0.2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114</v>
      </c>
    </row>
    <row r="13" spans="1:13" s="73" customFormat="1" x14ac:dyDescent="0.2">
      <c r="A13" s="66" t="s">
        <v>108</v>
      </c>
      <c r="B13" s="67" t="s">
        <v>109</v>
      </c>
      <c r="C13" s="68" t="str">
        <f>Resultat!H23</f>
        <v>DNS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2">
      <c r="A14" s="66" t="s">
        <v>116</v>
      </c>
      <c r="B14" s="67" t="s">
        <v>115</v>
      </c>
      <c r="C14" s="68" t="str">
        <f>Resultat!H24</f>
        <v>DNS</v>
      </c>
      <c r="D14" s="69">
        <v>709.2</v>
      </c>
      <c r="E14" s="69">
        <v>570.79999999999995</v>
      </c>
      <c r="F14" s="69">
        <v>511</v>
      </c>
      <c r="G14" s="69">
        <v>925.4</v>
      </c>
      <c r="H14" s="69">
        <v>709.4</v>
      </c>
      <c r="I14" s="69">
        <v>616</v>
      </c>
      <c r="J14" s="69">
        <v>576.6</v>
      </c>
      <c r="K14" s="70">
        <v>1.155</v>
      </c>
      <c r="L14" s="71">
        <v>3984</v>
      </c>
      <c r="M14" s="72">
        <v>43214</v>
      </c>
    </row>
    <row r="15" spans="1:13" s="73" customFormat="1" x14ac:dyDescent="0.2">
      <c r="A15" s="66" t="s">
        <v>98</v>
      </c>
      <c r="B15" s="67" t="s">
        <v>99</v>
      </c>
      <c r="C15" s="68" t="str">
        <f>Resultat!H25</f>
        <v>DNS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2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114</v>
      </c>
    </row>
    <row r="17" spans="1:13" x14ac:dyDescent="0.2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114</v>
      </c>
    </row>
    <row r="18" spans="1:13" s="73" customFormat="1" x14ac:dyDescent="0.2">
      <c r="A18" s="66" t="s">
        <v>8</v>
      </c>
      <c r="B18" s="67" t="s">
        <v>93</v>
      </c>
      <c r="C18" s="68">
        <f>Resultat!H28</f>
        <v>1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2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114</v>
      </c>
    </row>
    <row r="20" spans="1:13" x14ac:dyDescent="0.2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114</v>
      </c>
    </row>
    <row r="21" spans="1:13" x14ac:dyDescent="0.2">
      <c r="A21" s="66" t="s">
        <v>118</v>
      </c>
      <c r="B21" s="67" t="s">
        <v>76</v>
      </c>
      <c r="C21" s="68">
        <f>Resultat!H31</f>
        <v>5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2">
      <c r="A22" s="68" t="s">
        <v>110</v>
      </c>
      <c r="B22" s="67" t="s">
        <v>76</v>
      </c>
      <c r="C22" s="68" t="str">
        <f>Resultat!H32</f>
        <v>DNS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2">
      <c r="A23" s="66" t="s">
        <v>75</v>
      </c>
      <c r="B23" s="67" t="s">
        <v>76</v>
      </c>
      <c r="C23" s="68">
        <f>Resultat!H33</f>
        <v>6</v>
      </c>
      <c r="D23" s="84">
        <v>852.8</v>
      </c>
      <c r="E23" s="84">
        <v>662.4</v>
      </c>
      <c r="F23" s="84">
        <v>586.6</v>
      </c>
      <c r="G23" s="84">
        <v>1122.4000000000001</v>
      </c>
      <c r="H23" s="84">
        <v>825.8</v>
      </c>
      <c r="I23" s="84">
        <v>713.2</v>
      </c>
      <c r="J23" s="84">
        <v>672</v>
      </c>
      <c r="K23" s="68">
        <v>0.998</v>
      </c>
      <c r="L23" s="71">
        <v>16718</v>
      </c>
      <c r="M23" s="72">
        <v>43238</v>
      </c>
    </row>
    <row r="24" spans="1:13" s="73" customFormat="1" ht="12.75" customHeight="1" x14ac:dyDescent="0.2">
      <c r="A24" s="66" t="s">
        <v>79</v>
      </c>
      <c r="B24" s="67" t="s">
        <v>76</v>
      </c>
      <c r="C24" s="68">
        <f>Resultat!H34</f>
        <v>3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2">
      <c r="A25" s="33" t="s">
        <v>113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114</v>
      </c>
    </row>
    <row r="26" spans="1:13" s="73" customFormat="1" ht="12.75" customHeight="1" x14ac:dyDescent="0.2">
      <c r="A26" s="66" t="s">
        <v>77</v>
      </c>
      <c r="B26" s="67" t="s">
        <v>78</v>
      </c>
      <c r="C26" s="68" t="str">
        <f>Resultat!H36</f>
        <v>DNS</v>
      </c>
      <c r="D26" s="85">
        <v>746.8</v>
      </c>
      <c r="E26" s="85">
        <v>598.4</v>
      </c>
      <c r="F26" s="85">
        <v>536</v>
      </c>
      <c r="G26" s="85">
        <v>981</v>
      </c>
      <c r="H26" s="85">
        <v>746.2</v>
      </c>
      <c r="I26" s="85">
        <v>648</v>
      </c>
      <c r="J26" s="85">
        <v>605</v>
      </c>
      <c r="K26" s="68">
        <v>1.101</v>
      </c>
      <c r="L26" s="71">
        <v>8966</v>
      </c>
      <c r="M26" s="72">
        <v>43236</v>
      </c>
    </row>
    <row r="27" spans="1:13" ht="12.75" customHeight="1" x14ac:dyDescent="0.2">
      <c r="A27" s="32" t="s">
        <v>122</v>
      </c>
      <c r="B27" s="34" t="s">
        <v>123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/>
    </row>
    <row r="28" spans="1:13" ht="12.75" customHeight="1" x14ac:dyDescent="0.2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114</v>
      </c>
    </row>
    <row r="29" spans="1:13" ht="12.75" customHeight="1" x14ac:dyDescent="0.2">
      <c r="A29" s="33" t="s">
        <v>111</v>
      </c>
      <c r="B29" s="34" t="s">
        <v>112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114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topLeftCell="M1" zoomScale="80" zoomScaleNormal="80" workbookViewId="0">
      <selection activeCell="W28" sqref="W28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1432</v>
      </c>
      <c r="N2" s="23">
        <f t="shared" ref="N2:N29" si="10">ROUNDDOWN((M2/3600),0)</f>
        <v>0</v>
      </c>
      <c r="O2" s="23">
        <f t="shared" ref="O2:O29" si="11">MOD(M2,3600)</f>
        <v>1432</v>
      </c>
      <c r="P2" s="21">
        <f t="shared" ref="P2:P29" si="12">INT((O2/60))</f>
        <v>23</v>
      </c>
      <c r="Q2" s="23">
        <f t="shared" ref="Q2:Q29" si="13">MOD(O2,60)</f>
        <v>52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65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1600</v>
      </c>
      <c r="N3" s="23">
        <f t="shared" si="10"/>
        <v>0</v>
      </c>
      <c r="O3" s="23">
        <f t="shared" si="11"/>
        <v>1600</v>
      </c>
      <c r="P3" s="21">
        <f t="shared" si="12"/>
        <v>26</v>
      </c>
      <c r="Q3" s="23">
        <f t="shared" si="13"/>
        <v>40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60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1592</v>
      </c>
      <c r="N4" s="23">
        <f t="shared" si="10"/>
        <v>0</v>
      </c>
      <c r="O4" s="23">
        <f t="shared" si="11"/>
        <v>1592</v>
      </c>
      <c r="P4" s="21">
        <f t="shared" si="12"/>
        <v>26</v>
      </c>
      <c r="Q4" s="23">
        <f t="shared" si="13"/>
        <v>32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71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1512</v>
      </c>
      <c r="N5" s="23">
        <f t="shared" si="10"/>
        <v>0</v>
      </c>
      <c r="O5" s="23">
        <f t="shared" si="11"/>
        <v>1512</v>
      </c>
      <c r="P5" s="21">
        <f t="shared" si="12"/>
        <v>25</v>
      </c>
      <c r="Q5" s="23">
        <f t="shared" si="13"/>
        <v>12</v>
      </c>
      <c r="R5" s="21">
        <f>IF((Resultat!$B$4&gt;Resultat!D15),ROUND(((Resultat!$B$4-Resultat!D15)*Resultat!$H$2),0),0)</f>
        <v>0</v>
      </c>
      <c r="S5" s="21">
        <f t="shared" si="14"/>
        <v>0</v>
      </c>
      <c r="T5" s="21">
        <f t="shared" si="15"/>
        <v>0</v>
      </c>
      <c r="U5" s="21">
        <f t="shared" si="16"/>
        <v>0</v>
      </c>
      <c r="V5" s="21">
        <f t="shared" si="17"/>
        <v>0</v>
      </c>
      <c r="W5" s="21" t="s">
        <v>30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1276</v>
      </c>
      <c r="N6" s="23">
        <f t="shared" si="10"/>
        <v>0</v>
      </c>
      <c r="O6" s="23">
        <f t="shared" si="11"/>
        <v>1276</v>
      </c>
      <c r="P6" s="21">
        <f t="shared" si="12"/>
        <v>21</v>
      </c>
      <c r="Q6" s="23">
        <f t="shared" si="13"/>
        <v>16</v>
      </c>
      <c r="R6" s="21">
        <f>IF((Resultat!$B$4&gt;Resultat!D16),ROUND(((Resultat!$B$4-Resultat!D16)*Resultat!$H$2),0),0)</f>
        <v>87</v>
      </c>
      <c r="S6" s="21">
        <f t="shared" si="14"/>
        <v>0</v>
      </c>
      <c r="T6" s="21">
        <f t="shared" si="15"/>
        <v>87</v>
      </c>
      <c r="U6" s="21">
        <f t="shared" si="16"/>
        <v>1</v>
      </c>
      <c r="V6" s="21">
        <f t="shared" si="17"/>
        <v>27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1305</v>
      </c>
      <c r="N7" s="23">
        <f t="shared" si="10"/>
        <v>0</v>
      </c>
      <c r="O7" s="23">
        <f t="shared" si="11"/>
        <v>1305</v>
      </c>
      <c r="P7" s="21">
        <f t="shared" si="12"/>
        <v>21</v>
      </c>
      <c r="Q7" s="23">
        <f t="shared" si="13"/>
        <v>45</v>
      </c>
      <c r="R7" s="21">
        <f>IF((Resultat!$B$4&gt;Resultat!D17),ROUND(((Resultat!$B$4-Resultat!D17)*Resultat!$H$2),0),0)</f>
        <v>58</v>
      </c>
      <c r="S7" s="21">
        <f t="shared" si="14"/>
        <v>0</v>
      </c>
      <c r="T7" s="21">
        <f t="shared" si="15"/>
        <v>58</v>
      </c>
      <c r="U7" s="21">
        <f t="shared" si="16"/>
        <v>0</v>
      </c>
      <c r="V7" s="21">
        <f t="shared" si="17"/>
        <v>58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1387</v>
      </c>
      <c r="N8" s="23">
        <f t="shared" si="10"/>
        <v>0</v>
      </c>
      <c r="O8" s="23">
        <f t="shared" si="11"/>
        <v>1387</v>
      </c>
      <c r="P8" s="21">
        <f t="shared" si="12"/>
        <v>23</v>
      </c>
      <c r="Q8" s="23">
        <f t="shared" si="13"/>
        <v>7</v>
      </c>
      <c r="R8" s="21">
        <f>IF((Resultat!$B$4&gt;Resultat!D18),ROUND(((Resultat!$B$4-Resultat!D18)*Resultat!$H$2),0),0)</f>
        <v>0</v>
      </c>
      <c r="S8" s="21">
        <f t="shared" si="14"/>
        <v>0</v>
      </c>
      <c r="T8" s="21">
        <f t="shared" si="15"/>
        <v>0</v>
      </c>
      <c r="U8" s="21">
        <f t="shared" si="16"/>
        <v>0</v>
      </c>
      <c r="V8" s="21">
        <f t="shared" si="17"/>
        <v>0</v>
      </c>
      <c r="W8" s="21" t="s">
        <v>61</v>
      </c>
    </row>
    <row r="9" spans="1:23" ht="12.75" customHeight="1" x14ac:dyDescent="0.2">
      <c r="A9" s="22">
        <f>Resultat!F19</f>
        <v>3.5868055555555722E-2</v>
      </c>
      <c r="B9" s="21">
        <f t="shared" si="0"/>
        <v>0</v>
      </c>
      <c r="C9" s="21">
        <f t="shared" si="1"/>
        <v>0</v>
      </c>
      <c r="D9" s="21">
        <f t="shared" si="2"/>
        <v>51</v>
      </c>
      <c r="E9" s="21">
        <f t="shared" si="3"/>
        <v>3060</v>
      </c>
      <c r="F9" s="21">
        <f t="shared" si="4"/>
        <v>39</v>
      </c>
      <c r="G9" s="21">
        <f t="shared" si="5"/>
        <v>3099</v>
      </c>
      <c r="H9" s="23">
        <f>IF((Resultat!$B$6&lt;=7),(G9+((Resultat!$B$4-Resultat!D19)*Resultat!$H$2)),(G9*Resultat!D19))</f>
        <v>3267.64</v>
      </c>
      <c r="I9" s="21">
        <f t="shared" si="6"/>
        <v>0</v>
      </c>
      <c r="J9" s="23">
        <f t="shared" si="7"/>
        <v>3267.64</v>
      </c>
      <c r="K9" s="21">
        <f t="shared" si="8"/>
        <v>54</v>
      </c>
      <c r="L9" s="23">
        <f t="shared" si="9"/>
        <v>27.639999999999873</v>
      </c>
      <c r="M9" s="23">
        <f>ROUND((Resultat!D19*Resultat!$H$2),0)</f>
        <v>1195</v>
      </c>
      <c r="N9" s="23">
        <f t="shared" si="10"/>
        <v>0</v>
      </c>
      <c r="O9" s="23">
        <f t="shared" si="11"/>
        <v>1195</v>
      </c>
      <c r="P9" s="21">
        <f t="shared" si="12"/>
        <v>19</v>
      </c>
      <c r="Q9" s="23">
        <f t="shared" si="13"/>
        <v>55</v>
      </c>
      <c r="R9" s="21">
        <f>IF((Resultat!$B$4&gt;Resultat!D19),ROUND(((Resultat!$B$4-Resultat!D19)*Resultat!$H$2),0),0)</f>
        <v>169</v>
      </c>
      <c r="S9" s="21">
        <f t="shared" si="14"/>
        <v>0</v>
      </c>
      <c r="T9" s="21">
        <f t="shared" si="15"/>
        <v>169</v>
      </c>
      <c r="U9" s="21">
        <f t="shared" si="16"/>
        <v>2</v>
      </c>
      <c r="V9" s="21">
        <f t="shared" si="17"/>
        <v>49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1314</v>
      </c>
      <c r="N10" s="23">
        <f t="shared" si="10"/>
        <v>0</v>
      </c>
      <c r="O10" s="23">
        <f t="shared" si="11"/>
        <v>1314</v>
      </c>
      <c r="P10" s="21">
        <f t="shared" si="12"/>
        <v>21</v>
      </c>
      <c r="Q10" s="23">
        <f t="shared" si="13"/>
        <v>54</v>
      </c>
      <c r="R10" s="21">
        <f>IF((Resultat!$B$4&gt;Resultat!D20),ROUND(((Resultat!$B$4-Resultat!D20)*Resultat!$H$2),0),0)</f>
        <v>50</v>
      </c>
      <c r="S10" s="21">
        <f t="shared" si="14"/>
        <v>0</v>
      </c>
      <c r="T10" s="21">
        <f t="shared" si="15"/>
        <v>50</v>
      </c>
      <c r="U10" s="21">
        <f t="shared" si="16"/>
        <v>0</v>
      </c>
      <c r="V10" s="21">
        <f t="shared" si="17"/>
        <v>50</v>
      </c>
      <c r="W10" s="21" t="s">
        <v>59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1171</v>
      </c>
      <c r="N11" s="23">
        <f t="shared" si="10"/>
        <v>0</v>
      </c>
      <c r="O11" s="23">
        <f t="shared" si="11"/>
        <v>1171</v>
      </c>
      <c r="P11" s="21">
        <f t="shared" si="12"/>
        <v>19</v>
      </c>
      <c r="Q11" s="23">
        <f t="shared" si="13"/>
        <v>31</v>
      </c>
      <c r="R11" s="21">
        <f>IF((Resultat!$B$4&gt;Resultat!D21),ROUND(((Resultat!$B$4-Resultat!D21)*Resultat!$H$2),0),0)</f>
        <v>192</v>
      </c>
      <c r="S11" s="21">
        <f t="shared" si="14"/>
        <v>0</v>
      </c>
      <c r="T11" s="21">
        <f t="shared" si="15"/>
        <v>192</v>
      </c>
      <c r="U11" s="21">
        <f t="shared" si="16"/>
        <v>3</v>
      </c>
      <c r="V11" s="21">
        <f t="shared" si="17"/>
        <v>12</v>
      </c>
      <c r="W11" s="21" t="s">
        <v>49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1189</v>
      </c>
      <c r="N12" s="23">
        <f t="shared" si="10"/>
        <v>0</v>
      </c>
      <c r="O12" s="23">
        <f t="shared" si="11"/>
        <v>1189</v>
      </c>
      <c r="P12" s="21">
        <f t="shared" si="12"/>
        <v>19</v>
      </c>
      <c r="Q12" s="23">
        <f t="shared" si="13"/>
        <v>49</v>
      </c>
      <c r="R12" s="21">
        <f>IF((Resultat!$B$4&gt;Resultat!D22),ROUND(((Resultat!$B$4-Resultat!D22)*Resultat!$H$2),0),0)</f>
        <v>174</v>
      </c>
      <c r="S12" s="21">
        <f t="shared" si="14"/>
        <v>0</v>
      </c>
      <c r="T12" s="21">
        <f t="shared" si="15"/>
        <v>174</v>
      </c>
      <c r="U12" s="21">
        <f t="shared" si="16"/>
        <v>2</v>
      </c>
      <c r="V12" s="21">
        <f t="shared" si="17"/>
        <v>54</v>
      </c>
      <c r="W12" s="21" t="s">
        <v>37</v>
      </c>
    </row>
    <row r="13" spans="1:23" ht="12.75" customHeight="1" x14ac:dyDescent="0.2">
      <c r="A13" s="22" t="str">
        <f>Resultat!F23</f>
        <v xml:space="preserve">  </v>
      </c>
      <c r="B13" s="21" t="e">
        <f t="shared" si="0"/>
        <v>#VALUE!</v>
      </c>
      <c r="C13" s="21" t="e">
        <f t="shared" si="1"/>
        <v>#VALUE!</v>
      </c>
      <c r="D13" s="21" t="e">
        <f t="shared" si="2"/>
        <v>#VALUE!</v>
      </c>
      <c r="E13" s="21" t="e">
        <f t="shared" si="3"/>
        <v>#VALUE!</v>
      </c>
      <c r="F13" s="21" t="e">
        <f t="shared" si="4"/>
        <v>#VALUE!</v>
      </c>
      <c r="G13" s="21" t="e">
        <f t="shared" si="5"/>
        <v>#VALUE!</v>
      </c>
      <c r="H13" s="23" t="e">
        <f>IF((Resultat!$B$6&lt;=7),(G13+((Resultat!$B$4-Resultat!D23)*Resultat!$H$2)),(G13*Resultat!D23))</f>
        <v>#VALUE!</v>
      </c>
      <c r="I13" s="21" t="e">
        <f t="shared" si="6"/>
        <v>#VALUE!</v>
      </c>
      <c r="J13" s="23" t="e">
        <f t="shared" si="7"/>
        <v>#VALUE!</v>
      </c>
      <c r="K13" s="21" t="e">
        <f t="shared" si="8"/>
        <v>#VALUE!</v>
      </c>
      <c r="L13" s="23" t="e">
        <f t="shared" si="9"/>
        <v>#VALUE!</v>
      </c>
      <c r="M13" s="23">
        <f>ROUND((Resultat!D23*Resultat!$H$2),0)</f>
        <v>995</v>
      </c>
      <c r="N13" s="23">
        <f t="shared" si="10"/>
        <v>0</v>
      </c>
      <c r="O13" s="23">
        <f t="shared" si="11"/>
        <v>995</v>
      </c>
      <c r="P13" s="21">
        <f t="shared" si="12"/>
        <v>16</v>
      </c>
      <c r="Q13" s="23">
        <f t="shared" si="13"/>
        <v>35</v>
      </c>
      <c r="R13" s="21">
        <f>IF((Resultat!$B$4&gt;Resultat!D23),ROUND(((Resultat!$B$4-Resultat!D23)*Resultat!$H$2),0),0)</f>
        <v>369</v>
      </c>
      <c r="S13" s="21">
        <f t="shared" si="14"/>
        <v>0</v>
      </c>
      <c r="T13" s="21">
        <f t="shared" si="15"/>
        <v>369</v>
      </c>
      <c r="U13" s="21">
        <f t="shared" si="16"/>
        <v>6</v>
      </c>
      <c r="V13" s="21">
        <f t="shared" si="17"/>
        <v>9</v>
      </c>
      <c r="W13" s="21" t="s">
        <v>42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1135</v>
      </c>
      <c r="N14" s="23">
        <f t="shared" si="10"/>
        <v>0</v>
      </c>
      <c r="O14" s="23">
        <f t="shared" si="11"/>
        <v>1135</v>
      </c>
      <c r="P14" s="21">
        <f t="shared" si="12"/>
        <v>18</v>
      </c>
      <c r="Q14" s="23">
        <f t="shared" si="13"/>
        <v>55</v>
      </c>
      <c r="R14" s="21">
        <f>IF((Resultat!$B$4&gt;Resultat!D24),ROUND(((Resultat!$B$4-Resultat!D24)*Resultat!$H$2),0),0)</f>
        <v>228</v>
      </c>
      <c r="S14" s="21">
        <f t="shared" si="14"/>
        <v>0</v>
      </c>
      <c r="T14" s="21">
        <f t="shared" si="15"/>
        <v>228</v>
      </c>
      <c r="U14" s="21">
        <f t="shared" si="16"/>
        <v>3</v>
      </c>
      <c r="V14" s="21">
        <f t="shared" si="17"/>
        <v>48</v>
      </c>
      <c r="W14" s="21" t="s">
        <v>116</v>
      </c>
    </row>
    <row r="15" spans="1:23" ht="12.75" customHeight="1" x14ac:dyDescent="0.2">
      <c r="A15" s="22" t="str">
        <f>Resultat!F25</f>
        <v xml:space="preserve">  </v>
      </c>
      <c r="B15" s="21" t="e">
        <f t="shared" si="0"/>
        <v>#VALUE!</v>
      </c>
      <c r="C15" s="21" t="e">
        <f t="shared" si="1"/>
        <v>#VALUE!</v>
      </c>
      <c r="D15" s="21" t="e">
        <f t="shared" si="2"/>
        <v>#VALUE!</v>
      </c>
      <c r="E15" s="21" t="e">
        <f t="shared" si="3"/>
        <v>#VALUE!</v>
      </c>
      <c r="F15" s="21" t="e">
        <f t="shared" si="4"/>
        <v>#VALUE!</v>
      </c>
      <c r="G15" s="21" t="e">
        <f t="shared" si="5"/>
        <v>#VALUE!</v>
      </c>
      <c r="H15" s="23" t="e">
        <f>IF((Resultat!$B$6&lt;=7),(G15+((Resultat!$B$4-Resultat!D25)*Resultat!$H$2)),(G15*Resultat!D25))</f>
        <v>#VALUE!</v>
      </c>
      <c r="I15" s="21" t="e">
        <f t="shared" si="6"/>
        <v>#VALUE!</v>
      </c>
      <c r="J15" s="23" t="e">
        <f t="shared" si="7"/>
        <v>#VALUE!</v>
      </c>
      <c r="K15" s="21" t="e">
        <f t="shared" si="8"/>
        <v>#VALUE!</v>
      </c>
      <c r="L15" s="23" t="e">
        <f t="shared" si="9"/>
        <v>#VALUE!</v>
      </c>
      <c r="M15" s="23">
        <f>ROUND((Resultat!D25*Resultat!$H$2),0)</f>
        <v>1116</v>
      </c>
      <c r="N15" s="23">
        <f t="shared" si="10"/>
        <v>0</v>
      </c>
      <c r="O15" s="23">
        <f t="shared" si="11"/>
        <v>1116</v>
      </c>
      <c r="P15" s="21">
        <f t="shared" si="12"/>
        <v>18</v>
      </c>
      <c r="Q15" s="23">
        <f t="shared" si="13"/>
        <v>36</v>
      </c>
      <c r="R15" s="21">
        <f>IF((Resultat!$B$4&gt;Resultat!D25),ROUND(((Resultat!$B$4-Resultat!D25)*Resultat!$H$2),0),0)</f>
        <v>247</v>
      </c>
      <c r="S15" s="21">
        <f t="shared" si="14"/>
        <v>0</v>
      </c>
      <c r="T15" s="21">
        <f t="shared" si="15"/>
        <v>247</v>
      </c>
      <c r="U15" s="21">
        <f t="shared" si="16"/>
        <v>4</v>
      </c>
      <c r="V15" s="21">
        <f t="shared" si="17"/>
        <v>7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1154</v>
      </c>
      <c r="N16" s="23">
        <f t="shared" si="10"/>
        <v>0</v>
      </c>
      <c r="O16" s="23">
        <f t="shared" si="11"/>
        <v>1154</v>
      </c>
      <c r="P16" s="21">
        <f t="shared" si="12"/>
        <v>19</v>
      </c>
      <c r="Q16" s="23">
        <f t="shared" si="13"/>
        <v>14</v>
      </c>
      <c r="R16" s="21">
        <f>IF((Resultat!$B$4&gt;Resultat!D26),ROUND(((Resultat!$B$4-Resultat!D26)*Resultat!$H$2),0),0)</f>
        <v>210</v>
      </c>
      <c r="S16" s="21">
        <f t="shared" si="14"/>
        <v>0</v>
      </c>
      <c r="T16" s="21">
        <f t="shared" si="15"/>
        <v>210</v>
      </c>
      <c r="U16" s="21">
        <f t="shared" si="16"/>
        <v>3</v>
      </c>
      <c r="V16" s="21">
        <f t="shared" si="17"/>
        <v>30</v>
      </c>
      <c r="W16" s="13" t="s">
        <v>70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1270</v>
      </c>
      <c r="N17" s="23">
        <f t="shared" si="10"/>
        <v>0</v>
      </c>
      <c r="O17" s="23">
        <f t="shared" si="11"/>
        <v>1270</v>
      </c>
      <c r="P17" s="21">
        <f t="shared" si="12"/>
        <v>21</v>
      </c>
      <c r="Q17" s="23">
        <f t="shared" si="13"/>
        <v>10</v>
      </c>
      <c r="R17" s="21">
        <f>IF((Resultat!$B$4&gt;Resultat!D27),ROUND(((Resultat!$B$4-Resultat!D27)*Resultat!$H$2),0),0)</f>
        <v>93</v>
      </c>
      <c r="S17" s="21">
        <f t="shared" si="14"/>
        <v>0</v>
      </c>
      <c r="T17" s="21">
        <f t="shared" si="15"/>
        <v>93</v>
      </c>
      <c r="U17" s="21">
        <f t="shared" si="16"/>
        <v>1</v>
      </c>
      <c r="V17" s="21">
        <f t="shared" si="17"/>
        <v>33</v>
      </c>
      <c r="W17" s="21" t="s">
        <v>29</v>
      </c>
    </row>
    <row r="18" spans="1:23" ht="12.75" customHeight="1" x14ac:dyDescent="0.2">
      <c r="A18" s="22">
        <f>Resultat!F28</f>
        <v>2.9606481481481595E-2</v>
      </c>
      <c r="B18" s="21">
        <f t="shared" si="0"/>
        <v>0</v>
      </c>
      <c r="C18" s="21">
        <f t="shared" si="1"/>
        <v>0</v>
      </c>
      <c r="D18" s="21">
        <f t="shared" si="2"/>
        <v>42</v>
      </c>
      <c r="E18" s="21">
        <f t="shared" si="3"/>
        <v>2520</v>
      </c>
      <c r="F18" s="21">
        <f t="shared" si="4"/>
        <v>38</v>
      </c>
      <c r="G18" s="21">
        <f t="shared" si="5"/>
        <v>2558</v>
      </c>
      <c r="H18" s="23">
        <f>IF((Resultat!$B$6&lt;=7),(G18+((Resultat!$B$4-Resultat!D28)*Resultat!$H$2)),(G18*Resultat!D28))</f>
        <v>2852.7200000000003</v>
      </c>
      <c r="I18" s="21">
        <f t="shared" si="6"/>
        <v>0</v>
      </c>
      <c r="J18" s="23">
        <f t="shared" si="7"/>
        <v>2852.7200000000003</v>
      </c>
      <c r="K18" s="21">
        <f t="shared" si="8"/>
        <v>47</v>
      </c>
      <c r="L18" s="23">
        <f t="shared" si="9"/>
        <v>32.720000000000255</v>
      </c>
      <c r="M18" s="23">
        <f>ROUND((Resultat!D28*Resultat!$H$2),0)</f>
        <v>1068</v>
      </c>
      <c r="N18" s="23">
        <f t="shared" si="10"/>
        <v>0</v>
      </c>
      <c r="O18" s="23">
        <f t="shared" si="11"/>
        <v>1068</v>
      </c>
      <c r="P18" s="21">
        <f t="shared" si="12"/>
        <v>17</v>
      </c>
      <c r="Q18" s="23">
        <f t="shared" si="13"/>
        <v>48</v>
      </c>
      <c r="R18" s="21">
        <f>IF((Resultat!$B$4&gt;Resultat!D28),ROUND(((Resultat!$B$4-Resultat!D28)*Resultat!$H$2),0),0)</f>
        <v>295</v>
      </c>
      <c r="S18" s="21">
        <f t="shared" si="14"/>
        <v>0</v>
      </c>
      <c r="T18" s="21">
        <f t="shared" si="15"/>
        <v>295</v>
      </c>
      <c r="U18" s="21">
        <f t="shared" si="16"/>
        <v>4</v>
      </c>
      <c r="V18" s="21">
        <f t="shared" si="17"/>
        <v>55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1091</v>
      </c>
      <c r="N19" s="23">
        <f t="shared" si="10"/>
        <v>0</v>
      </c>
      <c r="O19" s="23">
        <f t="shared" si="11"/>
        <v>1091</v>
      </c>
      <c r="P19" s="21">
        <f t="shared" si="12"/>
        <v>18</v>
      </c>
      <c r="Q19" s="23">
        <f t="shared" si="13"/>
        <v>11</v>
      </c>
      <c r="R19" s="21">
        <f>IF((Resultat!$B$4&gt;Resultat!D29),ROUND(((Resultat!$B$4-Resultat!D29)*Resultat!$H$2),0),0)</f>
        <v>273</v>
      </c>
      <c r="S19" s="21">
        <f t="shared" si="14"/>
        <v>0</v>
      </c>
      <c r="T19" s="21">
        <f t="shared" si="15"/>
        <v>273</v>
      </c>
      <c r="U19" s="21">
        <f t="shared" si="16"/>
        <v>4</v>
      </c>
      <c r="V19" s="21">
        <f t="shared" si="17"/>
        <v>33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1044</v>
      </c>
      <c r="N20" s="23">
        <f t="shared" si="10"/>
        <v>0</v>
      </c>
      <c r="O20" s="23">
        <f t="shared" si="11"/>
        <v>1044</v>
      </c>
      <c r="P20" s="21">
        <f t="shared" si="12"/>
        <v>17</v>
      </c>
      <c r="Q20" s="23">
        <f t="shared" si="13"/>
        <v>24</v>
      </c>
      <c r="R20" s="21">
        <f>IF((Resultat!$B$4&gt;Resultat!D30),ROUND(((Resultat!$B$4-Resultat!D30)*Resultat!$H$2),0),0)</f>
        <v>319</v>
      </c>
      <c r="S20" s="21">
        <f t="shared" si="14"/>
        <v>0</v>
      </c>
      <c r="T20" s="21">
        <f t="shared" si="15"/>
        <v>319</v>
      </c>
      <c r="U20" s="21">
        <f t="shared" si="16"/>
        <v>5</v>
      </c>
      <c r="V20" s="21">
        <f t="shared" si="17"/>
        <v>19</v>
      </c>
      <c r="W20" s="21" t="s">
        <v>68</v>
      </c>
    </row>
    <row r="21" spans="1:23" ht="12.75" customHeight="1" x14ac:dyDescent="0.2">
      <c r="A21" s="22">
        <f>Resultat!F31</f>
        <v>4.2094907407407511E-2</v>
      </c>
      <c r="B21" s="21">
        <f t="shared" si="0"/>
        <v>1</v>
      </c>
      <c r="C21" s="21">
        <f t="shared" si="1"/>
        <v>3600</v>
      </c>
      <c r="D21" s="21">
        <f t="shared" si="2"/>
        <v>0</v>
      </c>
      <c r="E21" s="21">
        <f t="shared" si="3"/>
        <v>0</v>
      </c>
      <c r="F21" s="21">
        <f t="shared" si="4"/>
        <v>37</v>
      </c>
      <c r="G21" s="21">
        <f t="shared" si="5"/>
        <v>3637</v>
      </c>
      <c r="H21" s="23">
        <f>IF((Resultat!$B$6&lt;=7),(G21+((Resultat!$B$4-Resultat!D31)*Resultat!$H$2)),(G21*Resultat!D31))</f>
        <v>3635.7200000000003</v>
      </c>
      <c r="I21" s="21">
        <f t="shared" si="6"/>
        <v>1</v>
      </c>
      <c r="J21" s="23">
        <f t="shared" si="7"/>
        <v>35.720000000000255</v>
      </c>
      <c r="K21" s="21">
        <f t="shared" si="8"/>
        <v>0</v>
      </c>
      <c r="L21" s="23">
        <f t="shared" si="9"/>
        <v>35.720000000000255</v>
      </c>
      <c r="M21" s="23">
        <f>ROUND((Resultat!D31*Resultat!$H$2),0)</f>
        <v>1364</v>
      </c>
      <c r="N21" s="23">
        <f t="shared" si="10"/>
        <v>0</v>
      </c>
      <c r="O21" s="23">
        <f t="shared" si="11"/>
        <v>1364</v>
      </c>
      <c r="P21" s="21">
        <f t="shared" si="12"/>
        <v>22</v>
      </c>
      <c r="Q21" s="23">
        <f t="shared" si="13"/>
        <v>44</v>
      </c>
      <c r="R21" s="21">
        <f>IF((Resultat!$B$4&gt;Resultat!D31),ROUND(((Resultat!$B$4-Resultat!D31)*Resultat!$H$2),0),0)</f>
        <v>0</v>
      </c>
      <c r="S21" s="21">
        <f t="shared" si="14"/>
        <v>0</v>
      </c>
      <c r="T21" s="21">
        <f t="shared" si="15"/>
        <v>0</v>
      </c>
      <c r="U21" s="21">
        <f t="shared" si="16"/>
        <v>0</v>
      </c>
      <c r="V21" s="21">
        <f t="shared" si="17"/>
        <v>0</v>
      </c>
      <c r="W21" s="21" t="s">
        <v>118</v>
      </c>
    </row>
    <row r="22" spans="1:23" ht="12.75" customHeight="1" x14ac:dyDescent="0.2">
      <c r="A22" s="22" t="str">
        <f>Resultat!F32</f>
        <v xml:space="preserve">  </v>
      </c>
      <c r="B22" s="21" t="e">
        <f t="shared" si="0"/>
        <v>#VALUE!</v>
      </c>
      <c r="C22" s="21" t="e">
        <f t="shared" si="1"/>
        <v>#VALUE!</v>
      </c>
      <c r="D22" s="21" t="e">
        <f t="shared" si="2"/>
        <v>#VALUE!</v>
      </c>
      <c r="E22" s="21" t="e">
        <f t="shared" si="3"/>
        <v>#VALUE!</v>
      </c>
      <c r="F22" s="21" t="e">
        <f t="shared" si="4"/>
        <v>#VALUE!</v>
      </c>
      <c r="G22" s="21" t="e">
        <f t="shared" si="5"/>
        <v>#VALUE!</v>
      </c>
      <c r="H22" s="23" t="e">
        <f>IF((Resultat!$B$6&lt;=7),(G22+((Resultat!$B$4-Resultat!D32)*Resultat!$H$2)),(G22*Resultat!D32))</f>
        <v>#VALUE!</v>
      </c>
      <c r="I22" s="21" t="e">
        <f t="shared" si="6"/>
        <v>#VALUE!</v>
      </c>
      <c r="J22" s="23" t="e">
        <f t="shared" si="7"/>
        <v>#VALUE!</v>
      </c>
      <c r="K22" s="21" t="e">
        <f t="shared" si="8"/>
        <v>#VALUE!</v>
      </c>
      <c r="L22" s="23" t="e">
        <f t="shared" si="9"/>
        <v>#VALUE!</v>
      </c>
      <c r="M22" s="23">
        <f>ROUND((Resultat!D32*Resultat!$H$2),0)</f>
        <v>1364</v>
      </c>
      <c r="N22" s="23">
        <f t="shared" si="10"/>
        <v>0</v>
      </c>
      <c r="O22" s="23">
        <f t="shared" si="11"/>
        <v>1364</v>
      </c>
      <c r="P22" s="21">
        <f t="shared" si="12"/>
        <v>22</v>
      </c>
      <c r="Q22" s="23">
        <f t="shared" si="13"/>
        <v>44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117</v>
      </c>
    </row>
    <row r="23" spans="1:23" ht="12.75" customHeight="1" x14ac:dyDescent="0.2">
      <c r="A23" s="22">
        <f>Resultat!F33</f>
        <v>4.3425925925925979E-2</v>
      </c>
      <c r="B23" s="21">
        <f t="shared" si="0"/>
        <v>1</v>
      </c>
      <c r="C23" s="21">
        <f t="shared" si="1"/>
        <v>3600</v>
      </c>
      <c r="D23" s="21">
        <f t="shared" si="2"/>
        <v>2</v>
      </c>
      <c r="E23" s="21">
        <f t="shared" si="3"/>
        <v>120</v>
      </c>
      <c r="F23" s="21">
        <f t="shared" si="4"/>
        <v>32</v>
      </c>
      <c r="G23" s="21">
        <f t="shared" si="5"/>
        <v>3752</v>
      </c>
      <c r="H23" s="23">
        <f>IF((Resultat!$B$6&lt;=7),(G23+((Resultat!$B$4-Resultat!D33)*Resultat!$H$2)),(G23*Resultat!D33))</f>
        <v>3750.7200000000003</v>
      </c>
      <c r="I23" s="21">
        <f t="shared" si="6"/>
        <v>1</v>
      </c>
      <c r="J23" s="23">
        <f t="shared" si="7"/>
        <v>150.72000000000025</v>
      </c>
      <c r="K23" s="21">
        <f t="shared" si="8"/>
        <v>2</v>
      </c>
      <c r="L23" s="23">
        <f t="shared" si="9"/>
        <v>30.720000000000255</v>
      </c>
      <c r="M23" s="23">
        <f>ROUND((Resultat!D33*Resultat!$H$2),0)</f>
        <v>1364</v>
      </c>
      <c r="N23" s="23">
        <f t="shared" si="10"/>
        <v>0</v>
      </c>
      <c r="O23" s="23">
        <f t="shared" si="11"/>
        <v>1364</v>
      </c>
      <c r="P23" s="21">
        <f t="shared" si="12"/>
        <v>22</v>
      </c>
      <c r="Q23" s="23">
        <f t="shared" si="13"/>
        <v>44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118</v>
      </c>
    </row>
    <row r="24" spans="1:23" ht="12.75" customHeight="1" x14ac:dyDescent="0.2">
      <c r="A24" s="22">
        <f>Resultat!F34</f>
        <v>4.065972222222225E-2</v>
      </c>
      <c r="B24" s="21">
        <f t="shared" si="0"/>
        <v>0</v>
      </c>
      <c r="C24" s="21">
        <f t="shared" si="1"/>
        <v>0</v>
      </c>
      <c r="D24" s="21">
        <f t="shared" si="2"/>
        <v>58</v>
      </c>
      <c r="E24" s="21">
        <f t="shared" si="3"/>
        <v>3480</v>
      </c>
      <c r="F24" s="21">
        <f t="shared" si="4"/>
        <v>33</v>
      </c>
      <c r="G24" s="21">
        <f t="shared" si="5"/>
        <v>3513</v>
      </c>
      <c r="H24" s="23">
        <f>IF((Resultat!$B$6&lt;=7),(G24+((Resultat!$B$4-Resultat!D34)*Resultat!$H$2)),(G24*Resultat!D34))</f>
        <v>3511.7200000000003</v>
      </c>
      <c r="I24" s="21">
        <f t="shared" si="6"/>
        <v>0</v>
      </c>
      <c r="J24" s="23">
        <f t="shared" si="7"/>
        <v>3511.7200000000003</v>
      </c>
      <c r="K24" s="21">
        <f t="shared" si="8"/>
        <v>58</v>
      </c>
      <c r="L24" s="23">
        <f t="shared" si="9"/>
        <v>31.720000000000255</v>
      </c>
      <c r="M24" s="23">
        <f>ROUND((Resultat!D34*Resultat!$H$2),0)</f>
        <v>1364</v>
      </c>
      <c r="N24" s="23">
        <f t="shared" si="10"/>
        <v>0</v>
      </c>
      <c r="O24" s="23">
        <f t="shared" si="11"/>
        <v>1364</v>
      </c>
      <c r="P24" s="21">
        <f t="shared" si="12"/>
        <v>22</v>
      </c>
      <c r="Q24" s="23">
        <f t="shared" si="13"/>
        <v>44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79</v>
      </c>
    </row>
    <row r="25" spans="1:23" ht="12.75" customHeight="1" x14ac:dyDescent="0.2">
      <c r="A25" s="22">
        <f>Resultat!F35</f>
        <v>4.1319444444444464E-2</v>
      </c>
      <c r="B25" s="21">
        <f t="shared" ref="B25" si="18">HOUR(A25)</f>
        <v>0</v>
      </c>
      <c r="C25" s="21">
        <f t="shared" ref="C25" si="19">B25*3600</f>
        <v>0</v>
      </c>
      <c r="D25" s="21">
        <f t="shared" ref="D25" si="20">MINUTE(A25)</f>
        <v>59</v>
      </c>
      <c r="E25" s="21">
        <f t="shared" ref="E25" si="21">D25*60</f>
        <v>3540</v>
      </c>
      <c r="F25" s="21">
        <f t="shared" ref="F25" si="22">SECOND(A25)</f>
        <v>30</v>
      </c>
      <c r="G25" s="21">
        <f t="shared" ref="G25" si="23">(C25+E25)+F25</f>
        <v>3570</v>
      </c>
      <c r="H25" s="23">
        <f>IF((Resultat!$B$6&lt;=7),(G25+((Resultat!$B$4-Resultat!D35)*Resultat!$H$2)),(G25*Resultat!D35))</f>
        <v>3568.7200000000003</v>
      </c>
      <c r="I25" s="21">
        <f t="shared" ref="I25" si="24">ROUNDDOWN((H25/3600),0)</f>
        <v>0</v>
      </c>
      <c r="J25" s="23">
        <f t="shared" ref="J25" si="25">MOD(H25,3600)</f>
        <v>3568.7200000000003</v>
      </c>
      <c r="K25" s="21">
        <f t="shared" ref="K25" si="26">INT((J25/60))</f>
        <v>59</v>
      </c>
      <c r="L25" s="23">
        <f t="shared" ref="L25" si="27">MOD(J25,60)</f>
        <v>28.720000000000255</v>
      </c>
      <c r="M25" s="23">
        <f>ROUND((Resultat!D35*Resultat!$H$2),0)</f>
        <v>1364</v>
      </c>
      <c r="N25" s="23"/>
      <c r="O25" s="23">
        <f t="shared" ref="O25" si="28">MOD(M25,3600)</f>
        <v>1364</v>
      </c>
      <c r="P25" s="21">
        <f t="shared" ref="P25" si="29">INT((O25/60))</f>
        <v>22</v>
      </c>
      <c r="Q25" s="23">
        <f t="shared" ref="Q25" si="30">MOD(O25,60)</f>
        <v>44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113</v>
      </c>
    </row>
    <row r="26" spans="1:23" ht="12.75" customHeight="1" x14ac:dyDescent="0.2">
      <c r="A26" s="22" t="str">
        <f>Resultat!F36</f>
        <v xml:space="preserve">  </v>
      </c>
      <c r="B26" s="21" t="e">
        <f t="shared" si="0"/>
        <v>#VALUE!</v>
      </c>
      <c r="C26" s="21" t="e">
        <f t="shared" si="1"/>
        <v>#VALUE!</v>
      </c>
      <c r="D26" s="21" t="e">
        <f t="shared" si="2"/>
        <v>#VALUE!</v>
      </c>
      <c r="E26" s="21" t="e">
        <f t="shared" si="3"/>
        <v>#VALUE!</v>
      </c>
      <c r="F26" s="21" t="e">
        <f t="shared" si="4"/>
        <v>#VALUE!</v>
      </c>
      <c r="G26" s="21" t="e">
        <f t="shared" si="5"/>
        <v>#VALUE!</v>
      </c>
      <c r="H26" s="23" t="e">
        <f>IF((Resultat!$B$6&lt;=7),(G26+((Resultat!$B$4-Resultat!D36)*Resultat!$H$2)),(G26*Resultat!D36))</f>
        <v>#VALUE!</v>
      </c>
      <c r="I26" s="21" t="e">
        <f t="shared" si="6"/>
        <v>#VALUE!</v>
      </c>
      <c r="J26" s="23" t="e">
        <f t="shared" si="7"/>
        <v>#VALUE!</v>
      </c>
      <c r="K26" s="21" t="e">
        <f t="shared" si="8"/>
        <v>#VALUE!</v>
      </c>
      <c r="L26" s="23" t="e">
        <f t="shared" si="9"/>
        <v>#VALUE!</v>
      </c>
      <c r="M26" s="23">
        <f>ROUND((Resultat!D36*Resultat!$H$2),0)</f>
        <v>1195</v>
      </c>
      <c r="N26" s="23">
        <f t="shared" si="10"/>
        <v>0</v>
      </c>
      <c r="O26" s="23">
        <f t="shared" si="11"/>
        <v>1195</v>
      </c>
      <c r="P26" s="21">
        <f t="shared" si="12"/>
        <v>19</v>
      </c>
      <c r="Q26" s="23">
        <f t="shared" si="13"/>
        <v>55</v>
      </c>
      <c r="R26" s="21">
        <f>IF((Resultat!$B$4&gt;Resultat!D36),ROUND(((Resultat!$B$4-Resultat!D36)*Resultat!$H$2),0),0)</f>
        <v>168</v>
      </c>
      <c r="S26" s="21">
        <f t="shared" si="14"/>
        <v>0</v>
      </c>
      <c r="T26" s="21">
        <f t="shared" si="15"/>
        <v>168</v>
      </c>
      <c r="U26" s="21">
        <f t="shared" si="16"/>
        <v>2</v>
      </c>
      <c r="V26" s="21">
        <f t="shared" si="17"/>
        <v>48</v>
      </c>
      <c r="W26" s="21" t="s">
        <v>77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1189</v>
      </c>
      <c r="N27" s="23">
        <f t="shared" si="10"/>
        <v>0</v>
      </c>
      <c r="O27" s="23">
        <f t="shared" si="11"/>
        <v>1189</v>
      </c>
      <c r="P27" s="21">
        <f t="shared" si="12"/>
        <v>19</v>
      </c>
      <c r="Q27" s="23">
        <f t="shared" si="13"/>
        <v>49</v>
      </c>
      <c r="R27" s="21">
        <f>IF((Resultat!$B$4&gt;Resultat!D37),ROUND(((Resultat!$B$4-Resultat!D37)*Resultat!$H$2),0),0)</f>
        <v>174</v>
      </c>
      <c r="S27" s="21">
        <f t="shared" si="14"/>
        <v>0</v>
      </c>
      <c r="T27" s="21">
        <f t="shared" si="15"/>
        <v>174</v>
      </c>
      <c r="U27" s="21">
        <f t="shared" si="16"/>
        <v>2</v>
      </c>
      <c r="V27" s="21">
        <f t="shared" si="17"/>
        <v>54</v>
      </c>
      <c r="W27" s="21" t="s">
        <v>122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1026</v>
      </c>
      <c r="N28" s="23">
        <f t="shared" si="10"/>
        <v>0</v>
      </c>
      <c r="O28" s="23">
        <f t="shared" si="11"/>
        <v>1026</v>
      </c>
      <c r="P28" s="21">
        <f t="shared" si="12"/>
        <v>17</v>
      </c>
      <c r="Q28" s="23">
        <f t="shared" si="13"/>
        <v>6</v>
      </c>
      <c r="R28" s="21">
        <f>IF((Resultat!$B$4&gt;Resultat!D38),ROUND(((Resultat!$B$4-Resultat!D38)*Resultat!$H$2),0),0)</f>
        <v>338</v>
      </c>
      <c r="S28" s="21">
        <f t="shared" si="14"/>
        <v>0</v>
      </c>
      <c r="T28" s="21">
        <f t="shared" si="15"/>
        <v>338</v>
      </c>
      <c r="U28" s="21">
        <f t="shared" si="16"/>
        <v>5</v>
      </c>
      <c r="V28" s="21">
        <f t="shared" si="17"/>
        <v>38</v>
      </c>
      <c r="W28" s="21" t="s">
        <v>106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1357</v>
      </c>
      <c r="N29" s="23">
        <f t="shared" si="10"/>
        <v>0</v>
      </c>
      <c r="O29" s="23">
        <f t="shared" si="11"/>
        <v>1357</v>
      </c>
      <c r="P29" s="21">
        <f t="shared" si="12"/>
        <v>22</v>
      </c>
      <c r="Q29" s="23">
        <f t="shared" si="13"/>
        <v>37</v>
      </c>
      <c r="R29" s="21">
        <f>IF((Resultat!$B$4&gt;Resultat!D39),ROUND(((Resultat!$B$4-Resultat!D39)*Resultat!$H$2),0),0)</f>
        <v>6</v>
      </c>
      <c r="S29" s="21">
        <f t="shared" si="14"/>
        <v>0</v>
      </c>
      <c r="T29" s="21">
        <f t="shared" si="15"/>
        <v>6</v>
      </c>
      <c r="U29" s="21">
        <f t="shared" si="16"/>
        <v>0</v>
      </c>
      <c r="V29" s="21">
        <f t="shared" si="17"/>
        <v>6</v>
      </c>
      <c r="W29" s="21" t="s">
        <v>111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2018-08-10T04:45:49Z</dcterms:modified>
</cp:coreProperties>
</file>