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k\Documents\GSK\Kapsejlads\2016\Klubmesterskab 2016\"/>
    </mc:Choice>
  </mc:AlternateContent>
  <bookViews>
    <workbookView xWindow="600" yWindow="120" windowWidth="14115" windowHeight="8670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Resultat!$A$2:$K$41</definedName>
  </definedNames>
  <calcPr calcId="171027"/>
</workbook>
</file>

<file path=xl/calcChain.xml><?xml version="1.0" encoding="utf-8"?>
<calcChain xmlns="http://schemas.openxmlformats.org/spreadsheetml/2006/main">
  <c r="B5" i="1" l="1"/>
  <c r="H30" i="1" l="1"/>
  <c r="H31" i="1"/>
  <c r="H32" i="1"/>
  <c r="F36" i="1" l="1"/>
  <c r="A25" i="3" s="1"/>
  <c r="D36" i="1"/>
  <c r="B36" i="1" s="1"/>
  <c r="M25" i="3" l="1"/>
  <c r="O25" i="3" s="1"/>
  <c r="P25" i="3" s="1"/>
  <c r="F25" i="3"/>
  <c r="B25" i="3"/>
  <c r="C25" i="3" s="1"/>
  <c r="D25" i="3"/>
  <c r="E25" i="3" s="1"/>
  <c r="A36" i="1"/>
  <c r="H39" i="1"/>
  <c r="F40" i="1"/>
  <c r="A29" i="3" s="1"/>
  <c r="F29" i="3" s="1"/>
  <c r="D40" i="1"/>
  <c r="A40" i="1" s="1"/>
  <c r="Q25" i="3" l="1"/>
  <c r="G25" i="3"/>
  <c r="D29" i="3"/>
  <c r="E29" i="3" s="1"/>
  <c r="B29" i="3"/>
  <c r="C29" i="3" s="1"/>
  <c r="M29" i="3"/>
  <c r="B40" i="1"/>
  <c r="G29" i="3" l="1"/>
  <c r="O29" i="3"/>
  <c r="N29" i="3"/>
  <c r="Q29" i="3" l="1"/>
  <c r="P29" i="3"/>
  <c r="I40" i="1" l="1"/>
  <c r="H28" i="1" l="1"/>
  <c r="H27" i="1"/>
  <c r="C16" i="2" s="1"/>
  <c r="H23" i="1"/>
  <c r="C12" i="2" s="1"/>
  <c r="F39" i="1"/>
  <c r="A28" i="3" s="1"/>
  <c r="D39" i="1"/>
  <c r="A39" i="1" s="1"/>
  <c r="D38" i="1"/>
  <c r="F38" i="1"/>
  <c r="A27" i="3" s="1"/>
  <c r="F27" i="3" s="1"/>
  <c r="D13" i="1"/>
  <c r="B13" i="1" s="1"/>
  <c r="F13" i="1"/>
  <c r="A2" i="3" s="1"/>
  <c r="G13" i="1"/>
  <c r="H13" i="1"/>
  <c r="C2" i="2" s="1"/>
  <c r="D14" i="1"/>
  <c r="M3" i="3" s="1"/>
  <c r="O3" i="3" s="1"/>
  <c r="F14" i="1"/>
  <c r="A3" i="3" s="1"/>
  <c r="G14" i="1"/>
  <c r="H14" i="1"/>
  <c r="C3" i="2" s="1"/>
  <c r="D15" i="1"/>
  <c r="B15" i="1" s="1"/>
  <c r="F15" i="1"/>
  <c r="A4" i="3" s="1"/>
  <c r="G15" i="1"/>
  <c r="H15" i="1"/>
  <c r="C4" i="2" s="1"/>
  <c r="D16" i="1"/>
  <c r="M5" i="3" s="1"/>
  <c r="N5" i="3" s="1"/>
  <c r="F16" i="1"/>
  <c r="A5" i="3" s="1"/>
  <c r="G16" i="1"/>
  <c r="H16" i="1"/>
  <c r="C5" i="2" s="1"/>
  <c r="D17" i="1"/>
  <c r="F17" i="1"/>
  <c r="A6" i="3" s="1"/>
  <c r="D18" i="1"/>
  <c r="A18" i="1" s="1"/>
  <c r="F18" i="1"/>
  <c r="A7" i="3" s="1"/>
  <c r="G18" i="1"/>
  <c r="H18" i="1"/>
  <c r="C7" i="2" s="1"/>
  <c r="D19" i="1"/>
  <c r="M8" i="3" s="1"/>
  <c r="F19" i="1"/>
  <c r="A8" i="3" s="1"/>
  <c r="G19" i="1"/>
  <c r="H19" i="1"/>
  <c r="C8" i="2" s="1"/>
  <c r="D20" i="1"/>
  <c r="B20" i="1" s="1"/>
  <c r="F20" i="1"/>
  <c r="A9" i="3" s="1"/>
  <c r="D21" i="1"/>
  <c r="B21" i="1" s="1"/>
  <c r="F21" i="1"/>
  <c r="A10" i="3" s="1"/>
  <c r="G21" i="1"/>
  <c r="H21" i="1"/>
  <c r="C10" i="2" s="1"/>
  <c r="D22" i="1"/>
  <c r="M11" i="3" s="1"/>
  <c r="N11" i="3" s="1"/>
  <c r="F22" i="1"/>
  <c r="A11" i="3" s="1"/>
  <c r="D23" i="1"/>
  <c r="A23" i="1" s="1"/>
  <c r="F23" i="1"/>
  <c r="A12" i="3" s="1"/>
  <c r="G23" i="1"/>
  <c r="D24" i="1"/>
  <c r="A24" i="1" s="1"/>
  <c r="F24" i="1"/>
  <c r="A13" i="3" s="1"/>
  <c r="D25" i="1"/>
  <c r="B25" i="1" s="1"/>
  <c r="F25" i="1"/>
  <c r="A14" i="3" s="1"/>
  <c r="D26" i="1"/>
  <c r="B26" i="1" s="1"/>
  <c r="F26" i="1"/>
  <c r="A15" i="3" s="1"/>
  <c r="D27" i="1"/>
  <c r="F27" i="1"/>
  <c r="A16" i="3" s="1"/>
  <c r="G27" i="1"/>
  <c r="D28" i="1"/>
  <c r="M17" i="3" s="1"/>
  <c r="F28" i="1"/>
  <c r="A17" i="3" s="1"/>
  <c r="D29" i="1"/>
  <c r="B29" i="1" s="1"/>
  <c r="F29" i="1"/>
  <c r="A18" i="3" s="1"/>
  <c r="D30" i="1"/>
  <c r="B30" i="1" s="1"/>
  <c r="F30" i="1"/>
  <c r="A19" i="3" s="1"/>
  <c r="D31" i="1"/>
  <c r="B31" i="1" s="1"/>
  <c r="F31" i="1"/>
  <c r="A20" i="3" s="1"/>
  <c r="G31" i="1"/>
  <c r="C20" i="2"/>
  <c r="D32" i="1"/>
  <c r="B32" i="1" s="1"/>
  <c r="F32" i="1"/>
  <c r="A21" i="3" s="1"/>
  <c r="G32" i="1"/>
  <c r="C21" i="2"/>
  <c r="D33" i="1"/>
  <c r="M22" i="3" s="1"/>
  <c r="N22" i="3" s="1"/>
  <c r="F33" i="1"/>
  <c r="A22" i="3" s="1"/>
  <c r="D34" i="1"/>
  <c r="F34" i="1"/>
  <c r="A23" i="3" s="1"/>
  <c r="B23" i="3" s="1"/>
  <c r="C23" i="3" s="1"/>
  <c r="D35" i="1"/>
  <c r="M24" i="3" s="1"/>
  <c r="N24" i="3" s="1"/>
  <c r="F35" i="1"/>
  <c r="A24" i="3" s="1"/>
  <c r="D24" i="3" s="1"/>
  <c r="E24" i="3" s="1"/>
  <c r="D37" i="1"/>
  <c r="B37" i="1" s="1"/>
  <c r="F37" i="1"/>
  <c r="A26" i="3" s="1"/>
  <c r="B17" i="1" l="1"/>
  <c r="B38" i="1"/>
  <c r="A38" i="1"/>
  <c r="M28" i="3"/>
  <c r="D28" i="3"/>
  <c r="E28" i="3" s="1"/>
  <c r="B28" i="3"/>
  <c r="C28" i="3" s="1"/>
  <c r="F28" i="3"/>
  <c r="B39" i="1"/>
  <c r="M10" i="3"/>
  <c r="O10" i="3" s="1"/>
  <c r="Q10" i="3" s="1"/>
  <c r="B22" i="1"/>
  <c r="A19" i="1"/>
  <c r="B16" i="1"/>
  <c r="A16" i="1"/>
  <c r="M14" i="3"/>
  <c r="O14" i="3" s="1"/>
  <c r="Q14" i="3" s="1"/>
  <c r="M6" i="3"/>
  <c r="O6" i="3" s="1"/>
  <c r="Q6" i="3" s="1"/>
  <c r="A35" i="1"/>
  <c r="A22" i="1"/>
  <c r="B19" i="1"/>
  <c r="B35" i="1"/>
  <c r="B14" i="1"/>
  <c r="A14" i="1"/>
  <c r="M18" i="3"/>
  <c r="O18" i="3" s="1"/>
  <c r="P18" i="3" s="1"/>
  <c r="A25" i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9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1" i="1"/>
  <c r="Q3" i="3"/>
  <c r="P3" i="3"/>
  <c r="M20" i="3"/>
  <c r="A37" i="1"/>
  <c r="A33" i="1"/>
  <c r="A17" i="1"/>
  <c r="M27" i="3"/>
  <c r="F19" i="3"/>
  <c r="F23" i="3"/>
  <c r="D23" i="3"/>
  <c r="E23" i="3" s="1"/>
  <c r="A31" i="1"/>
  <c r="B33" i="1"/>
  <c r="B28" i="1"/>
  <c r="A28" i="1"/>
  <c r="D26" i="3"/>
  <c r="E26" i="3" s="1"/>
  <c r="F26" i="3"/>
  <c r="M23" i="3"/>
  <c r="B34" i="1"/>
  <c r="M21" i="3"/>
  <c r="A32" i="1"/>
  <c r="M19" i="3"/>
  <c r="A30" i="1"/>
  <c r="M16" i="3"/>
  <c r="A27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6" i="1"/>
  <c r="M13" i="3"/>
  <c r="B23" i="1"/>
  <c r="M12" i="3"/>
  <c r="M9" i="3"/>
  <c r="A20" i="1"/>
  <c r="M7" i="3"/>
  <c r="B18" i="1"/>
  <c r="M4" i="3"/>
  <c r="A15" i="1"/>
  <c r="M2" i="3"/>
  <c r="A13" i="1"/>
  <c r="N3" i="3"/>
  <c r="O5" i="3"/>
  <c r="O11" i="3"/>
  <c r="N8" i="3"/>
  <c r="F6" i="3"/>
  <c r="B26" i="3"/>
  <c r="C26" i="3" s="1"/>
  <c r="B27" i="1"/>
  <c r="A34" i="1"/>
  <c r="R28" i="3" l="1"/>
  <c r="H25" i="3"/>
  <c r="R25" i="3"/>
  <c r="N26" i="3"/>
  <c r="N14" i="3"/>
  <c r="R29" i="3"/>
  <c r="H29" i="3"/>
  <c r="Q18" i="3"/>
  <c r="P10" i="3"/>
  <c r="G7" i="3"/>
  <c r="H7" i="3" s="1"/>
  <c r="T28" i="3"/>
  <c r="S28" i="3"/>
  <c r="N28" i="3"/>
  <c r="O28" i="3"/>
  <c r="G28" i="3"/>
  <c r="H28" i="3" s="1"/>
  <c r="P6" i="3"/>
  <c r="N10" i="3"/>
  <c r="I21" i="1" s="1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4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S25" i="3" l="1"/>
  <c r="T25" i="3"/>
  <c r="I25" i="3"/>
  <c r="J25" i="3"/>
  <c r="I25" i="1"/>
  <c r="J29" i="3"/>
  <c r="I29" i="3"/>
  <c r="S29" i="3"/>
  <c r="T29" i="3"/>
  <c r="I29" i="1"/>
  <c r="J2" i="3"/>
  <c r="L2" i="3" s="1"/>
  <c r="I17" i="1"/>
  <c r="V28" i="3"/>
  <c r="U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3" i="1"/>
  <c r="I16" i="1"/>
  <c r="I15" i="3"/>
  <c r="J26" i="3"/>
  <c r="K26" i="3" s="1"/>
  <c r="I23" i="3"/>
  <c r="Q20" i="3"/>
  <c r="P20" i="3"/>
  <c r="I19" i="1"/>
  <c r="I22" i="1"/>
  <c r="P27" i="3"/>
  <c r="Q27" i="3"/>
  <c r="I28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5" i="1"/>
  <c r="I36" i="1" l="1"/>
  <c r="K25" i="3"/>
  <c r="L25" i="3"/>
  <c r="G36" i="1" s="1"/>
  <c r="U25" i="3"/>
  <c r="V25" i="3"/>
  <c r="U29" i="3"/>
  <c r="V29" i="3"/>
  <c r="G40" i="1"/>
  <c r="K29" i="3"/>
  <c r="L29" i="3"/>
  <c r="K2" i="3"/>
  <c r="G38" i="1"/>
  <c r="J39" i="1"/>
  <c r="K39" i="1" s="1"/>
  <c r="I39" i="1"/>
  <c r="K28" i="3"/>
  <c r="L28" i="3"/>
  <c r="K13" i="3"/>
  <c r="G24" i="1" s="1"/>
  <c r="L26" i="3"/>
  <c r="G37" i="1" s="1"/>
  <c r="I37" i="1"/>
  <c r="G26" i="1"/>
  <c r="I15" i="1"/>
  <c r="I24" i="1"/>
  <c r="I27" i="1"/>
  <c r="I23" i="1"/>
  <c r="I34" i="1"/>
  <c r="I26" i="1"/>
  <c r="I31" i="1"/>
  <c r="I30" i="1"/>
  <c r="G34" i="1"/>
  <c r="I38" i="1"/>
  <c r="I13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8" i="1"/>
  <c r="I32" i="1"/>
  <c r="I20" i="1"/>
  <c r="J36" i="1" l="1"/>
  <c r="K36" i="1" s="1"/>
  <c r="J40" i="1"/>
  <c r="K40" i="1" s="1"/>
  <c r="G17" i="1"/>
  <c r="J34" i="1"/>
  <c r="K34" i="1" s="1"/>
  <c r="G33" i="1"/>
  <c r="G39" i="1"/>
  <c r="J30" i="1"/>
  <c r="K30" i="1" s="1"/>
  <c r="J15" i="1"/>
  <c r="K15" i="1" s="1"/>
  <c r="J16" i="1"/>
  <c r="K16" i="1" s="1"/>
  <c r="J19" i="1"/>
  <c r="K19" i="1" s="1"/>
  <c r="J13" i="1"/>
  <c r="K13" i="1" s="1"/>
  <c r="J26" i="1"/>
  <c r="K26" i="1" s="1"/>
  <c r="J33" i="1"/>
  <c r="K33" i="1" s="1"/>
  <c r="J25" i="1"/>
  <c r="K25" i="1" s="1"/>
  <c r="J20" i="1"/>
  <c r="K20" i="1" s="1"/>
  <c r="G30" i="1"/>
  <c r="J32" i="1"/>
  <c r="K32" i="1" s="1"/>
  <c r="J22" i="1"/>
  <c r="K22" i="1" s="1"/>
  <c r="J31" i="1"/>
  <c r="K31" i="1" s="1"/>
  <c r="J23" i="1"/>
  <c r="K23" i="1" s="1"/>
  <c r="J18" i="1"/>
  <c r="K18" i="1" s="1"/>
  <c r="J14" i="1"/>
  <c r="K14" i="1" s="1"/>
  <c r="J21" i="1"/>
  <c r="K21" i="1" s="1"/>
  <c r="J35" i="1"/>
  <c r="K35" i="1" s="1"/>
  <c r="J24" i="1"/>
  <c r="K24" i="1" s="1"/>
  <c r="J17" i="1"/>
  <c r="K17" i="1" s="1"/>
  <c r="J38" i="1"/>
  <c r="K38" i="1" s="1"/>
  <c r="J37" i="1"/>
  <c r="K37" i="1" s="1"/>
  <c r="G20" i="1"/>
  <c r="G22" i="1"/>
  <c r="G35" i="1"/>
  <c r="G25" i="1"/>
  <c r="G28" i="1"/>
  <c r="J27" i="1"/>
  <c r="K27" i="1" s="1"/>
  <c r="J28" i="1"/>
  <c r="K28" i="1" s="1"/>
  <c r="J29" i="1"/>
  <c r="K29" i="1" s="1"/>
  <c r="G29" i="1"/>
  <c r="H33" i="1" l="1"/>
  <c r="C22" i="2" s="1"/>
  <c r="H36" i="1"/>
  <c r="H38" i="1"/>
  <c r="C27" i="2" s="1"/>
  <c r="H17" i="1"/>
  <c r="C6" i="2" s="1"/>
  <c r="H29" i="1"/>
  <c r="C18" i="2" s="1"/>
  <c r="H37" i="1"/>
  <c r="C26" i="2" s="1"/>
  <c r="H20" i="1"/>
  <c r="C9" i="2" s="1"/>
  <c r="H25" i="1"/>
  <c r="C14" i="2" s="1"/>
  <c r="H34" i="1"/>
  <c r="C23" i="2" s="1"/>
  <c r="H40" i="1"/>
  <c r="H26" i="1"/>
  <c r="C15" i="2" s="1"/>
  <c r="H35" i="1"/>
  <c r="C24" i="2" s="1"/>
  <c r="H24" i="1"/>
  <c r="C13" i="2" s="1"/>
  <c r="H22" i="1"/>
  <c r="C11" i="2" s="1"/>
  <c r="C28" i="2"/>
  <c r="C19" i="2"/>
  <c r="C17" i="2"/>
</calcChain>
</file>

<file path=xl/sharedStrings.xml><?xml version="1.0" encoding="utf-8"?>
<sst xmlns="http://schemas.openxmlformats.org/spreadsheetml/2006/main" count="168" uniqueCount="128">
  <si>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</si>
  <si>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</si>
  <si>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</si>
  <si>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</si>
  <si>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</si>
  <si>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</si>
  <si>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</si>
  <si>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</si>
  <si>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</si>
  <si>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</si>
  <si>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</si>
  <si>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</si>
  <si>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</si>
  <si>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</si>
  <si>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</si>
  <si>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</si>
  <si>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</si>
  <si>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</si>
  <si>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</si>
  <si>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</si>
  <si>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</si>
  <si>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</si>
  <si>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</si>
  <si>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</si>
  <si>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</si>
  <si>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</si>
  <si>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</si>
  <si>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</si>
  <si>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</si>
  <si>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</si>
  <si>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</si>
  <si>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</si>
  <si>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</si>
  <si>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</si>
  <si>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</si>
  <si>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</si>
  <si>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</si>
  <si>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</si>
  <si>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</si>
  <si>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</si>
  <si>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</si>
  <si>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</si>
  <si>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</si>
  <si>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</si>
  <si>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</si>
  <si>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</si>
  <si>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</si>
  <si>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</si>
  <si>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</si>
  <si>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</si>
  <si>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Frække Frida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</si>
  <si>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</si>
  <si>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</si>
  <si>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</si>
  <si>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</si>
  <si>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</si>
  <si>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</si>
  <si>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</si>
  <si>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</si>
  <si>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</si>
  <si>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</si>
  <si>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</si>
  <si>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</si>
  <si>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</si>
  <si>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</si>
  <si>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</si>
  <si>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</si>
  <si>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</si>
  <si>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</si>
  <si>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</si>
  <si>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</si>
  <si>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</si>
  <si>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</si>
  <si>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</si>
  <si>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</si>
  <si>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</si>
  <si>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</si>
  <si>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</si>
  <si>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</si>
  <si>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</si>
  <si>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</si>
  <si>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</si>
  <si>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</si>
  <si>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</si>
  <si>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</si>
  <si>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</si>
  <si>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</si>
  <si>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</si>
  <si>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</si>
  <si>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DEN 423</t>
  </si>
  <si>
    <t>DEN 107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</si>
  <si>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</si>
  <si>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</si>
  <si>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</si>
  <si>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</si>
  <si>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</si>
  <si>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</si>
  <si>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</si>
  <si>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</si>
  <si>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Luffe 37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</si>
  <si>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</si>
  <si>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</si>
  <si>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</si>
  <si>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</si>
  <si>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</si>
  <si>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</si>
  <si>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</si>
  <si>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</si>
  <si>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</si>
  <si>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</si>
  <si>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</si>
  <si>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</si>
  <si>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</si>
  <si>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</si>
  <si>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</si>
  <si>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</si>
  <si>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</si>
  <si>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</si>
  <si>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</si>
  <si>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</si>
  <si>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</si>
  <si>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</si>
  <si>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</si>
  <si>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Marina 36 Sport</t>
  </si>
  <si>
    <t>Fru Brøgger</t>
  </si>
  <si>
    <t>10. september 2016</t>
  </si>
  <si>
    <t>Klubmesterskab 2016</t>
  </si>
  <si>
    <t>Start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</si>
</sst>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0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164" fontId="1" fillId="0" borderId="0" xfId="0" applyNumberFormat="1" applyFont="1" applyFill="1" applyAlignment="1">
      <alignment horizontal="center"/>
    </xf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center"/>
    </xf>
    <xf numFmtId="165" fontId="0" fillId="0" borderId="0" xfId="0" applyNumberFormat="1">
      <alignment vertical="center"/>
    </xf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wrapText="1"/>
    </xf>
    <xf numFmtId="0" fontId="6" fillId="0" borderId="2" xfId="0" applyFont="1" applyBorder="1">
      <alignment vertical="center"/>
    </xf>
    <xf numFmtId="14" fontId="6" fillId="0" borderId="2" xfId="0" applyNumberFormat="1" applyFont="1" applyBorder="1">
      <alignment vertical="center"/>
    </xf>
    <xf numFmtId="165" fontId="6" fillId="0" borderId="2" xfId="0" applyNumberFormat="1" applyFont="1" applyFill="1" applyBorder="1" applyAlignment="1"/>
    <xf numFmtId="164" fontId="6" fillId="0" borderId="2" xfId="0" applyNumberFormat="1" applyFont="1" applyFill="1" applyBorder="1" applyAlignment="1"/>
    <xf numFmtId="165" fontId="6" fillId="0" borderId="2" xfId="0" applyNumberFormat="1" applyFont="1" applyBorder="1">
      <alignment vertical="center"/>
    </xf>
    <xf numFmtId="0" fontId="6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left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6" fillId="0" borderId="2" xfId="0" applyNumberFormat="1" applyFont="1" applyFill="1" applyBorder="1" applyAlignment="1">
      <alignment wrapText="1"/>
    </xf>
    <xf numFmtId="165" fontId="5" fillId="0" borderId="2" xfId="0" applyNumberFormat="1" applyFont="1" applyFill="1" applyBorder="1" applyAlignment="1">
      <alignment horizontal="right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0" fontId="7" fillId="2" borderId="2" xfId="0" applyNumberFormat="1" applyFont="1" applyFill="1" applyBorder="1" applyAlignment="1"/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7" fillId="2" borderId="2" xfId="0" applyNumberFormat="1" applyFont="1" applyFill="1" applyBorder="1" applyAlignment="1">
      <alignment horizontal="left" wrapText="1"/>
    </xf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0" fontId="6" fillId="0" borderId="2" xfId="0" applyFont="1" applyFill="1" applyBorder="1">
      <alignment vertical="center"/>
    </xf>
    <xf numFmtId="0" fontId="9" fillId="0" borderId="0" xfId="0" applyFont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40"/>
  <sheetViews>
    <sheetView tabSelected="1" zoomScaleNormal="100" workbookViewId="0"/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3" s="72" customFormat="1" ht="24" customHeight="1" x14ac:dyDescent="0.2">
      <c r="A1" s="72" t="s">
        <v>126</v>
      </c>
      <c r="E1" s="72" t="s">
        <v>127</v>
      </c>
    </row>
    <row r="2" spans="1:13" ht="15" customHeight="1" x14ac:dyDescent="0.2">
      <c r="A2" s="1"/>
      <c r="B2" s="1"/>
      <c r="C2" s="29"/>
      <c r="F2" s="1"/>
      <c r="H2" s="1"/>
      <c r="I2" s="1"/>
    </row>
    <row r="3" spans="1:13" ht="13.5" thickBot="1" x14ac:dyDescent="0.25">
      <c r="A3" s="2" t="s">
        <v>12</v>
      </c>
      <c r="B3" s="60" t="s">
        <v>125</v>
      </c>
      <c r="C3" s="29"/>
      <c r="D3" s="35"/>
      <c r="E3" s="4" t="s">
        <v>105</v>
      </c>
      <c r="F3" s="63">
        <v>0.4201388888888889</v>
      </c>
      <c r="G3" s="5" t="s">
        <v>16</v>
      </c>
      <c r="H3" s="64">
        <v>4.04</v>
      </c>
      <c r="I3" s="70" t="s">
        <v>56</v>
      </c>
      <c r="J3" s="3"/>
    </row>
    <row r="4" spans="1:13" x14ac:dyDescent="0.2">
      <c r="A4" s="6"/>
      <c r="B4" s="6"/>
      <c r="C4" s="29"/>
      <c r="D4" s="31"/>
      <c r="E4" s="1"/>
      <c r="F4" s="6"/>
      <c r="H4" s="6"/>
      <c r="I4" s="6"/>
      <c r="M4" s="53" t="s">
        <v>108</v>
      </c>
    </row>
    <row r="5" spans="1:13" x14ac:dyDescent="0.2">
      <c r="A5" s="2" t="s">
        <v>57</v>
      </c>
      <c r="B5" s="61">
        <f>D34</f>
        <v>1112.4000000000001</v>
      </c>
      <c r="D5" s="30"/>
      <c r="E5" s="73" t="s">
        <v>21</v>
      </c>
      <c r="F5" s="74"/>
      <c r="G5" s="7"/>
      <c r="H5" s="75" t="s">
        <v>72</v>
      </c>
      <c r="I5" s="74"/>
      <c r="J5" s="3"/>
      <c r="M5" s="54" t="s">
        <v>109</v>
      </c>
    </row>
    <row r="6" spans="1:13" x14ac:dyDescent="0.2">
      <c r="A6" s="6"/>
      <c r="B6" s="8"/>
      <c r="C6" s="29"/>
      <c r="D6" s="12">
        <v>1</v>
      </c>
      <c r="E6" s="66" t="s">
        <v>19</v>
      </c>
      <c r="F6" s="67" t="s">
        <v>32</v>
      </c>
      <c r="G6" s="5">
        <v>4</v>
      </c>
      <c r="H6" s="9" t="s">
        <v>65</v>
      </c>
      <c r="I6" s="10" t="s">
        <v>15</v>
      </c>
      <c r="J6" s="3"/>
      <c r="M6" s="54" t="s">
        <v>110</v>
      </c>
    </row>
    <row r="7" spans="1:13" ht="13.5" thickBot="1" x14ac:dyDescent="0.25">
      <c r="A7" s="2" t="s">
        <v>66</v>
      </c>
      <c r="B7" s="62">
        <v>4</v>
      </c>
      <c r="C7" s="29"/>
      <c r="D7" s="12">
        <v>2</v>
      </c>
      <c r="E7" s="66" t="s">
        <v>68</v>
      </c>
      <c r="F7" s="67" t="s">
        <v>34</v>
      </c>
      <c r="G7" s="5">
        <v>5</v>
      </c>
      <c r="H7" s="9" t="s">
        <v>64</v>
      </c>
      <c r="I7" s="10" t="s">
        <v>14</v>
      </c>
      <c r="J7" s="3"/>
      <c r="M7" s="55" t="s">
        <v>111</v>
      </c>
    </row>
    <row r="8" spans="1:13" x14ac:dyDescent="0.2">
      <c r="A8" s="11"/>
      <c r="B8" s="11"/>
      <c r="C8" s="29"/>
      <c r="D8" s="12">
        <v>3</v>
      </c>
      <c r="E8" s="66" t="s">
        <v>24</v>
      </c>
      <c r="F8" s="67" t="s">
        <v>35</v>
      </c>
      <c r="G8" s="5">
        <v>6</v>
      </c>
      <c r="H8" s="9" t="s">
        <v>27</v>
      </c>
      <c r="I8" s="10" t="s">
        <v>17</v>
      </c>
      <c r="J8" s="3"/>
    </row>
    <row r="9" spans="1:13" x14ac:dyDescent="0.2">
      <c r="A9" s="76" t="s">
        <v>40</v>
      </c>
      <c r="B9" s="1"/>
      <c r="C9" s="29"/>
      <c r="D9" s="12">
        <v>7</v>
      </c>
      <c r="E9" s="68"/>
      <c r="F9" s="69" t="s">
        <v>44</v>
      </c>
      <c r="G9" s="5">
        <v>8</v>
      </c>
      <c r="H9" s="14"/>
      <c r="I9" s="10" t="s">
        <v>9</v>
      </c>
      <c r="J9" s="3"/>
    </row>
    <row r="10" spans="1:13" x14ac:dyDescent="0.2">
      <c r="A10" s="77"/>
      <c r="B10" s="65">
        <v>2016</v>
      </c>
      <c r="C10" s="29"/>
      <c r="D10" s="29"/>
      <c r="E10" s="11"/>
      <c r="F10" s="11"/>
      <c r="H10" s="11"/>
      <c r="I10" s="11"/>
    </row>
    <row r="11" spans="1:13" x14ac:dyDescent="0.2">
      <c r="A11" s="1"/>
      <c r="B11" s="6"/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">
      <c r="A12" s="15" t="s">
        <v>59</v>
      </c>
      <c r="B12" s="15" t="s">
        <v>104</v>
      </c>
      <c r="C12" s="15" t="s">
        <v>84</v>
      </c>
      <c r="D12" s="16" t="s">
        <v>75</v>
      </c>
      <c r="E12" s="17" t="s">
        <v>33</v>
      </c>
      <c r="F12" s="33" t="s">
        <v>26</v>
      </c>
      <c r="G12" s="33" t="s">
        <v>23</v>
      </c>
      <c r="H12" s="17" t="s">
        <v>5</v>
      </c>
      <c r="I12" s="15" t="s">
        <v>25</v>
      </c>
      <c r="J12" s="15" t="s">
        <v>42</v>
      </c>
      <c r="K12" s="15" t="s">
        <v>4</v>
      </c>
    </row>
    <row r="13" spans="1:13" hidden="1" x14ac:dyDescent="0.2">
      <c r="A13" s="2" t="str">
        <f>IF((D13&gt;0.5),Måltal!A2,"    ")</f>
        <v>Ostindiefareren</v>
      </c>
      <c r="B13" s="2" t="str">
        <f>IF((D13&gt;0.5),Måltal!B2,"     ")</f>
        <v>IF</v>
      </c>
      <c r="C13" s="2"/>
      <c r="D13" s="18">
        <f>IF(AND((B$7=1),(B$7&lt;2)),Måltal!D2,IF(AND((B$7=2),(B$7&lt;3)),Måltal!E2,IF(AND((B$7=3),(B$7&lt;4)),Måltal!F2,IF(AND((B$7=4),(B$7&lt;5)),Måltal!G2,IF(AND((B$7=5),(B$7&lt;6)),Måltal!H2,IF(AND((B$7=6),(B$7&lt;7)),Måltal!I2,IF((B$7=7),Måltal!J2,0)))))))</f>
        <v>1177</v>
      </c>
      <c r="E13" s="32"/>
      <c r="F13" s="32" t="str">
        <f t="shared" ref="F13:F38" si="0">IF((E13&gt;$F$3),(E13-$F$3),"  ")</f>
        <v xml:space="preserve">  </v>
      </c>
      <c r="G13" s="32" t="str">
        <f>IF((E13&gt;$F$3),TIME(Beregninger!I2,Beregninger!K2,Beregninger!L2),"  ")</f>
        <v xml:space="preserve">  </v>
      </c>
      <c r="H13" s="20" t="str">
        <f>IF((E13&gt;F$3),(RANK(G13,G$13:G$37,G$13:G$37)+1)-1,"DNS")</f>
        <v>DNS</v>
      </c>
      <c r="I13" s="19">
        <f>IF((Beregninger!M2&gt;1),TIME(Beregninger!N2,Beregninger!P2,Beregninger!Q2),"  ")</f>
        <v>5.5034722222222221E-2</v>
      </c>
      <c r="J13" s="19">
        <f>IF((Beregninger!M2&gt;1),TIME(Beregninger!S2,Beregninger!U2,Beregninger!V2),"  ")</f>
        <v>0</v>
      </c>
      <c r="K13" s="19">
        <f>IF((Beregninger!M2&gt;1),(J13+F3),"  ")</f>
        <v>0.4201388888888889</v>
      </c>
    </row>
    <row r="14" spans="1:13" hidden="1" x14ac:dyDescent="0.2">
      <c r="A14" s="2" t="str">
        <f>IF((D14&gt;0.5),Måltal!A3,"    ")</f>
        <v>Iyja</v>
      </c>
      <c r="B14" s="2" t="str">
        <f>IF((D14&gt;0.5),Måltal!B3,"     ")</f>
        <v>B 31</v>
      </c>
      <c r="C14" s="2" t="s">
        <v>85</v>
      </c>
      <c r="D14" s="18">
        <f>IF(AND((B$7=1),(B$7&lt;2)),Måltal!D3,IF(AND((B$7=2),(B$7&lt;3)),Måltal!E3,IF(AND((B$7=3),(B$7&lt;4)),Måltal!F3,IF(AND((B$7=4),(B$7&lt;5)),Måltal!G3,IF(AND((B$7=5),(B$7&lt;6)),Måltal!H3,IF(AND((B$7=6),(B$7&lt;7)),Måltal!I3,IF((B$7=7),Måltal!J3,0)))))))</f>
        <v>1307</v>
      </c>
      <c r="E14" s="32"/>
      <c r="F14" s="32" t="str">
        <f t="shared" si="0"/>
        <v xml:space="preserve">  </v>
      </c>
      <c r="G14" s="32" t="str">
        <f>IF((E14&gt;$F$3),TIME(Beregninger!I3,Beregninger!K3,Beregninger!L3),"  ")</f>
        <v xml:space="preserve">  </v>
      </c>
      <c r="H14" s="20" t="str">
        <f>IF((E14&gt;F$3),(RANK(G14,G$13:G$37,G$13:G$37)+1)-1,"DNS")</f>
        <v>DNS</v>
      </c>
      <c r="I14" s="19">
        <f>IF((Beregninger!M3&gt;1),TIME(Beregninger!N3,Beregninger!P3,Beregninger!Q3),"  ")</f>
        <v>6.1111111111111116E-2</v>
      </c>
      <c r="J14" s="19">
        <f>IF((Beregninger!M3&gt;1),TIME(Beregninger!S3,Beregninger!U3,Beregninger!V3),"  ")</f>
        <v>0</v>
      </c>
      <c r="K14" s="19">
        <f>IF((Beregninger!M3&gt;1),(J14+F3),"  ")</f>
        <v>0.4201388888888889</v>
      </c>
    </row>
    <row r="15" spans="1:13" hidden="1" x14ac:dyDescent="0.2">
      <c r="A15" s="2" t="str">
        <f>IF((D15&gt;0.5),Måltal!A4,"    ")</f>
        <v>Kanok</v>
      </c>
      <c r="B15" s="2" t="str">
        <f>IF((D15&gt;0.5),Måltal!B4,"     ")</f>
        <v>Bianca 28</v>
      </c>
      <c r="C15" s="2" t="s">
        <v>86</v>
      </c>
      <c r="D15" s="18">
        <f>IF(AND((B$7=1),(B$7&lt;2)),Måltal!D4,IF(AND((B$7=2),(B$7&lt;3)),Måltal!E4,IF(AND((B$7=3),(B$7&lt;4)),Måltal!F4,IF(AND((B$7=4),(B$7&lt;5)),Måltal!G4,IF(AND((B$7=5),(B$7&lt;6)),Måltal!H4,IF(AND((B$7=6),(B$7&lt;7)),Måltal!I4,IF((B$7=7),Måltal!J4,0)))))))</f>
        <v>1299</v>
      </c>
      <c r="E15" s="32"/>
      <c r="F15" s="32" t="str">
        <f t="shared" si="0"/>
        <v xml:space="preserve">  </v>
      </c>
      <c r="G15" s="32" t="str">
        <f>IF((E15&gt;$F$3),TIME(Beregninger!I4,Beregninger!K4,Beregninger!L4),"  ")</f>
        <v xml:space="preserve">  </v>
      </c>
      <c r="H15" s="20" t="str">
        <f>IF((E15&gt;F$3),(RANK(G15,G$13:G$37,G$13:G$37)+1)-1,"DNS")</f>
        <v>DNS</v>
      </c>
      <c r="I15" s="19">
        <f>IF((Beregninger!M4&gt;1),TIME(Beregninger!N4,Beregninger!P4,Beregninger!Q4),"  ")</f>
        <v>6.0740740740740741E-2</v>
      </c>
      <c r="J15" s="19">
        <f>IF((Beregninger!M4&gt;1),TIME(Beregninger!S4,Beregninger!U4,Beregninger!V4),"  ")</f>
        <v>0</v>
      </c>
      <c r="K15" s="19">
        <f>IF((Beregninger!M4&gt;1),(J15+F3),"  ")</f>
        <v>0.4201388888888889</v>
      </c>
    </row>
    <row r="16" spans="1:13" hidden="1" x14ac:dyDescent="0.2">
      <c r="A16" s="2" t="str">
        <f>IF((D16&gt;0.5),Måltal!A5,"    ")</f>
        <v>Alice III</v>
      </c>
      <c r="B16" s="2" t="str">
        <f>IF((D16&gt;0.5),Måltal!B5,"     ")</f>
        <v>Fenix</v>
      </c>
      <c r="C16" s="2" t="s">
        <v>87</v>
      </c>
      <c r="D16" s="18">
        <f>IF(AND((B$7=1),(B$7&lt;2)),Måltal!D5,IF(AND((B$7=2),(B$7&lt;3)),Måltal!E5,IF(AND((B$7=3),(B$7&lt;4)),Måltal!F5,IF(AND((B$7=4),(B$7&lt;5)),Måltal!G5,IF(AND((B$7=5),(B$7&lt;6)),Måltal!H5,IF(AND((B$7=6),(B$7&lt;7)),Måltal!I5,IF((B$7=7),Måltal!J5,0)))))))</f>
        <v>1244</v>
      </c>
      <c r="E16" s="32"/>
      <c r="F16" s="32" t="str">
        <f t="shared" si="0"/>
        <v xml:space="preserve">  </v>
      </c>
      <c r="G16" s="32" t="str">
        <f>IF((E16&gt;$F$3),TIME(Beregninger!I5,Beregninger!K5,Beregninger!L5),"  ")</f>
        <v xml:space="preserve">  </v>
      </c>
      <c r="H16" s="20" t="str">
        <f>IF((E16&gt;F$3),(RANK(G16,G$13:G$37,G$13:G$37)+1)-1,"DNS")</f>
        <v>DNS</v>
      </c>
      <c r="I16" s="19">
        <f>IF((Beregninger!M5&gt;1),TIME(Beregninger!N5,Beregninger!P5,Beregninger!Q5),"  ")</f>
        <v>5.8171296296296297E-2</v>
      </c>
      <c r="J16" s="19">
        <f>IF((Beregninger!M5&gt;1),TIME(Beregninger!S5,Beregninger!U5,Beregninger!V5),"  ")</f>
        <v>0</v>
      </c>
      <c r="K16" s="19">
        <f>IF((Beregninger!M5&gt;1),(J16+F3),"  ")</f>
        <v>0.4201388888888889</v>
      </c>
    </row>
    <row r="17" spans="1:14" hidden="1" x14ac:dyDescent="0.2">
      <c r="A17" s="2" t="str">
        <f>IF((D17&gt;0.5),Måltal!A6,"    ")</f>
        <v>Gonzo</v>
      </c>
      <c r="B17" s="2" t="str">
        <f>IF((D17&gt;0.5),Måltal!B6,"     ")</f>
        <v>Express</v>
      </c>
      <c r="C17" s="2">
        <v>657</v>
      </c>
      <c r="D17" s="18">
        <f>IF(AND((B$7=1),(B$7&lt;2)),Måltal!D6,IF(AND((B$7=2),(B$7&lt;3)),Måltal!E6,IF(AND((B$7=3),(B$7&lt;4)),Måltal!F6,IF(AND((B$7=4),(B$7&lt;5)),Måltal!G6,IF(AND((B$7=5),(B$7&lt;6)),Måltal!H6,IF(AND((B$7=6),(B$7&lt;7)),Måltal!I6,IF((B$7=7),Måltal!J6,0)))))))</f>
        <v>1035.2</v>
      </c>
      <c r="E17" s="32"/>
      <c r="F17" s="32" t="str">
        <f t="shared" si="0"/>
        <v xml:space="preserve">  </v>
      </c>
      <c r="G17" s="32" t="str">
        <f>IF((E17&gt;$F$3),TIME(Beregninger!I6,Beregninger!K6,Beregninger!L6),"  ")</f>
        <v xml:space="preserve">  </v>
      </c>
      <c r="H17" s="20" t="str">
        <f>IF((E17&gt;F$3),(RANK(G17,G$13:G$40,G$13:G$40)+1)-1,"DNS")</f>
        <v>DNS</v>
      </c>
      <c r="I17" s="19">
        <f>IF((Beregninger!M6&gt;1),TIME(Beregninger!N6,Beregninger!P6,Beregninger!Q6),"  ")</f>
        <v>4.8402777777777774E-2</v>
      </c>
      <c r="J17" s="19">
        <f>IF((Beregninger!M6&gt;1),TIME(Beregninger!S6,Beregninger!U6,Beregninger!V6),"  ")</f>
        <v>3.6111111111111114E-3</v>
      </c>
      <c r="K17" s="19">
        <f>IF((Beregninger!M6&gt;1),(J17+F3),"  ")</f>
        <v>0.42375000000000002</v>
      </c>
      <c r="M17" s="34"/>
      <c r="N17" s="34"/>
    </row>
    <row r="18" spans="1:14" hidden="1" x14ac:dyDescent="0.2">
      <c r="A18" s="2" t="str">
        <f>IF((D18&gt;0.5),Måltal!A7,"    ")</f>
        <v>Granaten</v>
      </c>
      <c r="B18" s="2" t="str">
        <f>IF((D18&gt;0.5),Måltal!B7,"     ")</f>
        <v>Granada 27</v>
      </c>
      <c r="C18" s="2"/>
      <c r="D18" s="18">
        <f>IF(AND((B$7=1),(B$7&lt;2)),Måltal!D7,IF(AND((B$7=2),(B$7&lt;3)),Måltal!E7,IF(AND((B$7=3),(B$7&lt;4)),Måltal!F7,IF(AND((B$7=4),(B$7&lt;5)),Måltal!G7,IF(AND((B$7=5),(B$7&lt;6)),Måltal!H7,IF(AND((B$7=6),(B$7&lt;7)),Måltal!I7,IF((B$7=7),Måltal!J7,0)))))))</f>
        <v>1041.8</v>
      </c>
      <c r="E18" s="32"/>
      <c r="F18" s="32" t="str">
        <f t="shared" si="0"/>
        <v xml:space="preserve">  </v>
      </c>
      <c r="G18" s="32" t="str">
        <f>IF((E18&gt;$F$3),TIME(Beregninger!I7,Beregninger!K7,Beregninger!L7),"  ")</f>
        <v xml:space="preserve">  </v>
      </c>
      <c r="H18" s="20" t="str">
        <f>IF((E18&gt;F$3),(RANK(G18,G$13:G$37,G$13:G$37)+1)-1,"DNS")</f>
        <v>DNS</v>
      </c>
      <c r="I18" s="19">
        <f>IF((Beregninger!M7&gt;1),TIME(Beregninger!N7,Beregninger!P7,Beregninger!Q7),"  ")</f>
        <v>4.8715277777777781E-2</v>
      </c>
      <c r="J18" s="19">
        <f>IF((Beregninger!M7&gt;1),TIME(Beregninger!S7,Beregninger!U7,Beregninger!V7),"  ")</f>
        <v>3.2986111111111111E-3</v>
      </c>
      <c r="K18" s="19">
        <f>IF((Beregninger!M7&gt;1),(J18+F3),"  ")</f>
        <v>0.42343750000000002</v>
      </c>
      <c r="N18" s="34"/>
    </row>
    <row r="19" spans="1:14" hidden="1" x14ac:dyDescent="0.2">
      <c r="A19" s="2" t="str">
        <f>IF((D19&gt;0.5),Måltal!A8,"    ")</f>
        <v>Kizzy</v>
      </c>
      <c r="B19" s="2" t="str">
        <f>IF((D19&gt;0.5),Måltal!B8,"     ")</f>
        <v>Larsen 28</v>
      </c>
      <c r="C19" s="2" t="s">
        <v>88</v>
      </c>
      <c r="D19" s="18">
        <f>IF(AND((B$7=1),(B$7&lt;2)),Måltal!D8,IF(AND((B$7=2),(B$7&lt;3)),Måltal!E8,IF(AND((B$7=3),(B$7&lt;4)),Måltal!F8,IF(AND((B$7=4),(B$7&lt;5)),Måltal!G8,IF(AND((B$7=5),(B$7&lt;6)),Måltal!H8,IF(AND((B$7=6),(B$7&lt;7)),Måltal!I8,IF((B$7=7),Måltal!J8,0)))))))</f>
        <v>1138</v>
      </c>
      <c r="E19" s="32"/>
      <c r="F19" s="32" t="str">
        <f t="shared" si="0"/>
        <v xml:space="preserve">  </v>
      </c>
      <c r="G19" s="32" t="str">
        <f>IF((E19&gt;$F$3),TIME(Beregninger!I8,Beregninger!K8,Beregninger!L8),"  ")</f>
        <v xml:space="preserve">  </v>
      </c>
      <c r="H19" s="20" t="str">
        <f>IF((E19&gt;F$3),(RANK(G19,G$13:G$37,G$13:G$37)+1)-1,"DNS")</f>
        <v>DNS</v>
      </c>
      <c r="I19" s="19">
        <f>IF((Beregninger!M8&gt;1),TIME(Beregninger!N8,Beregninger!P8,Beregninger!Q8),"  ")</f>
        <v>5.3217592592592594E-2</v>
      </c>
      <c r="J19" s="19">
        <f>IF((Beregninger!M8&gt;1),TIME(Beregninger!S8,Beregninger!U8,Beregninger!V8),"  ")</f>
        <v>0</v>
      </c>
      <c r="K19" s="19">
        <f>IF((Beregninger!M8&gt;1),(J19+F3),"  ")</f>
        <v>0.4201388888888889</v>
      </c>
      <c r="N19" s="34"/>
    </row>
    <row r="20" spans="1:14" x14ac:dyDescent="0.2">
      <c r="A20" s="49" t="str">
        <f>IF((D20&gt;0.5),Måltal!A9,"    ")</f>
        <v>Sunshine</v>
      </c>
      <c r="B20" s="2" t="str">
        <f>IF((D20&gt;0.5),Måltal!B9,"     ")</f>
        <v>Faurby 36</v>
      </c>
      <c r="C20" s="2">
        <v>31</v>
      </c>
      <c r="D20" s="18">
        <f>IF(AND((B$7=1),(B$7&lt;2)),Måltal!D9,IF(AND((B$7=2),(B$7&lt;3)),Måltal!E9,IF(AND((B$7=3),(B$7&lt;4)),Måltal!F9,IF(AND((B$7=4),(B$7&lt;5)),Måltal!G9,IF(AND((B$7=5),(B$7&lt;6)),Måltal!H9,IF(AND((B$7=6),(B$7&lt;7)),Måltal!I9,IF((B$7=7),Måltal!J9,0)))))))</f>
        <v>969.4</v>
      </c>
      <c r="E20" s="32">
        <v>0.46792824074074074</v>
      </c>
      <c r="F20" s="32">
        <f t="shared" si="0"/>
        <v>4.7789351851851847E-2</v>
      </c>
      <c r="G20" s="32">
        <f>IF((E20&gt;$F$3),TIME(Beregninger!I9,Beregninger!K9,Beregninger!L9),"  ")</f>
        <v>5.4467592592592595E-2</v>
      </c>
      <c r="H20" s="20">
        <f>IF((E20&gt;F$3),(RANK(G20,G$13:G$40,G$13:G$40)+1)-1,"DNS")</f>
        <v>5</v>
      </c>
      <c r="I20" s="19">
        <f>IF((Beregninger!M9&gt;1),TIME(Beregninger!N9,Beregninger!P9,Beregninger!Q9),"  ")</f>
        <v>4.5324074074074072E-2</v>
      </c>
      <c r="J20" s="19">
        <f>IF((Beregninger!M9&gt;1),TIME(Beregninger!S9,Beregninger!U9,Beregninger!V9),"  ")</f>
        <v>6.6898148148148142E-3</v>
      </c>
      <c r="K20" s="19">
        <f>IF((Beregninger!M9&gt;1),(J20+F3),"  ")</f>
        <v>0.42682870370370368</v>
      </c>
      <c r="M20" s="34"/>
      <c r="N20" s="34"/>
    </row>
    <row r="21" spans="1:14" hidden="1" x14ac:dyDescent="0.2">
      <c r="A21" s="49" t="str">
        <f>IF((D21&gt;0.5),Måltal!A10,"    ")</f>
        <v>Bonemine</v>
      </c>
      <c r="B21" s="2" t="str">
        <f>IF((D21&gt;0.5),Måltal!B10,"     ")</f>
        <v>Beneteau 423</v>
      </c>
      <c r="C21" s="2" t="s">
        <v>89</v>
      </c>
      <c r="D21" s="18">
        <f>IF(AND((B$7=1),(B$7&lt;2)),Måltal!D10,IF(AND((B$7=2),(B$7&lt;3)),Måltal!E10,IF(AND((B$7=3),(B$7&lt;4)),Måltal!F10,IF(AND((B$7=4),(B$7&lt;5)),Måltal!G10,IF(AND((B$7=5),(B$7&lt;6)),Måltal!H10,IF(AND((B$7=6),(B$7&lt;7)),Måltal!I10,IF((B$7=7),Måltal!J10,0)))))))</f>
        <v>1086</v>
      </c>
      <c r="E21" s="32"/>
      <c r="F21" s="32" t="str">
        <f t="shared" si="0"/>
        <v xml:space="preserve">  </v>
      </c>
      <c r="G21" s="32" t="str">
        <f>IF((E21&gt;$F$3),TIME(Beregninger!I10,Beregninger!K10,Beregninger!L10),"  ")</f>
        <v xml:space="preserve">  </v>
      </c>
      <c r="H21" s="20" t="str">
        <f>IF((E21&gt;F$3),(RANK(G21,G$13:G$37,G$13:G$37)+1)-1,"DNS")</f>
        <v>DNS</v>
      </c>
      <c r="I21" s="19">
        <f>IF((Beregninger!M10&gt;1),TIME(Beregninger!N10,Beregninger!P10,Beregninger!Q10),"  ")</f>
        <v>5.077546296296296E-2</v>
      </c>
      <c r="J21" s="19">
        <f>IF((Beregninger!M10&gt;1),TIME(Beregninger!S10,Beregninger!U10,Beregninger!V10),"  ")</f>
        <v>1.2384259259259258E-3</v>
      </c>
      <c r="K21" s="19">
        <f>IF((Beregninger!M10&gt;1),(J21+F3),"  ")</f>
        <v>0.42137731481481483</v>
      </c>
      <c r="N21" s="34"/>
    </row>
    <row r="22" spans="1:14" x14ac:dyDescent="0.2">
      <c r="A22" s="49" t="str">
        <f>IF((D22&gt;0.5),Måltal!A11,"    ")</f>
        <v>10-nas</v>
      </c>
      <c r="B22" s="2" t="str">
        <f>IF((D22&gt;0.5),Måltal!B11,"     ")</f>
        <v>Banner 30</v>
      </c>
      <c r="C22" s="2">
        <v>54</v>
      </c>
      <c r="D22" s="18">
        <f>IF(AND((B$7=1),(B$7&lt;2)),Måltal!D11,IF(AND((B$7=2),(B$7&lt;3)),Måltal!E11,IF(AND((B$7=3),(B$7&lt;4)),Måltal!F11,IF(AND((B$7=4),(B$7&lt;5)),Måltal!G11,IF(AND((B$7=5),(B$7&lt;6)),Måltal!H11,IF(AND((B$7=6),(B$7&lt;7)),Måltal!I11,IF((B$7=7),Måltal!J11,0)))))))</f>
        <v>943.6</v>
      </c>
      <c r="E22" s="32">
        <v>0.4645023148148148</v>
      </c>
      <c r="F22" s="32">
        <f t="shared" si="0"/>
        <v>4.4363425925925903E-2</v>
      </c>
      <c r="G22" s="32">
        <f>IF((E22&gt;$F$3),TIME(Beregninger!I11,Beregninger!K11,Beregninger!L11),"  ")</f>
        <v>5.2245370370370366E-2</v>
      </c>
      <c r="H22" s="20">
        <f>IF((E22&gt;F$3),(RANK(G22,G$13:G$39,G$13:G$39)+1)-1,"DNS")</f>
        <v>4</v>
      </c>
      <c r="I22" s="19">
        <f>IF((Beregninger!M11&gt;1),TIME(Beregninger!N11,Beregninger!P11,Beregninger!Q11),"  ")</f>
        <v>4.4120370370370372E-2</v>
      </c>
      <c r="J22" s="19">
        <f>IF((Beregninger!M11&gt;1),TIME(Beregninger!S11,Beregninger!U11,Beregninger!V11),"  ")</f>
        <v>7.8935185185185185E-3</v>
      </c>
      <c r="K22" s="19">
        <f>IF((Beregninger!M11&gt;1),(J22+F3),"  ")</f>
        <v>0.42803240740740739</v>
      </c>
      <c r="M22" s="34"/>
      <c r="N22" s="34"/>
    </row>
    <row r="23" spans="1:14" hidden="1" x14ac:dyDescent="0.2">
      <c r="A23" s="49" t="str">
        <f>IF((D23&gt;0.5),Måltal!A12,"    ")</f>
        <v>Next</v>
      </c>
      <c r="B23" s="2" t="str">
        <f>IF((D23&gt;0.5),Måltal!B12,"     ")</f>
        <v>X342</v>
      </c>
      <c r="C23" s="2">
        <v>81</v>
      </c>
      <c r="D23" s="18">
        <f>IF(AND((B$7=1),(B$7&lt;2)),Måltal!D12,IF(AND((B$7=2),(B$7&lt;3)),Måltal!E12,IF(AND((B$7=3),(B$7&lt;4)),Måltal!F12,IF(AND((B$7=4),(B$7&lt;5)),Måltal!G12,IF(AND((B$7=5),(B$7&lt;6)),Måltal!H12,IF(AND((B$7=6),(B$7&lt;7)),Måltal!I12,IF((B$7=7),Måltal!J12,0)))))))</f>
        <v>967.8</v>
      </c>
      <c r="E23" s="32"/>
      <c r="F23" s="32" t="str">
        <f t="shared" si="0"/>
        <v xml:space="preserve">  </v>
      </c>
      <c r="G23" s="32" t="str">
        <f>IF((E23&gt;$F$3),TIME(Beregninger!I12,Beregninger!K12,Beregninger!L12),"  ")</f>
        <v xml:space="preserve">  </v>
      </c>
      <c r="H23" s="20" t="str">
        <f>IF((E23&gt;F$3),(RANK(G23,G$13:G$39,G$13:G$39)+1)-1,"DNS")</f>
        <v>DNS</v>
      </c>
      <c r="I23" s="19">
        <f>IF((Beregninger!M12&gt;1),TIME(Beregninger!N12,Beregninger!P12,Beregninger!Q12),"  ")</f>
        <v>4.5254629629629624E-2</v>
      </c>
      <c r="J23" s="19">
        <f>IF((Beregninger!M12&gt;1),TIME(Beregninger!S12,Beregninger!U12,Beregninger!V12),"  ")</f>
        <v>6.7592592592592591E-3</v>
      </c>
      <c r="K23" s="19">
        <f>IF((Beregninger!M12&gt;1),(J23+F3),"  ")</f>
        <v>0.42689814814814814</v>
      </c>
      <c r="N23" s="34"/>
    </row>
    <row r="24" spans="1:14" hidden="1" x14ac:dyDescent="0.2">
      <c r="A24" s="49" t="str">
        <f>IF((D24&gt;0.5),Måltal!A13,"    ")</f>
        <v>Kvadrat</v>
      </c>
      <c r="B24" s="2" t="s">
        <v>123</v>
      </c>
      <c r="C24" s="2">
        <v>1</v>
      </c>
      <c r="D24" s="18">
        <f>IF(AND((B$7=1),(B$7&lt;2)),Måltal!D13,IF(AND((B$7=2),(B$7&lt;3)),Måltal!E13,IF(AND((B$7=3),(B$7&lt;4)),Måltal!F13,IF(AND((B$7=4),(B$7&lt;5)),Måltal!G13,IF(AND((B$7=5),(B$7&lt;6)),Måltal!H13,IF(AND((B$7=6),(B$7&lt;7)),Måltal!I13,IF((B$7=7),Måltal!J13,0)))))))</f>
        <v>808</v>
      </c>
      <c r="E24" s="32"/>
      <c r="F24" s="32" t="str">
        <f t="shared" si="0"/>
        <v xml:space="preserve">  </v>
      </c>
      <c r="G24" s="32" t="str">
        <f>IF((E24&gt;$F$3),TIME(Beregninger!I13,Beregninger!K13,Beregninger!L13),"  ")</f>
        <v xml:space="preserve">  </v>
      </c>
      <c r="H24" s="20" t="str">
        <f>IF((E24&gt;F$3),(RANK(G24,G$13:G$37,G$13:G$37)+1)-1,"DNS")</f>
        <v>DNS</v>
      </c>
      <c r="I24" s="19">
        <f>IF((Beregninger!M13&gt;1),TIME(Beregninger!N13,Beregninger!P13,Beregninger!Q13),"  ")</f>
        <v>3.7777777777777778E-2</v>
      </c>
      <c r="J24" s="19">
        <f>IF((Beregninger!M13&gt;1),TIME(Beregninger!S13,Beregninger!U13,Beregninger!V13),"  ")</f>
        <v>1.4236111111111111E-2</v>
      </c>
      <c r="K24" s="19">
        <f>IF((Beregninger!M13&gt;1),(J24+F3),"  ")</f>
        <v>0.43437500000000001</v>
      </c>
      <c r="N24" s="34"/>
    </row>
    <row r="25" spans="1:14" hidden="1" x14ac:dyDescent="0.2">
      <c r="A25" s="49" t="str">
        <f>IF((D25&gt;0.5),Måltal!A14,"    ")</f>
        <v>Frække Frida</v>
      </c>
      <c r="B25" s="2" t="str">
        <f>IF((D25&gt;0.5),Måltal!B14,"     ")</f>
        <v>Luffe 37</v>
      </c>
      <c r="C25" s="2">
        <v>16</v>
      </c>
      <c r="D25" s="18">
        <f>IF(AND((B$7=1),(B$7&lt;2)),Måltal!D14,IF(AND((B$7=2),(B$7&lt;3)),Måltal!E14,IF(AND((B$7=3),(B$7&lt;4)),Måltal!F14,IF(AND((B$7=4),(B$7&lt;5)),Måltal!G14,IF(AND((B$7=5),(B$7&lt;6)),Måltal!H14,IF(AND((B$7=6),(B$7&lt;7)),Måltal!I14,IF((B$7=7),Måltal!J14,0)))))))</f>
        <v>916.8</v>
      </c>
      <c r="E25" s="32"/>
      <c r="F25" s="32" t="str">
        <f t="shared" si="0"/>
        <v xml:space="preserve">  </v>
      </c>
      <c r="G25" s="32" t="str">
        <f>IF((E25&gt;$F$3),TIME(Beregninger!I14,Beregninger!K14,Beregninger!L14),"  ")</f>
        <v xml:space="preserve">  </v>
      </c>
      <c r="H25" s="20" t="str">
        <f>IF((E25&gt;F$3),(RANK(G25,G$13:G$40,G$13:G$40)+1)-1,"DNS")</f>
        <v>DNS</v>
      </c>
      <c r="I25" s="19">
        <f>IF((Beregninger!M14&gt;1),TIME(Beregninger!N14,Beregninger!P14,Beregninger!Q14),"  ")</f>
        <v>4.2870370370370371E-2</v>
      </c>
      <c r="J25" s="19">
        <f>IF((Beregninger!M14&gt;1),TIME(Beregninger!S14,Beregninger!U14,Beregninger!V14),"  ")</f>
        <v>9.1435185185185178E-3</v>
      </c>
      <c r="K25" s="19">
        <f>IF((Beregninger!M14&gt;1),(J25+F3),"  ")</f>
        <v>0.42928240740740742</v>
      </c>
      <c r="N25" s="34"/>
    </row>
    <row r="26" spans="1:14" hidden="1" x14ac:dyDescent="0.2">
      <c r="A26" s="49" t="str">
        <f>IF((D26&gt;0.5),Måltal!A15,"    ")</f>
        <v>Heolix</v>
      </c>
      <c r="B26" s="2" t="str">
        <f>IF((D26&gt;0.5),Måltal!B15,"     ")</f>
        <v>X-34</v>
      </c>
      <c r="C26" s="2">
        <v>16</v>
      </c>
      <c r="D26" s="18">
        <f>IF(AND((B$7=1),(B$7&lt;2)),Måltal!D15,IF(AND((B$7=2),(B$7&lt;3)),Måltal!E15,IF(AND((B$7=3),(B$7&lt;4)),Måltal!F15,IF(AND((B$7=4),(B$7&lt;5)),Måltal!G15,IF(AND((B$7=5),(B$7&lt;6)),Måltal!H15,IF(AND((B$7=6),(B$7&lt;7)),Måltal!I15,IF((B$7=7),Måltal!J15,0)))))))</f>
        <v>903</v>
      </c>
      <c r="E26" s="32"/>
      <c r="F26" s="32" t="str">
        <f t="shared" si="0"/>
        <v xml:space="preserve">  </v>
      </c>
      <c r="G26" s="32" t="str">
        <f>IF((E26&gt;$F$3),TIME(Beregninger!I15,Beregninger!K15,Beregninger!L15),"  ")</f>
        <v xml:space="preserve">  </v>
      </c>
      <c r="H26" s="20" t="str">
        <f>IF((E26&gt;F$3),(RANK(G26,G$13:G$40,G$13:G$40)+1)-1,"DNS")</f>
        <v>DNS</v>
      </c>
      <c r="I26" s="19">
        <f>IF((Beregninger!M15&gt;1),TIME(Beregninger!N15,Beregninger!P15,Beregninger!Q15),"  ")</f>
        <v>4.2222222222222223E-2</v>
      </c>
      <c r="J26" s="19">
        <f>IF((Beregninger!M15&gt;1),TIME(Beregninger!S15,Beregninger!U15,Beregninger!V15),"  ")</f>
        <v>9.7916666666666655E-3</v>
      </c>
      <c r="K26" s="19">
        <f>IF((Beregninger!M15&gt;1),(J26+F3),"  ")</f>
        <v>0.42993055555555554</v>
      </c>
      <c r="M26" s="34"/>
      <c r="N26" s="34"/>
    </row>
    <row r="27" spans="1:14" hidden="1" x14ac:dyDescent="0.2">
      <c r="A27" s="49" t="str">
        <f>IF((D27&gt;0.5),Måltal!A16,"    ")</f>
        <v>Enjoy</v>
      </c>
      <c r="B27" s="2" t="str">
        <f>IF((D27&gt;0.5),Måltal!B16,"     ")</f>
        <v>J 80</v>
      </c>
      <c r="C27" s="2"/>
      <c r="D27" s="18">
        <f>IF(AND((B$7=1),(B$7&lt;2)),Måltal!D16,IF(AND((B$7=2),(B$7&lt;3)),Måltal!E16,IF(AND((B$7=3),(B$7&lt;4)),Måltal!F16,IF(AND((B$7=4),(B$7&lt;5)),Måltal!G16,IF(AND((B$7=5),(B$7&lt;6)),Måltal!H16,IF(AND((B$7=6),(B$7&lt;7)),Måltal!I16,IF((B$7=7),Måltal!J16,0)))))))</f>
        <v>942.8</v>
      </c>
      <c r="E27" s="32"/>
      <c r="F27" s="32" t="str">
        <f t="shared" si="0"/>
        <v xml:space="preserve">  </v>
      </c>
      <c r="G27" s="32" t="str">
        <f>IF((E27&gt;$F$3),TIME(Beregninger!I16,Beregninger!K16,Beregninger!L16),"  ")</f>
        <v xml:space="preserve">  </v>
      </c>
      <c r="H27" s="20" t="str">
        <f>IF((E27&gt;F$3),(RANK(G27,G$13:G$39,G$13:G$39)+1)-1,"DNS")</f>
        <v>DNS</v>
      </c>
      <c r="I27" s="19">
        <f>IF((Beregninger!M16&gt;1),TIME(Beregninger!N16,Beregninger!P16,Beregninger!Q16),"  ")</f>
        <v>4.4085648148148145E-2</v>
      </c>
      <c r="J27" s="19">
        <f>IF((Beregninger!M16&gt;1),TIME(Beregninger!S16,Beregninger!U16,Beregninger!V16),"  ")</f>
        <v>7.9282407407407409E-3</v>
      </c>
      <c r="K27" s="19">
        <f>IF((Beregninger!M16&gt;1),(J27+F3),"  ")</f>
        <v>0.42806712962962962</v>
      </c>
      <c r="N27" s="34"/>
    </row>
    <row r="28" spans="1:14" hidden="1" x14ac:dyDescent="0.2">
      <c r="A28" s="49" t="str">
        <f>IF((D28&gt;0.5),Måltal!A17,"    ")</f>
        <v>Gøg og Gokke</v>
      </c>
      <c r="B28" s="2" t="str">
        <f>IF((D28&gt;0.5),Måltal!B17,"     ")</f>
        <v>Mosquito 85</v>
      </c>
      <c r="C28" s="2">
        <v>19</v>
      </c>
      <c r="D28" s="18">
        <f>IF(AND((B$7=1),(B$7&lt;2)),Måltal!D17,IF(AND((B$7=2),(B$7&lt;3)),Måltal!E17,IF(AND((B$7=3),(B$7&lt;4)),Måltal!F17,IF(AND((B$7=4),(B$7&lt;5)),Måltal!G17,IF(AND((B$7=5),(B$7&lt;6)),Måltal!H17,IF(AND((B$7=6),(B$7&lt;7)),Måltal!I17,IF((B$7=7),Måltal!J17,0)))))))</f>
        <v>1036.5999999999999</v>
      </c>
      <c r="E28" s="32"/>
      <c r="F28" s="32" t="str">
        <f t="shared" si="0"/>
        <v xml:space="preserve">  </v>
      </c>
      <c r="G28" s="32" t="str">
        <f>IF((E28&gt;$F$3),TIME(Beregninger!I17,Beregninger!K17,Beregninger!L17),"  ")</f>
        <v xml:space="preserve">  </v>
      </c>
      <c r="H28" s="20" t="str">
        <f>IF((E28&gt;F$3),(RANK(G28,G$13:G$39,G$13:G$39)+1)-1,"DNS")</f>
        <v>DNS</v>
      </c>
      <c r="I28" s="19">
        <f>IF((Beregninger!M17&gt;1),TIME(Beregninger!N17,Beregninger!P17,Beregninger!Q17),"  ")</f>
        <v>4.8472222222222222E-2</v>
      </c>
      <c r="J28" s="19">
        <f>IF((Beregninger!M17&gt;1),TIME(Beregninger!S17,Beregninger!U17,Beregninger!V17),"  ")</f>
        <v>3.5416666666666665E-3</v>
      </c>
      <c r="K28" s="19">
        <f>IF((Beregninger!M17&gt;1),(J28+F3),"  ")</f>
        <v>0.42368055555555556</v>
      </c>
      <c r="N28" s="34"/>
    </row>
    <row r="29" spans="1:14" x14ac:dyDescent="0.2">
      <c r="A29" s="49" t="str">
        <f>IF((D29&gt;0.5),Måltal!A18,"    ")</f>
        <v>Chebec</v>
      </c>
      <c r="B29" s="2" t="str">
        <f>IF((D29&gt;0.5),Måltal!B18,"     ")</f>
        <v>Dynamic 35</v>
      </c>
      <c r="C29" s="2">
        <v>47</v>
      </c>
      <c r="D29" s="18">
        <f>IF(AND((B$7=1),(B$7&lt;2)),Måltal!D18,IF(AND((B$7=2),(B$7&lt;3)),Måltal!E18,IF(AND((B$7=3),(B$7&lt;4)),Måltal!F18,IF(AND((B$7=4),(B$7&lt;5)),Måltal!G18,IF(AND((B$7=5),(B$7&lt;6)),Måltal!H18,IF(AND((B$7=6),(B$7&lt;7)),Måltal!I18,IF((B$7=7),Måltal!J18,0)))))))</f>
        <v>872.6</v>
      </c>
      <c r="E29" s="32">
        <v>0.45965277777777774</v>
      </c>
      <c r="F29" s="32">
        <f t="shared" si="0"/>
        <v>3.9513888888888848E-2</v>
      </c>
      <c r="G29" s="32">
        <f>IF((E29&gt;$F$3),TIME(Beregninger!I18,Beregninger!K18,Beregninger!L18),"  ")</f>
        <v>5.0717592592592592E-2</v>
      </c>
      <c r="H29" s="20">
        <f t="shared" ref="H29:H40" si="1">IF((E29&gt;F$3),(RANK(G29,G$13:G$40,G$13:G$40)+1)-1,"DNS")</f>
        <v>3</v>
      </c>
      <c r="I29" s="19">
        <f>IF((Beregninger!M18&gt;1),TIME(Beregninger!N18,Beregninger!P18,Beregninger!Q18),"  ")</f>
        <v>4.0798611111111112E-2</v>
      </c>
      <c r="J29" s="19">
        <f>IF((Beregninger!M18&gt;1),TIME(Beregninger!S18,Beregninger!U18,Beregninger!V18),"  ")</f>
        <v>1.1215277777777777E-2</v>
      </c>
      <c r="K29" s="19">
        <f>IF((Beregninger!M18&gt;1),(J29+F3),"  ")</f>
        <v>0.43135416666666665</v>
      </c>
      <c r="N29" s="34"/>
    </row>
    <row r="30" spans="1:14" hidden="1" x14ac:dyDescent="0.2">
      <c r="A30" s="49" t="str">
        <f>IF((D30&gt;0.5),Måltal!A19,"    ")</f>
        <v>Diva</v>
      </c>
      <c r="B30" s="2" t="str">
        <f>IF((D30&gt;0.5),Måltal!B19,"     ")</f>
        <v>Grand Soleil 40</v>
      </c>
      <c r="C30" s="2">
        <v>6871</v>
      </c>
      <c r="D30" s="18">
        <f>IF(AND((B$7=1),(B$7&lt;2)),Måltal!D19,IF(AND((B$7=2),(B$7&lt;3)),Måltal!E19,IF(AND((B$7=3),(B$7&lt;4)),Måltal!F19,IF(AND((B$7=4),(B$7&lt;5)),Måltal!G19,IF(AND((B$7=5),(B$7&lt;6)),Måltal!H19,IF(AND((B$7=6),(B$7&lt;7)),Måltal!I19,IF((B$7=7),Måltal!J19,0)))))))</f>
        <v>894</v>
      </c>
      <c r="E30" s="32"/>
      <c r="F30" s="32" t="str">
        <f t="shared" si="0"/>
        <v xml:space="preserve">  </v>
      </c>
      <c r="G30" s="32" t="str">
        <f>IF((E30&gt;$F$3),TIME(Beregninger!I19,Beregninger!K19,Beregninger!L19),"  ")</f>
        <v xml:space="preserve">  </v>
      </c>
      <c r="H30" s="20" t="str">
        <f t="shared" si="1"/>
        <v>DNS</v>
      </c>
      <c r="I30" s="19">
        <f>IF((Beregninger!M19&gt;1),TIME(Beregninger!N19,Beregninger!P19,Beregninger!Q19),"  ")</f>
        <v>4.1805555555555561E-2</v>
      </c>
      <c r="J30" s="19">
        <f>IF((Beregninger!M19&gt;1),TIME(Beregninger!S19,Beregninger!U19,Beregninger!V19),"  ")</f>
        <v>1.0208333333333333E-2</v>
      </c>
      <c r="K30" s="19">
        <f>IF((Beregninger!M19&gt;1),(J30+F3),"  ")</f>
        <v>0.43034722222222221</v>
      </c>
      <c r="N30" s="34"/>
    </row>
    <row r="31" spans="1:14" hidden="1" x14ac:dyDescent="0.2">
      <c r="A31" s="49" t="str">
        <f>IF((D31&gt;0.5),Måltal!A20,"    ")</f>
        <v>Rosanna</v>
      </c>
      <c r="B31" s="2" t="str">
        <f>IF((D31&gt;0.5),Måltal!B20,"     ")</f>
        <v>Luffe 43</v>
      </c>
      <c r="C31" s="2" t="s">
        <v>90</v>
      </c>
      <c r="D31" s="18">
        <f>IF(AND((B$7=1),(B$7&lt;2)),Måltal!D20,IF(AND((B$7=2),(B$7&lt;3)),Måltal!E20,IF(AND((B$7=3),(B$7&lt;4)),Måltal!F20,IF(AND((B$7=4),(B$7&lt;5)),Måltal!G20,IF(AND((B$7=5),(B$7&lt;6)),Måltal!H20,IF(AND((B$7=6),(B$7&lt;7)),Måltal!I20,IF((B$7=7),Måltal!J20,0)))))))</f>
        <v>854.6</v>
      </c>
      <c r="E31" s="32"/>
      <c r="F31" s="32" t="str">
        <f t="shared" si="0"/>
        <v xml:space="preserve">  </v>
      </c>
      <c r="G31" s="32" t="str">
        <f>IF((E31&gt;$F$3),TIME(Beregninger!I20,Beregninger!K20,Beregninger!L20),"  ")</f>
        <v xml:space="preserve">  </v>
      </c>
      <c r="H31" s="20" t="str">
        <f t="shared" si="1"/>
        <v>DNS</v>
      </c>
      <c r="I31" s="19">
        <f>IF((Beregninger!M20&gt;1),TIME(Beregninger!N20,Beregninger!P20,Beregninger!Q20),"  ")</f>
        <v>3.9965277777777773E-2</v>
      </c>
      <c r="J31" s="19">
        <f>IF((Beregninger!M20&gt;1),TIME(Beregninger!S20,Beregninger!U20,Beregninger!V20),"  ")</f>
        <v>1.2060185185185186E-2</v>
      </c>
      <c r="K31" s="19">
        <f>IF((Beregninger!M20&gt;1),(J31+F3),"  ")</f>
        <v>0.4321990740740741</v>
      </c>
      <c r="N31" s="34"/>
    </row>
    <row r="32" spans="1:14" hidden="1" x14ac:dyDescent="0.2">
      <c r="A32" s="49" t="str">
        <f>IF((D32&gt;0.5),Måltal!A21,"    ")</f>
        <v>Xixi</v>
      </c>
      <c r="B32" s="2" t="str">
        <f>IF((D32&gt;0.5),Måltal!B21,"     ")</f>
        <v>X43</v>
      </c>
      <c r="C32" s="2">
        <v>43</v>
      </c>
      <c r="D32" s="18">
        <f>IF(AND((B$7=1),(B$7&lt;2)),Måltal!D21,IF(AND((B$7=2),(B$7&lt;3)),Måltal!E21,IF(AND((B$7=3),(B$7&lt;4)),Måltal!F21,IF(AND((B$7=4),(B$7&lt;5)),Måltal!G21,IF(AND((B$7=5),(B$7&lt;6)),Måltal!H21,IF(AND((B$7=6),(B$7&lt;7)),Måltal!I21,IF((B$7=7),Måltal!J20,0)))))))</f>
        <v>844</v>
      </c>
      <c r="E32" s="32"/>
      <c r="F32" s="32" t="str">
        <f t="shared" si="0"/>
        <v xml:space="preserve">  </v>
      </c>
      <c r="G32" s="32" t="str">
        <f>IF((E32&gt;$F$3),TIME(Beregninger!I21,Beregninger!K21,Beregninger!L21),"  ")</f>
        <v xml:space="preserve">  </v>
      </c>
      <c r="H32" s="20" t="str">
        <f t="shared" si="1"/>
        <v>DNS</v>
      </c>
      <c r="I32" s="19">
        <f>IF((Beregninger!M21&gt;1),TIME(Beregninger!N21,Beregninger!P21,Beregninger!Q21),"  ")</f>
        <v>3.9467592592592596E-2</v>
      </c>
      <c r="J32" s="19">
        <f>IF((Beregninger!M21&gt;1),TIME(Beregninger!S21,Beregninger!U21,Beregninger!V21),"  ")</f>
        <v>1.2546296296296297E-2</v>
      </c>
      <c r="K32" s="19">
        <f>IF((Beregninger!M21&gt;1),(J32+F3),"  ")</f>
        <v>0.43268518518518517</v>
      </c>
      <c r="N32" s="34"/>
    </row>
    <row r="33" spans="1:14" ht="12.75" hidden="1" customHeight="1" x14ac:dyDescent="0.2">
      <c r="A33" s="49" t="str">
        <f>IF((D33&gt;0.5),Måltal!A22,"    ")</f>
        <v>Gilbjerg</v>
      </c>
      <c r="B33" s="2" t="str">
        <f>IF((D33&gt;0.5),Måltal!B22,"     ")</f>
        <v>H-båd</v>
      </c>
      <c r="C33" s="2">
        <v>429</v>
      </c>
      <c r="D33" s="18">
        <f>IF(AND((B$7=1),(B$7&lt;2)),Måltal!D22,IF(AND((B$7=2),(B$7&lt;3)),Måltal!E22,IF(AND((B$7=3),(B$7&lt;4)),Måltal!F22,IF(AND((B$7=4),(B$7&lt;5)),Måltal!G22,IF(AND((B$7=5),(B$7&lt;6)),Måltal!H22,IF(AND((B$7=6),(B$7&lt;7)),Måltal!I22,IF((B$7=7),Måltal!#REF!,0)))))))</f>
        <v>1112.4000000000001</v>
      </c>
      <c r="E33" s="32"/>
      <c r="F33" s="32" t="str">
        <f t="shared" si="0"/>
        <v xml:space="preserve">  </v>
      </c>
      <c r="G33" s="32" t="str">
        <f>IF((E33&gt;$F$3),TIME(Beregninger!I22,Beregninger!K22,Beregninger!L22),"  ")</f>
        <v xml:space="preserve">  </v>
      </c>
      <c r="H33" s="20" t="str">
        <f t="shared" si="1"/>
        <v>DNS</v>
      </c>
      <c r="I33" s="19">
        <f>IF((Beregninger!M22&gt;1),TIME(Beregninger!N22,Beregninger!P22,Beregninger!Q22),"  ")</f>
        <v>5.2013888888888887E-2</v>
      </c>
      <c r="J33" s="19">
        <f>IF((Beregninger!M22&gt;1),TIME(Beregninger!S22,Beregninger!U22,Beregninger!V22),"  ")</f>
        <v>0</v>
      </c>
      <c r="K33" s="19">
        <f>IF((Beregninger!M22&gt;1),(J33+F3),"  ")</f>
        <v>0.4201388888888889</v>
      </c>
      <c r="M33" s="34"/>
      <c r="N33" s="34"/>
    </row>
    <row r="34" spans="1:14" ht="12.75" customHeight="1" x14ac:dyDescent="0.2">
      <c r="A34" s="49" t="str">
        <f>IF((D34&gt;0.5),Måltal!A23,"    ")</f>
        <v>Den røde løber</v>
      </c>
      <c r="B34" s="2" t="str">
        <f>IF((D34&gt;0.5),Måltal!B23,"     ")</f>
        <v>H-båd</v>
      </c>
      <c r="C34" s="2">
        <v>94</v>
      </c>
      <c r="D34" s="18">
        <f>IF(AND((B$7=1),(B$7&lt;2)),Måltal!D23,IF(AND((B$7=2),(B$7&lt;3)),Måltal!E23,IF(AND((B$7=3),(B$7&lt;4)),Måltal!F23,IF(AND((B$7=4),(B$7&lt;5)),Måltal!G23,IF(AND((B$7=5),(B$7&lt;6)),Måltal!H23,IF(AND((B$7=6),(B$7&lt;7)),Måltal!I23,IF((B$7=7),Måltal!J23,0)))))))</f>
        <v>1112.4000000000001</v>
      </c>
      <c r="E34" s="32">
        <v>0.46756944444444448</v>
      </c>
      <c r="F34" s="32">
        <f t="shared" si="0"/>
        <v>4.7430555555555587E-2</v>
      </c>
      <c r="G34" s="32">
        <f>IF((E34&gt;$F$3),TIME(Beregninger!I23,Beregninger!K23,Beregninger!L23),"  ")</f>
        <v>4.7430555555555559E-2</v>
      </c>
      <c r="H34" s="20">
        <f t="shared" si="1"/>
        <v>1</v>
      </c>
      <c r="I34" s="19">
        <f>IF((Beregninger!M23&gt;1),TIME(Beregninger!N23,Beregninger!P23,Beregninger!Q23),"  ")</f>
        <v>5.2013888888888887E-2</v>
      </c>
      <c r="J34" s="19">
        <f>IF((Beregninger!M23&gt;1),TIME(Beregninger!S23,Beregninger!U23,Beregninger!V23),"  ")</f>
        <v>0</v>
      </c>
      <c r="K34" s="19">
        <f>IF((Beregninger!M23&gt;1),(J34+F3),"  ")</f>
        <v>0.4201388888888889</v>
      </c>
      <c r="M34" s="34"/>
      <c r="N34" s="34"/>
    </row>
    <row r="35" spans="1:14" ht="12.75" hidden="1" customHeight="1" x14ac:dyDescent="0.2">
      <c r="A35" s="49" t="str">
        <f>IF((D35&gt;0.5),Måltal!A24,"    ")</f>
        <v>Danmark</v>
      </c>
      <c r="B35" s="2" t="str">
        <f>IF((D35&gt;0.5),Måltal!B24,"     ")</f>
        <v>H-båd</v>
      </c>
      <c r="C35" s="2">
        <v>318</v>
      </c>
      <c r="D35" s="18">
        <f>IF(AND((B$7=1),(B$7&lt;2)),Måltal!D24,IF(AND((B$7=2),(B$7&lt;3)),Måltal!E24,IF(AND((B$7=3),(B$7&lt;4)),Måltal!F24,IF(AND((B$7=4),(B$7&lt;5)),Måltal!G24,IF(AND((B$7=5),(B$7&lt;6)),Måltal!H24,IF(AND((B$7=6),(B$7&lt;7)),Måltal!I24,IF((B$7=7),Måltal!J24,0)))))))</f>
        <v>1112.4000000000001</v>
      </c>
      <c r="E35" s="32"/>
      <c r="F35" s="32" t="str">
        <f t="shared" si="0"/>
        <v xml:space="preserve">  </v>
      </c>
      <c r="G35" s="32" t="str">
        <f>IF((E35&gt;$F$3),TIME(Beregninger!I24,Beregninger!K24,Beregninger!L24),"  ")</f>
        <v xml:space="preserve">  </v>
      </c>
      <c r="H35" s="20" t="str">
        <f t="shared" si="1"/>
        <v>DNS</v>
      </c>
      <c r="I35" s="19">
        <f>IF((Beregninger!M24&gt;1),TIME(Beregninger!N24,Beregninger!P24,Beregninger!Q24),"  ")</f>
        <v>5.2013888888888887E-2</v>
      </c>
      <c r="J35" s="19">
        <f>IF((Beregninger!M24&gt;1),TIME(Beregninger!S24,Beregninger!U24,Beregninger!V24),"  ")</f>
        <v>0</v>
      </c>
      <c r="K35" s="19">
        <f>IF((Beregninger!M24&gt;1),(J35+F3),"  ")</f>
        <v>0.4201388888888889</v>
      </c>
      <c r="M35" s="34"/>
      <c r="N35" s="34"/>
    </row>
    <row r="36" spans="1:14" ht="12.75" hidden="1" customHeight="1" x14ac:dyDescent="0.2">
      <c r="A36" s="49" t="str">
        <f>IF((D36&gt;0.5),Måltal!A25,"    ")</f>
        <v>Fru Brøgger</v>
      </c>
      <c r="B36" s="2" t="str">
        <f>IF((D36&gt;0.5),Måltal!B25,"     ")</f>
        <v>H-båd</v>
      </c>
      <c r="C36" s="2">
        <v>313</v>
      </c>
      <c r="D36" s="18">
        <f>IF(AND((B$7=1),(B$7&lt;2)),Måltal!D25,IF(AND((B$7=2),(B$7&lt;3)),Måltal!E25,IF(AND((B$7=3),(B$7&lt;4)),Måltal!F25,IF(AND((B$7=4),(B$7&lt;5)),Måltal!G25,IF(AND((B$7=5),(B$7&lt;6)),Måltal!H25,IF(AND((B$7=6),(B$7&lt;7)),Måltal!I25,IF((B$7=7),Måltal!J25,0)))))))</f>
        <v>1112.4000000000001</v>
      </c>
      <c r="E36" s="32"/>
      <c r="F36" s="32" t="str">
        <f t="shared" si="0"/>
        <v xml:space="preserve">  </v>
      </c>
      <c r="G36" s="32" t="str">
        <f>IF((E36&gt;$F$3),TIME(Beregninger!I25,Beregninger!K25,Beregninger!L25),"  ")</f>
        <v xml:space="preserve">  </v>
      </c>
      <c r="H36" s="20" t="str">
        <f t="shared" si="1"/>
        <v>DNS</v>
      </c>
      <c r="I36" s="19">
        <f>IF((Beregninger!M26&gt;1),TIME(Beregninger!N26,Beregninger!P26,Beregninger!Q26),"  ")</f>
        <v>4.5486111111111109E-2</v>
      </c>
      <c r="J36" s="19">
        <f>IF((Beregninger!M26&gt;1),TIME(Beregninger!S26,Beregninger!U26,Beregninger!V26),"  ")</f>
        <v>6.5277777777777782E-3</v>
      </c>
      <c r="K36" s="19">
        <f>IF((Beregninger!M26&gt;1),(J36+F4),"  ")</f>
        <v>6.5277777777777782E-3</v>
      </c>
      <c r="M36" s="34"/>
      <c r="N36" s="34"/>
    </row>
    <row r="37" spans="1:14" ht="12.75" customHeight="1" x14ac:dyDescent="0.2">
      <c r="A37" s="49" t="str">
        <f>IF((D37&gt;0.5),Måltal!A26,"    ")</f>
        <v>S-Cape</v>
      </c>
      <c r="B37" s="2" t="str">
        <f>IF((D37&gt;0.5),Måltal!B26,"     ")</f>
        <v>Scan-kap 99</v>
      </c>
      <c r="C37" s="2">
        <v>41</v>
      </c>
      <c r="D37" s="18">
        <f>IF(AND((B$7=1),(B$7&lt;2)),Måltal!D26,IF(AND((B$7=2),(B$7&lt;3)),Måltal!E26,IF(AND((B$7=3),(B$7&lt;4)),Måltal!F26,IF(AND((B$7=4),(B$7&lt;5)),Måltal!G26,IF(AND((B$7=5),(B$7&lt;6)),Måltal!H26,IF(AND((B$7=6),(B$7&lt;7)),Måltal!I26,IF((B$7=7),Måltal!J26,0)))))))</f>
        <v>972.8</v>
      </c>
      <c r="E37" s="32">
        <v>0.46371527777777777</v>
      </c>
      <c r="F37" s="32">
        <f t="shared" si="0"/>
        <v>4.3576388888888873E-2</v>
      </c>
      <c r="G37" s="32">
        <f>IF((E37&gt;$F$3),TIME(Beregninger!I26,Beregninger!K26,Beregninger!L26),"  ")</f>
        <v>5.0092592592592598E-2</v>
      </c>
      <c r="H37" s="20">
        <f t="shared" si="1"/>
        <v>2</v>
      </c>
      <c r="I37" s="19">
        <f>IF((Beregninger!M26&gt;1),TIME(Beregninger!N26,Beregninger!P26,Beregninger!Q26),"  ")</f>
        <v>4.5486111111111109E-2</v>
      </c>
      <c r="J37" s="19">
        <f>IF((Beregninger!M26&gt;1),TIME(Beregninger!S26,Beregninger!U26,Beregninger!V26),"  ")</f>
        <v>6.5277777777777782E-3</v>
      </c>
      <c r="K37" s="19">
        <f>IF((Beregninger!M26&gt;1),(J37+F3),"  ")</f>
        <v>0.42666666666666669</v>
      </c>
      <c r="N37" s="34"/>
    </row>
    <row r="38" spans="1:14" ht="12.75" hidden="1" customHeight="1" x14ac:dyDescent="0.2">
      <c r="A38" s="49" t="str">
        <f>IF((D38&gt;0.5),Måltal!A27,"    ")</f>
        <v>Havblik</v>
      </c>
      <c r="B38" s="2" t="str">
        <f>IF((D38&gt;0.5),Måltal!B27,"     ")</f>
        <v>Scan-kap 99</v>
      </c>
      <c r="C38" s="2">
        <v>86</v>
      </c>
      <c r="D38" s="18">
        <f>IF(AND((B$7=1),(B$7&lt;2)),Måltal!D27,IF(AND((B$7=2),(B$7&lt;3)),Måltal!E27,IF(AND((B$7=3),(B$7&lt;4)),Måltal!F27,IF(AND((B$7=4),(B$7&lt;5)),Måltal!G27,IF(AND((B$7=5),(B$7&lt;6)),Måltal!H27,IF(AND((B$7=6),(B$7&lt;7)),Måltal!I27,IF((B$7=7),Måltal!J27,0)))))))</f>
        <v>972.8</v>
      </c>
      <c r="E38" s="32"/>
      <c r="F38" s="32" t="str">
        <f t="shared" si="0"/>
        <v xml:space="preserve">  </v>
      </c>
      <c r="G38" s="32" t="str">
        <f>IF((E38&gt;$F$3),TIME(Beregninger!I27,Beregninger!K27,Beregninger!L27),"  ")</f>
        <v xml:space="preserve">  </v>
      </c>
      <c r="H38" s="20" t="str">
        <f t="shared" si="1"/>
        <v>DNS</v>
      </c>
      <c r="I38" s="19">
        <f>IF((Beregninger!M27&gt;1),TIME(Beregninger!N27,Beregninger!P27,Beregninger!Q27),"  ")</f>
        <v>4.5486111111111109E-2</v>
      </c>
      <c r="J38" s="19">
        <f>IF((Beregninger!M27&gt;1),TIME(Beregninger!S27,Beregninger!U27,Beregninger!V27),"  ")</f>
        <v>6.5277777777777782E-3</v>
      </c>
      <c r="K38" s="19">
        <f>IF((Beregninger!M27&gt;1),(J38+F3),"  ")</f>
        <v>0.42666666666666669</v>
      </c>
    </row>
    <row r="39" spans="1:14" ht="12.75" hidden="1" customHeight="1" x14ac:dyDescent="0.2">
      <c r="A39" s="2" t="str">
        <f>IF((D39&gt;0.5),Måltal!A28,"    ")</f>
        <v>Tango for II</v>
      </c>
      <c r="B39" s="2" t="str">
        <f>IF((D39&gt;0.5),Måltal!B28,"     ")</f>
        <v>Centerline 40</v>
      </c>
      <c r="C39" s="2">
        <v>3</v>
      </c>
      <c r="D39" s="18">
        <f>IF(AND((B$7=1),(B$7&lt;2)),Måltal!D28,IF(AND((B$7=2),(B$7&lt;3)),Måltal!E28,IF(AND((B$7=3),(B$7&lt;4)),Måltal!F28,IF(AND((B$7=4),(B$7&lt;5)),Måltal!G28,IF(AND((B$7=5),(B$7&lt;6)),Måltal!H28,IF(AND((B$7=6),(B$7&lt;7)),Måltal!I28,IF((B$7=7),Måltal!J28,0)))))))</f>
        <v>849.6</v>
      </c>
      <c r="E39" s="32"/>
      <c r="F39" s="32" t="str">
        <f t="shared" ref="F39:F40" si="2">IF((E39&gt;$F$3),(E39-$F$3),"  ")</f>
        <v xml:space="preserve">  </v>
      </c>
      <c r="G39" s="32" t="str">
        <f>IF((E39&gt;$F$3),TIME(Beregninger!I28,Beregninger!K28,Beregninger!L28),"  ")</f>
        <v xml:space="preserve">  </v>
      </c>
      <c r="H39" s="20" t="str">
        <f t="shared" si="1"/>
        <v>DNS</v>
      </c>
      <c r="I39" s="19">
        <f>IF((Beregninger!M28&gt;1),TIME(Beregninger!N28,Beregninger!P28,Beregninger!Q28),"  ")</f>
        <v>3.9722222222222221E-2</v>
      </c>
      <c r="J39" s="19">
        <f>IF((Beregninger!M28&gt;1),TIME(Beregninger!S28,Beregninger!U28,Beregninger!V28),"  ")</f>
        <v>1.2291666666666666E-2</v>
      </c>
      <c r="K39" s="19">
        <f>IF((Beregninger!M28&gt;1),(J39+F3),"  ")</f>
        <v>0.43243055555555554</v>
      </c>
    </row>
    <row r="40" spans="1:14" ht="12.75" hidden="1" customHeight="1" x14ac:dyDescent="0.2">
      <c r="A40" s="2" t="str">
        <f>IF((D40&gt;0.5),Måltal!A29,"    ")</f>
        <v>Miss Grey</v>
      </c>
      <c r="B40" s="2" t="str">
        <f>IF((D40&gt;0.5),Måltal!B29,"     ")</f>
        <v>L23</v>
      </c>
      <c r="C40" s="2">
        <v>121</v>
      </c>
      <c r="D40" s="18">
        <f>IF(AND((B$7=1),(B$7&lt;2)),Måltal!D29,IF(AND((B$7=2),(B$7&lt;3)),Måltal!E29,IF(AND((B$7=3),(B$7&lt;4)),Måltal!F29,IF(AND((B$7=4),(B$7&lt;5)),Måltal!G29,IF(AND((B$7=5),(B$7&lt;6)),Måltal!H29,IF(AND((B$7=6),(B$7&lt;7)),Måltal!I29,IF((B$7=7),Måltal!J29,0)))))))</f>
        <v>1093.2</v>
      </c>
      <c r="E40" s="32"/>
      <c r="F40" s="32" t="str">
        <f t="shared" si="2"/>
        <v xml:space="preserve">  </v>
      </c>
      <c r="G40" s="32" t="str">
        <f>IF((E40&gt;$F$3),TIME(Beregninger!I29,Beregninger!K29,Beregninger!L29),"  ")</f>
        <v xml:space="preserve">  </v>
      </c>
      <c r="H40" s="20" t="str">
        <f t="shared" si="1"/>
        <v>DNS</v>
      </c>
      <c r="I40" s="19">
        <f>IF((Beregninger!M29&gt;1),TIME(Beregninger!N29,Beregninger!P29,Beregninger!Q29),"  ")</f>
        <v>5.1122685185185181E-2</v>
      </c>
      <c r="J40" s="19">
        <f>IF((Beregninger!M29&gt;1),TIME(Beregninger!S29,Beregninger!U29,Beregninger!V29),"  ")</f>
        <v>9.0277777777777784E-4</v>
      </c>
      <c r="K40" s="19">
        <f>IF((Beregninger!M29&gt;1),(J40+F3),"  ")</f>
        <v>0.42104166666666665</v>
      </c>
    </row>
  </sheetData>
  <mergeCells count="3">
    <mergeCell ref="E5:F5"/>
    <mergeCell ref="H5:I5"/>
    <mergeCell ref="A9:A10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topLeftCell="A10" zoomScaleNormal="100" workbookViewId="0">
      <selection activeCell="B29" sqref="B29"/>
    </sheetView>
  </sheetViews>
  <sheetFormatPr defaultColWidth="9.140625" defaultRowHeight="12.75" customHeight="1" x14ac:dyDescent="0.2"/>
  <cols>
    <col min="1" max="1" width="13.140625" bestFit="1" customWidth="1"/>
    <col min="2" max="2" width="19.7109375" customWidth="1"/>
    <col min="3" max="3" width="7.85546875" bestFit="1" customWidth="1"/>
    <col min="4" max="7" width="9.140625" style="28" customWidth="1"/>
    <col min="8" max="8" width="10.28515625" style="28" customWidth="1"/>
    <col min="9" max="10" width="9.140625" style="28" customWidth="1"/>
    <col min="11" max="11" width="9.140625" customWidth="1"/>
    <col min="13" max="13" width="10.140625" bestFit="1" customWidth="1"/>
  </cols>
  <sheetData>
    <row r="1" spans="1:14" x14ac:dyDescent="0.2">
      <c r="A1" s="21" t="s">
        <v>45</v>
      </c>
      <c r="B1" s="22" t="s">
        <v>10</v>
      </c>
      <c r="C1" s="23" t="s">
        <v>29</v>
      </c>
      <c r="D1" s="27" t="s">
        <v>32</v>
      </c>
      <c r="E1" s="27" t="s">
        <v>34</v>
      </c>
      <c r="F1" s="27" t="s">
        <v>35</v>
      </c>
      <c r="G1" s="27" t="s">
        <v>15</v>
      </c>
      <c r="H1" s="27" t="s">
        <v>14</v>
      </c>
      <c r="I1" s="27" t="s">
        <v>17</v>
      </c>
      <c r="J1" s="27" t="s">
        <v>78</v>
      </c>
      <c r="K1" s="24" t="s">
        <v>0</v>
      </c>
    </row>
    <row r="2" spans="1:14" s="52" customFormat="1" ht="12.75" customHeight="1" x14ac:dyDescent="0.2">
      <c r="A2" s="43" t="s">
        <v>67</v>
      </c>
      <c r="B2" s="43" t="s">
        <v>54</v>
      </c>
      <c r="C2" s="43" t="str">
        <f>Resultat!H13</f>
        <v>DNS</v>
      </c>
      <c r="D2" s="56">
        <v>894.8</v>
      </c>
      <c r="E2" s="56">
        <v>708.4</v>
      </c>
      <c r="F2" s="56">
        <v>638</v>
      </c>
      <c r="G2" s="56">
        <v>1177</v>
      </c>
      <c r="H2" s="56">
        <v>883.4</v>
      </c>
      <c r="I2" s="56">
        <v>774.4</v>
      </c>
      <c r="J2" s="56">
        <v>718.8</v>
      </c>
      <c r="K2" s="43">
        <v>0.99</v>
      </c>
      <c r="L2" s="44"/>
      <c r="M2" s="45"/>
      <c r="N2" s="44" t="s">
        <v>77</v>
      </c>
    </row>
    <row r="3" spans="1:14" s="52" customFormat="1" x14ac:dyDescent="0.2">
      <c r="A3" s="49" t="s">
        <v>62</v>
      </c>
      <c r="B3" s="50" t="s">
        <v>91</v>
      </c>
      <c r="C3" s="43" t="str">
        <f>Resultat!H14</f>
        <v>DNS</v>
      </c>
      <c r="D3" s="46">
        <v>999.8</v>
      </c>
      <c r="E3" s="46">
        <v>674.2</v>
      </c>
      <c r="F3" s="46">
        <v>591</v>
      </c>
      <c r="G3" s="46">
        <v>1307</v>
      </c>
      <c r="H3" s="46">
        <v>836.2</v>
      </c>
      <c r="I3" s="46">
        <v>717.2</v>
      </c>
      <c r="J3" s="46">
        <v>702.2</v>
      </c>
      <c r="K3" s="47">
        <v>1.02</v>
      </c>
      <c r="L3" s="44"/>
      <c r="M3" s="44"/>
      <c r="N3" s="44"/>
    </row>
    <row r="4" spans="1:14" s="52" customFormat="1" x14ac:dyDescent="0.2">
      <c r="A4" s="49" t="s">
        <v>74</v>
      </c>
      <c r="B4" s="50" t="s">
        <v>92</v>
      </c>
      <c r="C4" s="43" t="str">
        <f>Resultat!H15</f>
        <v>DNS</v>
      </c>
      <c r="D4" s="46">
        <v>994.8</v>
      </c>
      <c r="E4" s="46">
        <v>676.6</v>
      </c>
      <c r="F4" s="46">
        <v>610</v>
      </c>
      <c r="G4" s="46">
        <v>1299</v>
      </c>
      <c r="H4" s="46">
        <v>843.8</v>
      </c>
      <c r="I4" s="46">
        <v>756.2</v>
      </c>
      <c r="J4" s="46">
        <v>707.8</v>
      </c>
      <c r="K4" s="47">
        <v>1.004</v>
      </c>
      <c r="L4" s="44"/>
      <c r="M4" s="44"/>
      <c r="N4" s="44"/>
    </row>
    <row r="5" spans="1:14" s="52" customFormat="1" x14ac:dyDescent="0.2">
      <c r="A5" s="49" t="s">
        <v>31</v>
      </c>
      <c r="B5" s="50" t="s">
        <v>93</v>
      </c>
      <c r="C5" s="43" t="str">
        <f>Resultat!H16</f>
        <v>DNS</v>
      </c>
      <c r="D5" s="46">
        <v>945.2</v>
      </c>
      <c r="E5" s="46">
        <v>660.8</v>
      </c>
      <c r="F5" s="46">
        <v>595</v>
      </c>
      <c r="G5" s="46">
        <v>1244</v>
      </c>
      <c r="H5" s="46">
        <v>824.4</v>
      </c>
      <c r="I5" s="46">
        <v>733.6</v>
      </c>
      <c r="J5" s="46">
        <v>687.2</v>
      </c>
      <c r="K5" s="47">
        <v>1.03</v>
      </c>
      <c r="L5" s="44"/>
      <c r="M5" s="44"/>
      <c r="N5" s="44"/>
    </row>
    <row r="6" spans="1:14" s="52" customFormat="1" x14ac:dyDescent="0.2">
      <c r="A6" s="43" t="s">
        <v>11</v>
      </c>
      <c r="B6" s="43" t="s">
        <v>46</v>
      </c>
      <c r="C6" s="43" t="str">
        <f>Resultat!H17</f>
        <v>DNS</v>
      </c>
      <c r="D6" s="56">
        <v>797.6</v>
      </c>
      <c r="E6" s="56">
        <v>641</v>
      </c>
      <c r="F6" s="56">
        <v>574.4</v>
      </c>
      <c r="G6" s="56">
        <v>1035.2</v>
      </c>
      <c r="H6" s="56">
        <v>794.4</v>
      </c>
      <c r="I6" s="56">
        <v>694</v>
      </c>
      <c r="J6" s="56">
        <v>647.79999999999995</v>
      </c>
      <c r="K6" s="43">
        <v>1</v>
      </c>
      <c r="L6" s="44"/>
      <c r="M6" s="45"/>
      <c r="N6" s="44"/>
    </row>
    <row r="7" spans="1:14" s="52" customFormat="1" x14ac:dyDescent="0.2">
      <c r="A7" s="43" t="s">
        <v>13</v>
      </c>
      <c r="B7" s="43" t="s">
        <v>22</v>
      </c>
      <c r="C7" s="43" t="str">
        <f>Resultat!H18</f>
        <v>DNS</v>
      </c>
      <c r="D7" s="56">
        <v>815.8</v>
      </c>
      <c r="E7" s="56">
        <v>660.4</v>
      </c>
      <c r="F7" s="56">
        <v>601</v>
      </c>
      <c r="G7" s="56">
        <v>1041.8</v>
      </c>
      <c r="H7" s="56">
        <v>811.2</v>
      </c>
      <c r="I7" s="56">
        <v>724.2</v>
      </c>
      <c r="J7" s="56">
        <v>669.2</v>
      </c>
      <c r="K7" s="43">
        <v>1.054</v>
      </c>
      <c r="L7" s="44"/>
      <c r="M7" s="45"/>
      <c r="N7" s="44" t="s">
        <v>77</v>
      </c>
    </row>
    <row r="8" spans="1:14" s="52" customFormat="1" x14ac:dyDescent="0.2">
      <c r="A8" s="49" t="s">
        <v>63</v>
      </c>
      <c r="B8" s="50" t="s">
        <v>94</v>
      </c>
      <c r="C8" s="43" t="str">
        <f>Resultat!H19</f>
        <v>DNS</v>
      </c>
      <c r="D8" s="46">
        <v>866.6</v>
      </c>
      <c r="E8" s="46">
        <v>627</v>
      </c>
      <c r="F8" s="46">
        <v>569</v>
      </c>
      <c r="G8" s="46">
        <v>1138</v>
      </c>
      <c r="H8" s="46">
        <v>784.4</v>
      </c>
      <c r="I8" s="46">
        <v>704.4</v>
      </c>
      <c r="J8" s="46">
        <v>648.6</v>
      </c>
      <c r="K8" s="47">
        <v>1</v>
      </c>
      <c r="L8" s="44"/>
      <c r="M8" s="44"/>
      <c r="N8" s="44"/>
    </row>
    <row r="9" spans="1:14" s="52" customFormat="1" x14ac:dyDescent="0.2">
      <c r="A9" s="39" t="s">
        <v>1</v>
      </c>
      <c r="B9" s="40" t="s">
        <v>95</v>
      </c>
      <c r="C9" s="36">
        <f>Resultat!H20</f>
        <v>5</v>
      </c>
      <c r="D9" s="41">
        <v>741</v>
      </c>
      <c r="E9" s="57">
        <v>580.20000000000005</v>
      </c>
      <c r="F9" s="41">
        <v>511.6</v>
      </c>
      <c r="G9" s="41">
        <v>969.4</v>
      </c>
      <c r="H9" s="41">
        <v>728</v>
      </c>
      <c r="I9" s="41">
        <v>620.20000000000005</v>
      </c>
      <c r="J9" s="41">
        <v>587.20000000000005</v>
      </c>
      <c r="K9" s="42">
        <v>1.2250000000000001</v>
      </c>
      <c r="L9" s="38">
        <v>30673</v>
      </c>
      <c r="M9" s="37">
        <v>42453</v>
      </c>
      <c r="N9" s="38"/>
    </row>
    <row r="10" spans="1:14" s="52" customFormat="1" x14ac:dyDescent="0.2">
      <c r="A10" s="49" t="s">
        <v>61</v>
      </c>
      <c r="B10" s="50" t="s">
        <v>96</v>
      </c>
      <c r="C10" s="43" t="str">
        <f>Resultat!H21</f>
        <v>DNS</v>
      </c>
      <c r="D10" s="46">
        <v>821</v>
      </c>
      <c r="E10" s="46">
        <v>553.6</v>
      </c>
      <c r="F10" s="46">
        <v>480.6</v>
      </c>
      <c r="G10" s="46">
        <v>1086</v>
      </c>
      <c r="H10" s="46">
        <v>705.2</v>
      </c>
      <c r="I10" s="46">
        <v>593.4</v>
      </c>
      <c r="J10" s="46">
        <v>575.4</v>
      </c>
      <c r="K10" s="47">
        <v>1</v>
      </c>
      <c r="L10" s="44"/>
      <c r="M10" s="44"/>
      <c r="N10" s="44"/>
    </row>
    <row r="11" spans="1:14" s="51" customFormat="1" x14ac:dyDescent="0.2">
      <c r="A11" s="49" t="s">
        <v>51</v>
      </c>
      <c r="B11" s="50" t="s">
        <v>97</v>
      </c>
      <c r="C11" s="43">
        <f>Resultat!H22</f>
        <v>4</v>
      </c>
      <c r="D11" s="48">
        <v>732</v>
      </c>
      <c r="E11" s="48">
        <v>598.4</v>
      </c>
      <c r="F11" s="48">
        <v>536.79999999999995</v>
      </c>
      <c r="G11" s="48">
        <v>943.6</v>
      </c>
      <c r="H11" s="48">
        <v>737.8</v>
      </c>
      <c r="I11" s="48">
        <v>646.6</v>
      </c>
      <c r="J11" s="48">
        <v>603</v>
      </c>
      <c r="K11" s="44">
        <v>1.1779999999999999</v>
      </c>
      <c r="L11" s="44">
        <v>10041</v>
      </c>
      <c r="M11" s="45">
        <v>42530</v>
      </c>
      <c r="N11" s="44"/>
    </row>
    <row r="12" spans="1:14" s="52" customFormat="1" x14ac:dyDescent="0.2">
      <c r="A12" s="49" t="s">
        <v>38</v>
      </c>
      <c r="B12" s="50" t="s">
        <v>98</v>
      </c>
      <c r="C12" s="43" t="str">
        <f>Resultat!H23</f>
        <v>DNS</v>
      </c>
      <c r="D12" s="46">
        <v>743</v>
      </c>
      <c r="E12" s="46">
        <v>595</v>
      </c>
      <c r="F12" s="46">
        <v>532</v>
      </c>
      <c r="G12" s="46">
        <v>967.8</v>
      </c>
      <c r="H12" s="46">
        <v>743.4</v>
      </c>
      <c r="I12" s="46">
        <v>645.4</v>
      </c>
      <c r="J12" s="46">
        <v>601.6</v>
      </c>
      <c r="K12" s="47">
        <v>1</v>
      </c>
      <c r="L12" s="44">
        <v>33105</v>
      </c>
      <c r="M12" s="44"/>
      <c r="N12" s="44"/>
    </row>
    <row r="13" spans="1:14" s="51" customFormat="1" x14ac:dyDescent="0.2">
      <c r="A13" s="49" t="s">
        <v>117</v>
      </c>
      <c r="B13" s="50" t="s">
        <v>118</v>
      </c>
      <c r="C13" s="43" t="str">
        <f>Resultat!H24</f>
        <v>DNS</v>
      </c>
      <c r="D13" s="46">
        <v>619.20000000000005</v>
      </c>
      <c r="E13" s="46">
        <v>494.4</v>
      </c>
      <c r="F13" s="46">
        <v>428.2</v>
      </c>
      <c r="G13" s="46">
        <v>808</v>
      </c>
      <c r="H13" s="46">
        <v>621.20000000000005</v>
      </c>
      <c r="I13" s="46">
        <v>528.6</v>
      </c>
      <c r="J13" s="46">
        <v>496.6</v>
      </c>
      <c r="K13" s="47">
        <v>1.4610000000000001</v>
      </c>
      <c r="L13" s="44">
        <v>33550</v>
      </c>
      <c r="M13" s="45">
        <v>42479</v>
      </c>
      <c r="N13" s="44"/>
    </row>
    <row r="14" spans="1:14" s="51" customFormat="1" x14ac:dyDescent="0.2">
      <c r="A14" s="49" t="s">
        <v>50</v>
      </c>
      <c r="B14" s="50" t="s">
        <v>99</v>
      </c>
      <c r="C14" s="43" t="str">
        <f>Resultat!H25</f>
        <v>DNS</v>
      </c>
      <c r="D14" s="46">
        <v>705</v>
      </c>
      <c r="E14" s="46">
        <v>569</v>
      </c>
      <c r="F14" s="46">
        <v>509.2</v>
      </c>
      <c r="G14" s="46">
        <v>916.8</v>
      </c>
      <c r="H14" s="46">
        <v>708</v>
      </c>
      <c r="I14" s="46">
        <v>614.79999999999995</v>
      </c>
      <c r="J14" s="46">
        <v>574.6</v>
      </c>
      <c r="K14" s="47">
        <v>1.2390000000000001</v>
      </c>
      <c r="L14" s="44">
        <v>4311</v>
      </c>
      <c r="M14" s="45">
        <v>42478</v>
      </c>
      <c r="N14" s="44"/>
    </row>
    <row r="15" spans="1:14" s="51" customFormat="1" x14ac:dyDescent="0.2">
      <c r="A15" s="49" t="s">
        <v>106</v>
      </c>
      <c r="B15" s="50" t="s">
        <v>107</v>
      </c>
      <c r="C15" s="43" t="str">
        <f>Resultat!H26</f>
        <v>DNS</v>
      </c>
      <c r="D15" s="46">
        <v>692.8</v>
      </c>
      <c r="E15" s="46">
        <v>555.79999999999995</v>
      </c>
      <c r="F15" s="46">
        <v>494</v>
      </c>
      <c r="G15" s="46">
        <v>903</v>
      </c>
      <c r="H15" s="46">
        <v>692.2</v>
      </c>
      <c r="I15" s="46">
        <v>594.4</v>
      </c>
      <c r="J15" s="46">
        <v>561</v>
      </c>
      <c r="K15" s="47">
        <v>1.274</v>
      </c>
      <c r="L15" s="44">
        <v>34956</v>
      </c>
      <c r="M15" s="45">
        <v>42454</v>
      </c>
      <c r="N15" s="44"/>
    </row>
    <row r="16" spans="1:14" s="52" customFormat="1" x14ac:dyDescent="0.2">
      <c r="A16" s="43" t="s">
        <v>73</v>
      </c>
      <c r="B16" s="43" t="s">
        <v>70</v>
      </c>
      <c r="C16" s="43" t="str">
        <f>Resultat!H27</f>
        <v>DNS</v>
      </c>
      <c r="D16" s="56">
        <v>721</v>
      </c>
      <c r="E16" s="56">
        <v>593.79999999999995</v>
      </c>
      <c r="F16" s="56">
        <v>526.4</v>
      </c>
      <c r="G16" s="56">
        <v>942.8</v>
      </c>
      <c r="H16" s="56">
        <v>755.4</v>
      </c>
      <c r="I16" s="56">
        <v>662</v>
      </c>
      <c r="J16" s="56">
        <v>596</v>
      </c>
      <c r="K16" s="43">
        <v>1.1970000000000001</v>
      </c>
      <c r="L16" s="44">
        <v>33819</v>
      </c>
      <c r="M16" s="44"/>
      <c r="N16" s="44"/>
    </row>
    <row r="17" spans="1:14" s="51" customFormat="1" x14ac:dyDescent="0.2">
      <c r="A17" s="49" t="s">
        <v>112</v>
      </c>
      <c r="B17" s="50" t="s">
        <v>113</v>
      </c>
      <c r="C17" s="43" t="str">
        <f>Resultat!H28</f>
        <v>DNS</v>
      </c>
      <c r="D17" s="46">
        <v>793.6</v>
      </c>
      <c r="E17" s="46">
        <v>625.6</v>
      </c>
      <c r="F17" s="46">
        <v>555</v>
      </c>
      <c r="G17" s="46">
        <v>1036.5999999999999</v>
      </c>
      <c r="H17" s="46">
        <v>786.6</v>
      </c>
      <c r="I17" s="46">
        <v>685.8</v>
      </c>
      <c r="J17" s="46">
        <v>633.20000000000005</v>
      </c>
      <c r="K17" s="47">
        <v>1.1319999999999999</v>
      </c>
      <c r="L17" s="44">
        <v>6897</v>
      </c>
      <c r="M17" s="45"/>
      <c r="N17" s="44"/>
    </row>
    <row r="18" spans="1:14" s="51" customFormat="1" x14ac:dyDescent="0.2">
      <c r="A18" s="49" t="s">
        <v>8</v>
      </c>
      <c r="B18" s="50" t="s">
        <v>100</v>
      </c>
      <c r="C18" s="43">
        <f>Resultat!H29</f>
        <v>3</v>
      </c>
      <c r="D18" s="46">
        <v>665</v>
      </c>
      <c r="E18" s="46">
        <v>536.20000000000005</v>
      </c>
      <c r="F18" s="46">
        <v>473.6</v>
      </c>
      <c r="G18" s="46">
        <v>872.6</v>
      </c>
      <c r="H18" s="46">
        <v>671</v>
      </c>
      <c r="I18" s="46">
        <v>577.6</v>
      </c>
      <c r="J18" s="46">
        <v>539.79999999999995</v>
      </c>
      <c r="K18" s="47">
        <v>1.329</v>
      </c>
      <c r="L18" s="44">
        <v>8981</v>
      </c>
      <c r="M18" s="45">
        <v>42499</v>
      </c>
      <c r="N18" s="44"/>
    </row>
    <row r="19" spans="1:14" s="52" customFormat="1" x14ac:dyDescent="0.2">
      <c r="A19" s="49" t="s">
        <v>7</v>
      </c>
      <c r="B19" s="50" t="s">
        <v>101</v>
      </c>
      <c r="C19" s="43" t="str">
        <f>Resultat!H30</f>
        <v>DNS</v>
      </c>
      <c r="D19" s="46">
        <v>681.6</v>
      </c>
      <c r="E19" s="46">
        <v>535</v>
      </c>
      <c r="F19" s="46">
        <v>472.2</v>
      </c>
      <c r="G19" s="46">
        <v>894</v>
      </c>
      <c r="H19" s="46">
        <v>675.4</v>
      </c>
      <c r="I19" s="46">
        <v>576.6</v>
      </c>
      <c r="J19" s="46">
        <v>541</v>
      </c>
      <c r="K19" s="47">
        <v>1.327</v>
      </c>
      <c r="L19" s="44">
        <v>33320</v>
      </c>
      <c r="M19" s="44"/>
      <c r="N19" s="44"/>
    </row>
    <row r="20" spans="1:14" s="52" customFormat="1" x14ac:dyDescent="0.2">
      <c r="A20" s="49" t="s">
        <v>71</v>
      </c>
      <c r="B20" s="50" t="s">
        <v>102</v>
      </c>
      <c r="C20" s="43" t="str">
        <f>Resultat!H31</f>
        <v>DNS</v>
      </c>
      <c r="D20" s="46">
        <v>652.4</v>
      </c>
      <c r="E20" s="46">
        <v>524</v>
      </c>
      <c r="F20" s="46">
        <v>466.2</v>
      </c>
      <c r="G20" s="46">
        <v>854.6</v>
      </c>
      <c r="H20" s="46">
        <v>659.2</v>
      </c>
      <c r="I20" s="46">
        <v>570.79999999999995</v>
      </c>
      <c r="J20" s="46">
        <v>528.79999999999995</v>
      </c>
      <c r="K20" s="47">
        <v>1.35</v>
      </c>
      <c r="L20" s="44">
        <v>33470</v>
      </c>
      <c r="M20" s="45"/>
      <c r="N20" s="44"/>
    </row>
    <row r="21" spans="1:14" s="52" customFormat="1" x14ac:dyDescent="0.2">
      <c r="A21" s="49" t="s">
        <v>69</v>
      </c>
      <c r="B21" s="50" t="s">
        <v>103</v>
      </c>
      <c r="C21" s="43" t="str">
        <f>Resultat!H32</f>
        <v>DNS</v>
      </c>
      <c r="D21" s="56">
        <v>642</v>
      </c>
      <c r="E21" s="56">
        <v>509.8</v>
      </c>
      <c r="F21" s="56">
        <v>450.4</v>
      </c>
      <c r="G21" s="56">
        <v>844</v>
      </c>
      <c r="H21" s="56">
        <v>642</v>
      </c>
      <c r="I21" s="56">
        <v>550.4</v>
      </c>
      <c r="J21" s="56">
        <v>515</v>
      </c>
      <c r="K21" s="43">
        <v>1</v>
      </c>
      <c r="L21" s="44"/>
      <c r="M21" s="45"/>
      <c r="N21" s="44" t="s">
        <v>77</v>
      </c>
    </row>
    <row r="22" spans="1:14" s="52" customFormat="1" x14ac:dyDescent="0.2">
      <c r="A22" s="43" t="s">
        <v>119</v>
      </c>
      <c r="B22" s="50" t="s">
        <v>80</v>
      </c>
      <c r="C22" s="43" t="str">
        <f>Resultat!H33</f>
        <v>DNS</v>
      </c>
      <c r="D22" s="46">
        <v>847.4</v>
      </c>
      <c r="E22" s="46">
        <v>660</v>
      </c>
      <c r="F22" s="46">
        <v>583.6</v>
      </c>
      <c r="G22" s="46">
        <v>1112.4000000000001</v>
      </c>
      <c r="H22" s="46">
        <v>824.4</v>
      </c>
      <c r="I22" s="46">
        <v>711.2</v>
      </c>
      <c r="J22" s="46">
        <v>669</v>
      </c>
      <c r="K22" s="47">
        <v>1.0760000000000001</v>
      </c>
      <c r="L22" s="44">
        <v>17036</v>
      </c>
      <c r="M22" s="45">
        <v>42465</v>
      </c>
      <c r="N22" s="38"/>
    </row>
    <row r="23" spans="1:14" s="52" customFormat="1" ht="12.75" customHeight="1" x14ac:dyDescent="0.2">
      <c r="A23" s="49" t="s">
        <v>79</v>
      </c>
      <c r="B23" s="50" t="s">
        <v>80</v>
      </c>
      <c r="C23" s="43">
        <f>Resultat!H34</f>
        <v>1</v>
      </c>
      <c r="D23" s="46">
        <v>847.4</v>
      </c>
      <c r="E23" s="46">
        <v>660</v>
      </c>
      <c r="F23" s="46">
        <v>583.6</v>
      </c>
      <c r="G23" s="46">
        <v>1112.4000000000001</v>
      </c>
      <c r="H23" s="46">
        <v>824.4</v>
      </c>
      <c r="I23" s="46">
        <v>711.2</v>
      </c>
      <c r="J23" s="46">
        <v>669</v>
      </c>
      <c r="K23" s="47">
        <v>1.0760000000000001</v>
      </c>
      <c r="L23" s="44">
        <v>16718</v>
      </c>
      <c r="M23" s="45"/>
      <c r="N23" s="38"/>
    </row>
    <row r="24" spans="1:14" s="52" customFormat="1" ht="12.75" customHeight="1" x14ac:dyDescent="0.2">
      <c r="A24" s="49" t="s">
        <v>83</v>
      </c>
      <c r="B24" s="50" t="s">
        <v>80</v>
      </c>
      <c r="C24" s="43" t="str">
        <f>Resultat!H35</f>
        <v>DNS</v>
      </c>
      <c r="D24" s="46">
        <v>847.4</v>
      </c>
      <c r="E24" s="46">
        <v>660</v>
      </c>
      <c r="F24" s="46">
        <v>583.6</v>
      </c>
      <c r="G24" s="46">
        <v>1112.4000000000001</v>
      </c>
      <c r="H24" s="46">
        <v>824.4</v>
      </c>
      <c r="I24" s="46">
        <v>711.2</v>
      </c>
      <c r="J24" s="46">
        <v>669</v>
      </c>
      <c r="K24" s="47">
        <v>1.0760000000000001</v>
      </c>
      <c r="L24" s="44">
        <v>17129</v>
      </c>
      <c r="M24" s="45">
        <v>42487</v>
      </c>
      <c r="N24" s="38"/>
    </row>
    <row r="25" spans="1:14" s="52" customFormat="1" ht="12.75" customHeight="1" x14ac:dyDescent="0.2">
      <c r="A25" s="49" t="s">
        <v>124</v>
      </c>
      <c r="B25" s="50" t="s">
        <v>80</v>
      </c>
      <c r="C25" s="43"/>
      <c r="D25" s="46">
        <v>847.4</v>
      </c>
      <c r="E25" s="46">
        <v>660</v>
      </c>
      <c r="F25" s="46">
        <v>583.6</v>
      </c>
      <c r="G25" s="46">
        <v>1112.4000000000001</v>
      </c>
      <c r="H25" s="46">
        <v>824.4</v>
      </c>
      <c r="I25" s="46">
        <v>711.2</v>
      </c>
      <c r="J25" s="46">
        <v>669</v>
      </c>
      <c r="K25" s="47">
        <v>1.0760000000000001</v>
      </c>
      <c r="L25" s="44">
        <v>17051</v>
      </c>
      <c r="M25" s="45">
        <v>42591</v>
      </c>
      <c r="N25" s="38"/>
    </row>
    <row r="26" spans="1:14" s="52" customFormat="1" ht="12.75" customHeight="1" x14ac:dyDescent="0.2">
      <c r="A26" s="49" t="s">
        <v>81</v>
      </c>
      <c r="B26" s="50" t="s">
        <v>82</v>
      </c>
      <c r="C26" s="43">
        <f>Resultat!H37</f>
        <v>2</v>
      </c>
      <c r="D26" s="48">
        <v>743.2</v>
      </c>
      <c r="E26" s="48">
        <v>600.20000000000005</v>
      </c>
      <c r="F26" s="48">
        <v>539</v>
      </c>
      <c r="G26" s="48">
        <v>972.8</v>
      </c>
      <c r="H26" s="48">
        <v>749.2</v>
      </c>
      <c r="I26" s="48">
        <v>652.4</v>
      </c>
      <c r="J26" s="48">
        <v>606.20000000000005</v>
      </c>
      <c r="K26" s="43">
        <v>1.1719999999999999</v>
      </c>
      <c r="L26" s="44">
        <v>8966</v>
      </c>
      <c r="M26" s="45">
        <v>42492</v>
      </c>
      <c r="N26" s="38"/>
    </row>
    <row r="27" spans="1:14" s="52" customFormat="1" ht="12.75" customHeight="1" x14ac:dyDescent="0.2">
      <c r="A27" s="38" t="s">
        <v>120</v>
      </c>
      <c r="B27" s="40" t="s">
        <v>82</v>
      </c>
      <c r="C27" s="36" t="str">
        <f>Resultat!H38</f>
        <v>DNS</v>
      </c>
      <c r="D27" s="58">
        <v>743.2</v>
      </c>
      <c r="E27" s="58">
        <v>600.20000000000005</v>
      </c>
      <c r="F27" s="58">
        <v>539</v>
      </c>
      <c r="G27" s="58">
        <v>972.8</v>
      </c>
      <c r="H27" s="58">
        <v>749.2</v>
      </c>
      <c r="I27" s="58">
        <v>652.4</v>
      </c>
      <c r="J27" s="58">
        <v>606.20000000000005</v>
      </c>
      <c r="K27" s="36">
        <v>1.1719999999999999</v>
      </c>
      <c r="L27" s="59"/>
      <c r="M27" s="37"/>
      <c r="N27" s="38"/>
    </row>
    <row r="28" spans="1:14" ht="12.75" customHeight="1" x14ac:dyDescent="0.2">
      <c r="A28" s="49" t="s">
        <v>114</v>
      </c>
      <c r="B28" s="50" t="s">
        <v>115</v>
      </c>
      <c r="C28" s="43" t="str">
        <f>Resultat!H39</f>
        <v>DNS</v>
      </c>
      <c r="D28" s="48">
        <v>641</v>
      </c>
      <c r="E28" s="48">
        <v>519.6</v>
      </c>
      <c r="F28" s="48">
        <v>462</v>
      </c>
      <c r="G28" s="48">
        <v>849.6</v>
      </c>
      <c r="H28" s="48">
        <v>661.4</v>
      </c>
      <c r="I28" s="48">
        <v>573.20000000000005</v>
      </c>
      <c r="J28" s="48">
        <v>523.4</v>
      </c>
      <c r="K28" s="44">
        <v>1.363</v>
      </c>
      <c r="L28" s="44">
        <v>31644</v>
      </c>
      <c r="M28" s="45"/>
      <c r="N28" s="44"/>
    </row>
    <row r="29" spans="1:14" s="51" customFormat="1" ht="12.75" customHeight="1" x14ac:dyDescent="0.2">
      <c r="A29" s="49" t="s">
        <v>121</v>
      </c>
      <c r="B29" s="50" t="s">
        <v>122</v>
      </c>
      <c r="C29" s="44"/>
      <c r="D29" s="48">
        <v>848.4</v>
      </c>
      <c r="E29" s="48">
        <v>670.4</v>
      </c>
      <c r="F29" s="48">
        <v>594.6</v>
      </c>
      <c r="G29" s="48">
        <v>1093.2</v>
      </c>
      <c r="H29" s="48">
        <v>827.6</v>
      </c>
      <c r="I29" s="48">
        <v>718.4</v>
      </c>
      <c r="J29" s="48">
        <v>678.2</v>
      </c>
      <c r="K29" s="44">
        <v>1.0569999999999999</v>
      </c>
      <c r="L29" s="71">
        <v>4329</v>
      </c>
      <c r="M29" s="45">
        <v>42537</v>
      </c>
      <c r="N29" s="44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zoomScaleNormal="100" workbookViewId="0">
      <selection activeCell="W26" sqref="W26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3" t="s">
        <v>48</v>
      </c>
      <c r="B1" s="23" t="s">
        <v>37</v>
      </c>
      <c r="C1" s="23" t="s">
        <v>2</v>
      </c>
      <c r="D1" s="23" t="s">
        <v>55</v>
      </c>
      <c r="E1" s="23" t="s">
        <v>6</v>
      </c>
      <c r="F1" s="23" t="s">
        <v>76</v>
      </c>
      <c r="G1" s="23" t="s">
        <v>3</v>
      </c>
      <c r="H1" s="23" t="s">
        <v>58</v>
      </c>
      <c r="I1" s="23" t="s">
        <v>41</v>
      </c>
      <c r="J1" s="23" t="s">
        <v>47</v>
      </c>
      <c r="K1" s="23" t="s">
        <v>55</v>
      </c>
      <c r="L1" s="23" t="s">
        <v>36</v>
      </c>
      <c r="M1" s="23" t="s">
        <v>49</v>
      </c>
      <c r="N1" s="23" t="s">
        <v>52</v>
      </c>
      <c r="O1" s="23" t="s">
        <v>53</v>
      </c>
      <c r="P1" s="23" t="s">
        <v>28</v>
      </c>
      <c r="Q1" s="23" t="s">
        <v>60</v>
      </c>
      <c r="R1" s="23" t="s">
        <v>42</v>
      </c>
      <c r="S1" s="23" t="s">
        <v>41</v>
      </c>
      <c r="T1" s="23" t="s">
        <v>39</v>
      </c>
      <c r="U1" s="23" t="s">
        <v>55</v>
      </c>
      <c r="V1" s="23" t="s">
        <v>36</v>
      </c>
    </row>
    <row r="2" spans="1:23" ht="12.75" customHeight="1" x14ac:dyDescent="0.2">
      <c r="A2" s="25" t="str">
        <f>Resultat!F13</f>
        <v xml:space="preserve">  </v>
      </c>
      <c r="B2" s="23" t="e">
        <f t="shared" ref="B2:B27" si="0">HOUR(A2)</f>
        <v>#VALUE!</v>
      </c>
      <c r="C2" s="23" t="e">
        <f t="shared" ref="C2:C27" si="1">B2*3600</f>
        <v>#VALUE!</v>
      </c>
      <c r="D2" s="23" t="e">
        <f t="shared" ref="D2:D27" si="2">MINUTE(A2)</f>
        <v>#VALUE!</v>
      </c>
      <c r="E2" s="23" t="e">
        <f t="shared" ref="E2:E27" si="3">D2*60</f>
        <v>#VALUE!</v>
      </c>
      <c r="F2" s="23" t="e">
        <f t="shared" ref="F2:F27" si="4">SECOND(A2)</f>
        <v>#VALUE!</v>
      </c>
      <c r="G2" s="23" t="e">
        <f t="shared" ref="G2:G27" si="5">(C2+E2)+F2</f>
        <v>#VALUE!</v>
      </c>
      <c r="H2" s="26" t="e">
        <f>IF((Resultat!$B$7&lt;=7),(G2+((Resultat!$B$5-Resultat!D13)*Resultat!$H$3)),(G2*Resultat!D13))</f>
        <v>#VALUE!</v>
      </c>
      <c r="I2" s="23" t="e">
        <f t="shared" ref="I2:I27" si="6">ROUNDDOWN((H2/3600),0)</f>
        <v>#VALUE!</v>
      </c>
      <c r="J2" s="26" t="e">
        <f t="shared" ref="J2:J27" si="7">MOD(H2,3600)</f>
        <v>#VALUE!</v>
      </c>
      <c r="K2" s="23" t="e">
        <f t="shared" ref="K2:K27" si="8">INT((J2/60))</f>
        <v>#VALUE!</v>
      </c>
      <c r="L2" s="26" t="e">
        <f t="shared" ref="L2:L27" si="9">MOD(J2,60)</f>
        <v>#VALUE!</v>
      </c>
      <c r="M2" s="26">
        <f>ROUND((Resultat!D13*Resultat!$H$3),0)</f>
        <v>4755</v>
      </c>
      <c r="N2" s="26">
        <f t="shared" ref="N2:N29" si="10">ROUNDDOWN((M2/3600),0)</f>
        <v>1</v>
      </c>
      <c r="O2" s="26">
        <f t="shared" ref="O2:O29" si="11">MOD(M2,3600)</f>
        <v>1155</v>
      </c>
      <c r="P2" s="23">
        <f t="shared" ref="P2:P29" si="12">INT((O2/60))</f>
        <v>19</v>
      </c>
      <c r="Q2" s="26">
        <f t="shared" ref="Q2:Q29" si="13">MOD(O2,60)</f>
        <v>15</v>
      </c>
      <c r="R2" s="23">
        <f>IF((Resultat!$B$5&gt;Resultat!D13),ROUND(((Resultat!$B$5-Resultat!D13)*Resultat!$H$3),0),0)</f>
        <v>0</v>
      </c>
      <c r="S2" s="23">
        <f t="shared" ref="S2:S29" si="14">ROUNDDOWN((R2/3600),0)</f>
        <v>0</v>
      </c>
      <c r="T2" s="23">
        <f t="shared" ref="T2:T29" si="15">MOD(R2,3600)</f>
        <v>0</v>
      </c>
      <c r="U2" s="23">
        <f t="shared" ref="U2:U29" si="16">INT((T2/60))</f>
        <v>0</v>
      </c>
      <c r="V2" s="23">
        <f t="shared" ref="V2:V29" si="17">MOD(T2,60)</f>
        <v>0</v>
      </c>
      <c r="W2" s="13" t="s">
        <v>67</v>
      </c>
    </row>
    <row r="3" spans="1:23" ht="12.75" customHeight="1" x14ac:dyDescent="0.2">
      <c r="A3" s="25" t="str">
        <f>Resultat!F14</f>
        <v xml:space="preserve">  </v>
      </c>
      <c r="B3" s="23" t="e">
        <f t="shared" si="0"/>
        <v>#VALUE!</v>
      </c>
      <c r="C3" s="23" t="e">
        <f t="shared" si="1"/>
        <v>#VALUE!</v>
      </c>
      <c r="D3" s="23" t="e">
        <f t="shared" si="2"/>
        <v>#VALUE!</v>
      </c>
      <c r="E3" s="23" t="e">
        <f t="shared" si="3"/>
        <v>#VALUE!</v>
      </c>
      <c r="F3" s="23" t="e">
        <f t="shared" si="4"/>
        <v>#VALUE!</v>
      </c>
      <c r="G3" s="23" t="e">
        <f t="shared" si="5"/>
        <v>#VALUE!</v>
      </c>
      <c r="H3" s="26" t="e">
        <f>IF((Resultat!$B$7&lt;=7),(G3+((Resultat!$B$5-Resultat!D14)*Resultat!$H$3)),(G3*Resultat!D14))</f>
        <v>#VALUE!</v>
      </c>
      <c r="I3" s="23" t="e">
        <f t="shared" si="6"/>
        <v>#VALUE!</v>
      </c>
      <c r="J3" s="26" t="e">
        <f t="shared" si="7"/>
        <v>#VALUE!</v>
      </c>
      <c r="K3" s="23" t="e">
        <f t="shared" si="8"/>
        <v>#VALUE!</v>
      </c>
      <c r="L3" s="26" t="e">
        <f t="shared" si="9"/>
        <v>#VALUE!</v>
      </c>
      <c r="M3" s="26">
        <f>ROUND((Resultat!D14*Resultat!$H$3),0)</f>
        <v>5280</v>
      </c>
      <c r="N3" s="26">
        <f t="shared" si="10"/>
        <v>1</v>
      </c>
      <c r="O3" s="26">
        <f t="shared" si="11"/>
        <v>1680</v>
      </c>
      <c r="P3" s="23">
        <f t="shared" si="12"/>
        <v>28</v>
      </c>
      <c r="Q3" s="26">
        <f t="shared" si="13"/>
        <v>0</v>
      </c>
      <c r="R3" s="23">
        <f>IF((Resultat!$B$5&gt;Resultat!D14),ROUND(((Resultat!$B$5-Resultat!D14)*Resultat!$H$3),0),0)</f>
        <v>0</v>
      </c>
      <c r="S3" s="23">
        <f t="shared" si="14"/>
        <v>0</v>
      </c>
      <c r="T3" s="23">
        <f t="shared" si="15"/>
        <v>0</v>
      </c>
      <c r="U3" s="23">
        <f t="shared" si="16"/>
        <v>0</v>
      </c>
      <c r="V3" s="23">
        <f t="shared" si="17"/>
        <v>0</v>
      </c>
      <c r="W3" s="23" t="s">
        <v>62</v>
      </c>
    </row>
    <row r="4" spans="1:23" ht="12.75" customHeight="1" x14ac:dyDescent="0.2">
      <c r="A4" s="25" t="str">
        <f>Resultat!F15</f>
        <v xml:space="preserve">  </v>
      </c>
      <c r="B4" s="23" t="e">
        <f t="shared" si="0"/>
        <v>#VALUE!</v>
      </c>
      <c r="C4" s="23" t="e">
        <f t="shared" si="1"/>
        <v>#VALUE!</v>
      </c>
      <c r="D4" s="23" t="e">
        <f t="shared" si="2"/>
        <v>#VALUE!</v>
      </c>
      <c r="E4" s="23" t="e">
        <f t="shared" si="3"/>
        <v>#VALUE!</v>
      </c>
      <c r="F4" s="23" t="e">
        <f t="shared" si="4"/>
        <v>#VALUE!</v>
      </c>
      <c r="G4" s="23" t="e">
        <f t="shared" si="5"/>
        <v>#VALUE!</v>
      </c>
      <c r="H4" s="26" t="e">
        <f>IF((Resultat!$B$7&lt;=7),(G4+((Resultat!$B$5-Resultat!D15)*Resultat!$H$3)),(G4*Resultat!D15))</f>
        <v>#VALUE!</v>
      </c>
      <c r="I4" s="23" t="e">
        <f t="shared" si="6"/>
        <v>#VALUE!</v>
      </c>
      <c r="J4" s="26" t="e">
        <f t="shared" si="7"/>
        <v>#VALUE!</v>
      </c>
      <c r="K4" s="23" t="e">
        <f t="shared" si="8"/>
        <v>#VALUE!</v>
      </c>
      <c r="L4" s="26" t="e">
        <f t="shared" si="9"/>
        <v>#VALUE!</v>
      </c>
      <c r="M4" s="26">
        <f>ROUND((Resultat!D15*Resultat!$H$3),0)</f>
        <v>5248</v>
      </c>
      <c r="N4" s="26">
        <f t="shared" si="10"/>
        <v>1</v>
      </c>
      <c r="O4" s="26">
        <f t="shared" si="11"/>
        <v>1648</v>
      </c>
      <c r="P4" s="23">
        <f t="shared" si="12"/>
        <v>27</v>
      </c>
      <c r="Q4" s="26">
        <f t="shared" si="13"/>
        <v>28</v>
      </c>
      <c r="R4" s="23">
        <f>IF((Resultat!$B$5&gt;Resultat!D15),ROUND(((Resultat!$B$5-Resultat!D15)*Resultat!$H$3),0),0)</f>
        <v>0</v>
      </c>
      <c r="S4" s="23">
        <f t="shared" si="14"/>
        <v>0</v>
      </c>
      <c r="T4" s="23">
        <f t="shared" si="15"/>
        <v>0</v>
      </c>
      <c r="U4" s="23">
        <f t="shared" si="16"/>
        <v>0</v>
      </c>
      <c r="V4" s="23">
        <f t="shared" si="17"/>
        <v>0</v>
      </c>
      <c r="W4" s="23" t="s">
        <v>74</v>
      </c>
    </row>
    <row r="5" spans="1:23" ht="12.75" customHeight="1" x14ac:dyDescent="0.2">
      <c r="A5" s="25" t="str">
        <f>Resultat!F16</f>
        <v xml:space="preserve">  </v>
      </c>
      <c r="B5" s="23" t="e">
        <f t="shared" si="0"/>
        <v>#VALUE!</v>
      </c>
      <c r="C5" s="23" t="e">
        <f t="shared" si="1"/>
        <v>#VALUE!</v>
      </c>
      <c r="D5" s="23" t="e">
        <f t="shared" si="2"/>
        <v>#VALUE!</v>
      </c>
      <c r="E5" s="23" t="e">
        <f t="shared" si="3"/>
        <v>#VALUE!</v>
      </c>
      <c r="F5" s="23" t="e">
        <f t="shared" si="4"/>
        <v>#VALUE!</v>
      </c>
      <c r="G5" s="23" t="e">
        <f t="shared" si="5"/>
        <v>#VALUE!</v>
      </c>
      <c r="H5" s="26" t="e">
        <f>IF((Resultat!$B$7&lt;=7),(G5+((Resultat!$B$5-Resultat!D16)*Resultat!$H$3)),(G5*Resultat!D16))</f>
        <v>#VALUE!</v>
      </c>
      <c r="I5" s="23" t="e">
        <f t="shared" si="6"/>
        <v>#VALUE!</v>
      </c>
      <c r="J5" s="26" t="e">
        <f t="shared" si="7"/>
        <v>#VALUE!</v>
      </c>
      <c r="K5" s="23" t="e">
        <f t="shared" si="8"/>
        <v>#VALUE!</v>
      </c>
      <c r="L5" s="26" t="e">
        <f t="shared" si="9"/>
        <v>#VALUE!</v>
      </c>
      <c r="M5" s="26">
        <f>ROUND((Resultat!D16*Resultat!$H$3),0)</f>
        <v>5026</v>
      </c>
      <c r="N5" s="26">
        <f t="shared" si="10"/>
        <v>1</v>
      </c>
      <c r="O5" s="26">
        <f t="shared" si="11"/>
        <v>1426</v>
      </c>
      <c r="P5" s="23">
        <f t="shared" si="12"/>
        <v>23</v>
      </c>
      <c r="Q5" s="26">
        <f t="shared" si="13"/>
        <v>46</v>
      </c>
      <c r="R5" s="23">
        <f>IF((Resultat!$B$5&gt;Resultat!D16),ROUND(((Resultat!$B$5-Resultat!D16)*Resultat!$H$3),0),0)</f>
        <v>0</v>
      </c>
      <c r="S5" s="23">
        <f t="shared" si="14"/>
        <v>0</v>
      </c>
      <c r="T5" s="23">
        <f t="shared" si="15"/>
        <v>0</v>
      </c>
      <c r="U5" s="23">
        <f t="shared" si="16"/>
        <v>0</v>
      </c>
      <c r="V5" s="23">
        <f t="shared" si="17"/>
        <v>0</v>
      </c>
      <c r="W5" s="23" t="s">
        <v>31</v>
      </c>
    </row>
    <row r="6" spans="1:23" ht="12.75" customHeight="1" x14ac:dyDescent="0.2">
      <c r="A6" s="25" t="str">
        <f>Resultat!F17</f>
        <v xml:space="preserve">  </v>
      </c>
      <c r="B6" s="23" t="e">
        <f t="shared" si="0"/>
        <v>#VALUE!</v>
      </c>
      <c r="C6" s="23" t="e">
        <f t="shared" si="1"/>
        <v>#VALUE!</v>
      </c>
      <c r="D6" s="23" t="e">
        <f t="shared" si="2"/>
        <v>#VALUE!</v>
      </c>
      <c r="E6" s="23" t="e">
        <f t="shared" si="3"/>
        <v>#VALUE!</v>
      </c>
      <c r="F6" s="23" t="e">
        <f t="shared" si="4"/>
        <v>#VALUE!</v>
      </c>
      <c r="G6" s="23" t="e">
        <f t="shared" si="5"/>
        <v>#VALUE!</v>
      </c>
      <c r="H6" s="26" t="e">
        <f>IF((Resultat!$B$7&lt;=7),(G6+((Resultat!$B$5-Resultat!D17)*Resultat!$H$3)),(G6*Resultat!D17))</f>
        <v>#VALUE!</v>
      </c>
      <c r="I6" s="23" t="e">
        <f t="shared" si="6"/>
        <v>#VALUE!</v>
      </c>
      <c r="J6" s="26" t="e">
        <f t="shared" si="7"/>
        <v>#VALUE!</v>
      </c>
      <c r="K6" s="23" t="e">
        <f t="shared" si="8"/>
        <v>#VALUE!</v>
      </c>
      <c r="L6" s="26" t="e">
        <f t="shared" si="9"/>
        <v>#VALUE!</v>
      </c>
      <c r="M6" s="26">
        <f>ROUND((Resultat!D17*Resultat!$H$3),0)</f>
        <v>4182</v>
      </c>
      <c r="N6" s="26">
        <f t="shared" si="10"/>
        <v>1</v>
      </c>
      <c r="O6" s="26">
        <f t="shared" si="11"/>
        <v>582</v>
      </c>
      <c r="P6" s="23">
        <f t="shared" si="12"/>
        <v>9</v>
      </c>
      <c r="Q6" s="26">
        <f t="shared" si="13"/>
        <v>42</v>
      </c>
      <c r="R6" s="23">
        <f>IF((Resultat!$B$5&gt;Resultat!D17),ROUND(((Resultat!$B$5-Resultat!D17)*Resultat!$H$3),0),0)</f>
        <v>312</v>
      </c>
      <c r="S6" s="23">
        <f t="shared" si="14"/>
        <v>0</v>
      </c>
      <c r="T6" s="23">
        <f t="shared" si="15"/>
        <v>312</v>
      </c>
      <c r="U6" s="23">
        <f t="shared" si="16"/>
        <v>5</v>
      </c>
      <c r="V6" s="23">
        <f t="shared" si="17"/>
        <v>12</v>
      </c>
      <c r="W6" s="13" t="s">
        <v>11</v>
      </c>
    </row>
    <row r="7" spans="1:23" ht="12.75" customHeight="1" x14ac:dyDescent="0.2">
      <c r="A7" s="25" t="str">
        <f>Resultat!F18</f>
        <v xml:space="preserve">  </v>
      </c>
      <c r="B7" s="23" t="e">
        <f t="shared" si="0"/>
        <v>#VALUE!</v>
      </c>
      <c r="C7" s="23" t="e">
        <f t="shared" si="1"/>
        <v>#VALUE!</v>
      </c>
      <c r="D7" s="23" t="e">
        <f t="shared" si="2"/>
        <v>#VALUE!</v>
      </c>
      <c r="E7" s="23" t="e">
        <f t="shared" si="3"/>
        <v>#VALUE!</v>
      </c>
      <c r="F7" s="23" t="e">
        <f t="shared" si="4"/>
        <v>#VALUE!</v>
      </c>
      <c r="G7" s="23" t="e">
        <f t="shared" si="5"/>
        <v>#VALUE!</v>
      </c>
      <c r="H7" s="26" t="e">
        <f>IF((Resultat!$B$7&lt;=7),(G7+((Resultat!$B$5-Resultat!D18)*Resultat!$H$3)),(G7*Resultat!D18))</f>
        <v>#VALUE!</v>
      </c>
      <c r="I7" s="23" t="e">
        <f t="shared" si="6"/>
        <v>#VALUE!</v>
      </c>
      <c r="J7" s="26" t="e">
        <f t="shared" si="7"/>
        <v>#VALUE!</v>
      </c>
      <c r="K7" s="23" t="e">
        <f t="shared" si="8"/>
        <v>#VALUE!</v>
      </c>
      <c r="L7" s="26" t="e">
        <f t="shared" si="9"/>
        <v>#VALUE!</v>
      </c>
      <c r="M7" s="26">
        <f>ROUND((Resultat!D18*Resultat!$H$3),0)</f>
        <v>4209</v>
      </c>
      <c r="N7" s="26">
        <f t="shared" si="10"/>
        <v>1</v>
      </c>
      <c r="O7" s="26">
        <f t="shared" si="11"/>
        <v>609</v>
      </c>
      <c r="P7" s="23">
        <f t="shared" si="12"/>
        <v>10</v>
      </c>
      <c r="Q7" s="26">
        <f t="shared" si="13"/>
        <v>9</v>
      </c>
      <c r="R7" s="23">
        <f>IF((Resultat!$B$5&gt;Resultat!D18),ROUND(((Resultat!$B$5-Resultat!D18)*Resultat!$H$3),0),0)</f>
        <v>285</v>
      </c>
      <c r="S7" s="23">
        <f t="shared" si="14"/>
        <v>0</v>
      </c>
      <c r="T7" s="23">
        <f t="shared" si="15"/>
        <v>285</v>
      </c>
      <c r="U7" s="23">
        <f t="shared" si="16"/>
        <v>4</v>
      </c>
      <c r="V7" s="23">
        <f t="shared" si="17"/>
        <v>45</v>
      </c>
      <c r="W7" s="13" t="s">
        <v>13</v>
      </c>
    </row>
    <row r="8" spans="1:23" ht="12.75" customHeight="1" x14ac:dyDescent="0.2">
      <c r="A8" s="25" t="str">
        <f>Resultat!F19</f>
        <v xml:space="preserve">  </v>
      </c>
      <c r="B8" s="23" t="e">
        <f t="shared" si="0"/>
        <v>#VALUE!</v>
      </c>
      <c r="C8" s="23" t="e">
        <f t="shared" si="1"/>
        <v>#VALUE!</v>
      </c>
      <c r="D8" s="23" t="e">
        <f t="shared" si="2"/>
        <v>#VALUE!</v>
      </c>
      <c r="E8" s="23" t="e">
        <f t="shared" si="3"/>
        <v>#VALUE!</v>
      </c>
      <c r="F8" s="23" t="e">
        <f t="shared" si="4"/>
        <v>#VALUE!</v>
      </c>
      <c r="G8" s="23" t="e">
        <f t="shared" si="5"/>
        <v>#VALUE!</v>
      </c>
      <c r="H8" s="26" t="e">
        <f>IF((Resultat!$B$7&lt;=7),(G8+((Resultat!$B$5-Resultat!D19)*Resultat!$H$3)),(G8*Resultat!D19))</f>
        <v>#VALUE!</v>
      </c>
      <c r="I8" s="23" t="e">
        <f t="shared" si="6"/>
        <v>#VALUE!</v>
      </c>
      <c r="J8" s="26" t="e">
        <f t="shared" si="7"/>
        <v>#VALUE!</v>
      </c>
      <c r="K8" s="23" t="e">
        <f t="shared" si="8"/>
        <v>#VALUE!</v>
      </c>
      <c r="L8" s="26" t="e">
        <f t="shared" si="9"/>
        <v>#VALUE!</v>
      </c>
      <c r="M8" s="26">
        <f>ROUND((Resultat!D19*Resultat!$H$3),0)</f>
        <v>4598</v>
      </c>
      <c r="N8" s="26">
        <f t="shared" si="10"/>
        <v>1</v>
      </c>
      <c r="O8" s="26">
        <f t="shared" si="11"/>
        <v>998</v>
      </c>
      <c r="P8" s="23">
        <f t="shared" si="12"/>
        <v>16</v>
      </c>
      <c r="Q8" s="26">
        <f t="shared" si="13"/>
        <v>38</v>
      </c>
      <c r="R8" s="23">
        <f>IF((Resultat!$B$5&gt;Resultat!D19),ROUND(((Resultat!$B$5-Resultat!D19)*Resultat!$H$3),0),0)</f>
        <v>0</v>
      </c>
      <c r="S8" s="23">
        <f t="shared" si="14"/>
        <v>0</v>
      </c>
      <c r="T8" s="23">
        <f t="shared" si="15"/>
        <v>0</v>
      </c>
      <c r="U8" s="23">
        <f t="shared" si="16"/>
        <v>0</v>
      </c>
      <c r="V8" s="23">
        <f t="shared" si="17"/>
        <v>0</v>
      </c>
      <c r="W8" s="23" t="s">
        <v>63</v>
      </c>
    </row>
    <row r="9" spans="1:23" ht="12.75" customHeight="1" x14ac:dyDescent="0.2">
      <c r="A9" s="25">
        <f>Resultat!F20</f>
        <v>4.7789351851851847E-2</v>
      </c>
      <c r="B9" s="23">
        <f t="shared" si="0"/>
        <v>1</v>
      </c>
      <c r="C9" s="23">
        <f t="shared" si="1"/>
        <v>3600</v>
      </c>
      <c r="D9" s="23">
        <f t="shared" si="2"/>
        <v>8</v>
      </c>
      <c r="E9" s="23">
        <f t="shared" si="3"/>
        <v>480</v>
      </c>
      <c r="F9" s="23">
        <f t="shared" si="4"/>
        <v>49</v>
      </c>
      <c r="G9" s="23">
        <f t="shared" si="5"/>
        <v>4129</v>
      </c>
      <c r="H9" s="26">
        <f>IF((Resultat!$B$7&lt;=7),(G9+((Resultat!$B$5-Resultat!D20)*Resultat!$H$3)),(G9*Resultat!D20))</f>
        <v>4706.72</v>
      </c>
      <c r="I9" s="23">
        <f t="shared" si="6"/>
        <v>1</v>
      </c>
      <c r="J9" s="26">
        <f t="shared" si="7"/>
        <v>1106.7200000000003</v>
      </c>
      <c r="K9" s="23">
        <f t="shared" si="8"/>
        <v>18</v>
      </c>
      <c r="L9" s="26">
        <f t="shared" si="9"/>
        <v>26.720000000000255</v>
      </c>
      <c r="M9" s="26">
        <f>ROUND((Resultat!D20*Resultat!$H$3),0)</f>
        <v>3916</v>
      </c>
      <c r="N9" s="26">
        <f t="shared" si="10"/>
        <v>1</v>
      </c>
      <c r="O9" s="26">
        <f t="shared" si="11"/>
        <v>316</v>
      </c>
      <c r="P9" s="23">
        <f t="shared" si="12"/>
        <v>5</v>
      </c>
      <c r="Q9" s="26">
        <f t="shared" si="13"/>
        <v>16</v>
      </c>
      <c r="R9" s="23">
        <f>IF((Resultat!$B$5&gt;Resultat!D20),ROUND(((Resultat!$B$5-Resultat!D20)*Resultat!$H$3),0),0)</f>
        <v>578</v>
      </c>
      <c r="S9" s="23">
        <f t="shared" si="14"/>
        <v>0</v>
      </c>
      <c r="T9" s="23">
        <f t="shared" si="15"/>
        <v>578</v>
      </c>
      <c r="U9" s="23">
        <f t="shared" si="16"/>
        <v>9</v>
      </c>
      <c r="V9" s="23">
        <f t="shared" si="17"/>
        <v>38</v>
      </c>
      <c r="W9" s="23" t="s">
        <v>1</v>
      </c>
    </row>
    <row r="10" spans="1:23" ht="12.75" customHeight="1" x14ac:dyDescent="0.2">
      <c r="A10" s="25" t="str">
        <f>Resultat!F21</f>
        <v xml:space="preserve">  </v>
      </c>
      <c r="B10" s="23" t="e">
        <f t="shared" si="0"/>
        <v>#VALUE!</v>
      </c>
      <c r="C10" s="23" t="e">
        <f t="shared" si="1"/>
        <v>#VALUE!</v>
      </c>
      <c r="D10" s="23" t="e">
        <f t="shared" si="2"/>
        <v>#VALUE!</v>
      </c>
      <c r="E10" s="23" t="e">
        <f t="shared" si="3"/>
        <v>#VALUE!</v>
      </c>
      <c r="F10" s="23" t="e">
        <f t="shared" si="4"/>
        <v>#VALUE!</v>
      </c>
      <c r="G10" s="23" t="e">
        <f t="shared" si="5"/>
        <v>#VALUE!</v>
      </c>
      <c r="H10" s="26" t="e">
        <f>IF((Resultat!$B$7&lt;=7),(G10+((Resultat!$B$5-Resultat!D21)*Resultat!$H$3)),(G10*Resultat!D21))</f>
        <v>#VALUE!</v>
      </c>
      <c r="I10" s="23" t="e">
        <f t="shared" si="6"/>
        <v>#VALUE!</v>
      </c>
      <c r="J10" s="26" t="e">
        <f t="shared" si="7"/>
        <v>#VALUE!</v>
      </c>
      <c r="K10" s="23" t="e">
        <f t="shared" si="8"/>
        <v>#VALUE!</v>
      </c>
      <c r="L10" s="26" t="e">
        <f t="shared" si="9"/>
        <v>#VALUE!</v>
      </c>
      <c r="M10" s="26">
        <f>ROUND((Resultat!D21*Resultat!$H$3),0)</f>
        <v>4387</v>
      </c>
      <c r="N10" s="26">
        <f t="shared" si="10"/>
        <v>1</v>
      </c>
      <c r="O10" s="26">
        <f t="shared" si="11"/>
        <v>787</v>
      </c>
      <c r="P10" s="23">
        <f t="shared" si="12"/>
        <v>13</v>
      </c>
      <c r="Q10" s="26">
        <f t="shared" si="13"/>
        <v>7</v>
      </c>
      <c r="R10" s="23">
        <f>IF((Resultat!$B$5&gt;Resultat!D21),ROUND(((Resultat!$B$5-Resultat!D21)*Resultat!$H$3),0),0)</f>
        <v>107</v>
      </c>
      <c r="S10" s="23">
        <f t="shared" si="14"/>
        <v>0</v>
      </c>
      <c r="T10" s="23">
        <f t="shared" si="15"/>
        <v>107</v>
      </c>
      <c r="U10" s="23">
        <f t="shared" si="16"/>
        <v>1</v>
      </c>
      <c r="V10" s="23">
        <f t="shared" si="17"/>
        <v>47</v>
      </c>
      <c r="W10" s="23" t="s">
        <v>61</v>
      </c>
    </row>
    <row r="11" spans="1:23" ht="12.75" customHeight="1" x14ac:dyDescent="0.2">
      <c r="A11" s="25">
        <f>Resultat!F22</f>
        <v>4.4363425925925903E-2</v>
      </c>
      <c r="B11" s="23">
        <f t="shared" si="0"/>
        <v>1</v>
      </c>
      <c r="C11" s="23">
        <f t="shared" si="1"/>
        <v>3600</v>
      </c>
      <c r="D11" s="23">
        <f t="shared" si="2"/>
        <v>3</v>
      </c>
      <c r="E11" s="23">
        <f t="shared" si="3"/>
        <v>180</v>
      </c>
      <c r="F11" s="23">
        <f t="shared" si="4"/>
        <v>53</v>
      </c>
      <c r="G11" s="23">
        <f t="shared" si="5"/>
        <v>3833</v>
      </c>
      <c r="H11" s="26">
        <f>IF((Resultat!$B$7&lt;=7),(G11+((Resultat!$B$5-Resultat!D22)*Resultat!$H$3)),(G11*Resultat!D22))</f>
        <v>4514.9520000000002</v>
      </c>
      <c r="I11" s="23">
        <f t="shared" si="6"/>
        <v>1</v>
      </c>
      <c r="J11" s="26">
        <f t="shared" si="7"/>
        <v>914.95200000000023</v>
      </c>
      <c r="K11" s="23">
        <f t="shared" si="8"/>
        <v>15</v>
      </c>
      <c r="L11" s="26">
        <f t="shared" si="9"/>
        <v>14.952000000000226</v>
      </c>
      <c r="M11" s="26">
        <f>ROUND((Resultat!D22*Resultat!$H$3),0)</f>
        <v>3812</v>
      </c>
      <c r="N11" s="26">
        <f t="shared" si="10"/>
        <v>1</v>
      </c>
      <c r="O11" s="26">
        <f t="shared" si="11"/>
        <v>212</v>
      </c>
      <c r="P11" s="23">
        <f t="shared" si="12"/>
        <v>3</v>
      </c>
      <c r="Q11" s="26">
        <f t="shared" si="13"/>
        <v>32</v>
      </c>
      <c r="R11" s="23">
        <f>IF((Resultat!$B$5&gt;Resultat!D22),ROUND(((Resultat!$B$5-Resultat!D22)*Resultat!$H$3),0),0)</f>
        <v>682</v>
      </c>
      <c r="S11" s="23">
        <f t="shared" si="14"/>
        <v>0</v>
      </c>
      <c r="T11" s="23">
        <f t="shared" si="15"/>
        <v>682</v>
      </c>
      <c r="U11" s="23">
        <f t="shared" si="16"/>
        <v>11</v>
      </c>
      <c r="V11" s="23">
        <f t="shared" si="17"/>
        <v>22</v>
      </c>
      <c r="W11" s="23" t="s">
        <v>51</v>
      </c>
    </row>
    <row r="12" spans="1:23" ht="12.75" customHeight="1" x14ac:dyDescent="0.2">
      <c r="A12" s="25" t="str">
        <f>Resultat!F23</f>
        <v xml:space="preserve">  </v>
      </c>
      <c r="B12" s="23" t="e">
        <f t="shared" si="0"/>
        <v>#VALUE!</v>
      </c>
      <c r="C12" s="23" t="e">
        <f t="shared" si="1"/>
        <v>#VALUE!</v>
      </c>
      <c r="D12" s="23" t="e">
        <f t="shared" si="2"/>
        <v>#VALUE!</v>
      </c>
      <c r="E12" s="23" t="e">
        <f t="shared" si="3"/>
        <v>#VALUE!</v>
      </c>
      <c r="F12" s="23" t="e">
        <f t="shared" si="4"/>
        <v>#VALUE!</v>
      </c>
      <c r="G12" s="23" t="e">
        <f t="shared" si="5"/>
        <v>#VALUE!</v>
      </c>
      <c r="H12" s="26" t="e">
        <f>IF((Resultat!$B$7&lt;=7),(G12+((Resultat!$B$5-Resultat!D23)*Resultat!$H$3)),(G12*Resultat!D23))</f>
        <v>#VALUE!</v>
      </c>
      <c r="I12" s="23" t="e">
        <f t="shared" si="6"/>
        <v>#VALUE!</v>
      </c>
      <c r="J12" s="26" t="e">
        <f t="shared" si="7"/>
        <v>#VALUE!</v>
      </c>
      <c r="K12" s="23" t="e">
        <f t="shared" si="8"/>
        <v>#VALUE!</v>
      </c>
      <c r="L12" s="26" t="e">
        <f t="shared" si="9"/>
        <v>#VALUE!</v>
      </c>
      <c r="M12" s="26">
        <f>ROUND((Resultat!D23*Resultat!$H$3),0)</f>
        <v>3910</v>
      </c>
      <c r="N12" s="26">
        <f t="shared" si="10"/>
        <v>1</v>
      </c>
      <c r="O12" s="26">
        <f t="shared" si="11"/>
        <v>310</v>
      </c>
      <c r="P12" s="23">
        <f t="shared" si="12"/>
        <v>5</v>
      </c>
      <c r="Q12" s="26">
        <f t="shared" si="13"/>
        <v>10</v>
      </c>
      <c r="R12" s="23">
        <f>IF((Resultat!$B$5&gt;Resultat!D23),ROUND(((Resultat!$B$5-Resultat!D23)*Resultat!$H$3),0),0)</f>
        <v>584</v>
      </c>
      <c r="S12" s="23">
        <f t="shared" si="14"/>
        <v>0</v>
      </c>
      <c r="T12" s="23">
        <f t="shared" si="15"/>
        <v>584</v>
      </c>
      <c r="U12" s="23">
        <f t="shared" si="16"/>
        <v>9</v>
      </c>
      <c r="V12" s="23">
        <f t="shared" si="17"/>
        <v>44</v>
      </c>
      <c r="W12" s="23" t="s">
        <v>38</v>
      </c>
    </row>
    <row r="13" spans="1:23" ht="12.75" customHeight="1" x14ac:dyDescent="0.2">
      <c r="A13" s="25" t="str">
        <f>Resultat!F24</f>
        <v xml:space="preserve">  </v>
      </c>
      <c r="B13" s="23" t="e">
        <f t="shared" si="0"/>
        <v>#VALUE!</v>
      </c>
      <c r="C13" s="23" t="e">
        <f t="shared" si="1"/>
        <v>#VALUE!</v>
      </c>
      <c r="D13" s="23" t="e">
        <f t="shared" si="2"/>
        <v>#VALUE!</v>
      </c>
      <c r="E13" s="23" t="e">
        <f t="shared" si="3"/>
        <v>#VALUE!</v>
      </c>
      <c r="F13" s="23" t="e">
        <f t="shared" si="4"/>
        <v>#VALUE!</v>
      </c>
      <c r="G13" s="23" t="e">
        <f t="shared" si="5"/>
        <v>#VALUE!</v>
      </c>
      <c r="H13" s="26" t="e">
        <f>IF((Resultat!$B$7&lt;=7),(G13+((Resultat!$B$5-Resultat!D24)*Resultat!$H$3)),(G13*Resultat!D24))</f>
        <v>#VALUE!</v>
      </c>
      <c r="I13" s="23" t="e">
        <f t="shared" si="6"/>
        <v>#VALUE!</v>
      </c>
      <c r="J13" s="26" t="e">
        <f t="shared" si="7"/>
        <v>#VALUE!</v>
      </c>
      <c r="K13" s="23" t="e">
        <f t="shared" si="8"/>
        <v>#VALUE!</v>
      </c>
      <c r="L13" s="26" t="e">
        <f t="shared" si="9"/>
        <v>#VALUE!</v>
      </c>
      <c r="M13" s="26">
        <f>ROUND((Resultat!D24*Resultat!$H$3),0)</f>
        <v>3264</v>
      </c>
      <c r="N13" s="26">
        <f t="shared" si="10"/>
        <v>0</v>
      </c>
      <c r="O13" s="26">
        <f t="shared" si="11"/>
        <v>3264</v>
      </c>
      <c r="P13" s="23">
        <f t="shared" si="12"/>
        <v>54</v>
      </c>
      <c r="Q13" s="26">
        <f t="shared" si="13"/>
        <v>24</v>
      </c>
      <c r="R13" s="23">
        <f>IF((Resultat!$B$5&gt;Resultat!D24),ROUND(((Resultat!$B$5-Resultat!D24)*Resultat!$H$3),0),0)</f>
        <v>1230</v>
      </c>
      <c r="S13" s="23">
        <f t="shared" si="14"/>
        <v>0</v>
      </c>
      <c r="T13" s="23">
        <f t="shared" si="15"/>
        <v>1230</v>
      </c>
      <c r="U13" s="23">
        <f t="shared" si="16"/>
        <v>20</v>
      </c>
      <c r="V13" s="23">
        <f t="shared" si="17"/>
        <v>30</v>
      </c>
      <c r="W13" s="23" t="s">
        <v>43</v>
      </c>
    </row>
    <row r="14" spans="1:23" ht="12.75" customHeight="1" x14ac:dyDescent="0.2">
      <c r="A14" s="25" t="str">
        <f>Resultat!F25</f>
        <v xml:space="preserve">  </v>
      </c>
      <c r="B14" s="23" t="e">
        <f t="shared" si="0"/>
        <v>#VALUE!</v>
      </c>
      <c r="C14" s="23" t="e">
        <f t="shared" si="1"/>
        <v>#VALUE!</v>
      </c>
      <c r="D14" s="23" t="e">
        <f t="shared" si="2"/>
        <v>#VALUE!</v>
      </c>
      <c r="E14" s="23" t="e">
        <f t="shared" si="3"/>
        <v>#VALUE!</v>
      </c>
      <c r="F14" s="23" t="e">
        <f t="shared" si="4"/>
        <v>#VALUE!</v>
      </c>
      <c r="G14" s="23" t="e">
        <f t="shared" si="5"/>
        <v>#VALUE!</v>
      </c>
      <c r="H14" s="26" t="e">
        <f>IF((Resultat!$B$7&lt;=7),(G14+((Resultat!$B$5-Resultat!D25)*Resultat!$H$3)),(G14*Resultat!D25))</f>
        <v>#VALUE!</v>
      </c>
      <c r="I14" s="23" t="e">
        <f t="shared" si="6"/>
        <v>#VALUE!</v>
      </c>
      <c r="J14" s="26" t="e">
        <f t="shared" si="7"/>
        <v>#VALUE!</v>
      </c>
      <c r="K14" s="23" t="e">
        <f t="shared" si="8"/>
        <v>#VALUE!</v>
      </c>
      <c r="L14" s="26" t="e">
        <f t="shared" si="9"/>
        <v>#VALUE!</v>
      </c>
      <c r="M14" s="26">
        <f>ROUND((Resultat!D25*Resultat!$H$3),0)</f>
        <v>3704</v>
      </c>
      <c r="N14" s="26">
        <f t="shared" si="10"/>
        <v>1</v>
      </c>
      <c r="O14" s="26">
        <f t="shared" si="11"/>
        <v>104</v>
      </c>
      <c r="P14" s="23">
        <f t="shared" si="12"/>
        <v>1</v>
      </c>
      <c r="Q14" s="26">
        <f t="shared" si="13"/>
        <v>44</v>
      </c>
      <c r="R14" s="23">
        <f>IF((Resultat!$B$5&gt;Resultat!D25),ROUND(((Resultat!$B$5-Resultat!D25)*Resultat!$H$3),0),0)</f>
        <v>790</v>
      </c>
      <c r="S14" s="23">
        <f t="shared" si="14"/>
        <v>0</v>
      </c>
      <c r="T14" s="23">
        <f t="shared" si="15"/>
        <v>790</v>
      </c>
      <c r="U14" s="23">
        <f t="shared" si="16"/>
        <v>13</v>
      </c>
      <c r="V14" s="23">
        <f t="shared" si="17"/>
        <v>10</v>
      </c>
      <c r="W14" s="23" t="s">
        <v>50</v>
      </c>
    </row>
    <row r="15" spans="1:23" ht="12.75" customHeight="1" x14ac:dyDescent="0.2">
      <c r="A15" s="25" t="str">
        <f>Resultat!F26</f>
        <v xml:space="preserve">  </v>
      </c>
      <c r="B15" s="23" t="e">
        <f t="shared" si="0"/>
        <v>#VALUE!</v>
      </c>
      <c r="C15" s="23" t="e">
        <f t="shared" si="1"/>
        <v>#VALUE!</v>
      </c>
      <c r="D15" s="23" t="e">
        <f t="shared" si="2"/>
        <v>#VALUE!</v>
      </c>
      <c r="E15" s="23" t="e">
        <f t="shared" si="3"/>
        <v>#VALUE!</v>
      </c>
      <c r="F15" s="23" t="e">
        <f t="shared" si="4"/>
        <v>#VALUE!</v>
      </c>
      <c r="G15" s="23" t="e">
        <f t="shared" si="5"/>
        <v>#VALUE!</v>
      </c>
      <c r="H15" s="26" t="e">
        <f>IF((Resultat!$B$7&lt;=7),(G15+((Resultat!$B$5-Resultat!D26)*Resultat!$H$3)),(G15*Resultat!D26))</f>
        <v>#VALUE!</v>
      </c>
      <c r="I15" s="23" t="e">
        <f t="shared" si="6"/>
        <v>#VALUE!</v>
      </c>
      <c r="J15" s="26" t="e">
        <f t="shared" si="7"/>
        <v>#VALUE!</v>
      </c>
      <c r="K15" s="23" t="e">
        <f t="shared" si="8"/>
        <v>#VALUE!</v>
      </c>
      <c r="L15" s="26" t="e">
        <f t="shared" si="9"/>
        <v>#VALUE!</v>
      </c>
      <c r="M15" s="26">
        <f>ROUND((Resultat!D26*Resultat!$H$3),0)</f>
        <v>3648</v>
      </c>
      <c r="N15" s="26">
        <f t="shared" si="10"/>
        <v>1</v>
      </c>
      <c r="O15" s="26">
        <f t="shared" si="11"/>
        <v>48</v>
      </c>
      <c r="P15" s="23">
        <f t="shared" si="12"/>
        <v>0</v>
      </c>
      <c r="Q15" s="26">
        <f t="shared" si="13"/>
        <v>48</v>
      </c>
      <c r="R15" s="23">
        <f>IF((Resultat!$B$5&gt;Resultat!D26),ROUND(((Resultat!$B$5-Resultat!D26)*Resultat!$H$3),0),0)</f>
        <v>846</v>
      </c>
      <c r="S15" s="23">
        <f t="shared" si="14"/>
        <v>0</v>
      </c>
      <c r="T15" s="23">
        <f t="shared" si="15"/>
        <v>846</v>
      </c>
      <c r="U15" s="23">
        <f t="shared" si="16"/>
        <v>14</v>
      </c>
      <c r="V15" s="23">
        <f t="shared" si="17"/>
        <v>6</v>
      </c>
      <c r="W15" s="23" t="s">
        <v>18</v>
      </c>
    </row>
    <row r="16" spans="1:23" ht="12.75" customHeight="1" x14ac:dyDescent="0.2">
      <c r="A16" s="25" t="str">
        <f>Resultat!F27</f>
        <v xml:space="preserve">  </v>
      </c>
      <c r="B16" s="23" t="e">
        <f t="shared" si="0"/>
        <v>#VALUE!</v>
      </c>
      <c r="C16" s="23" t="e">
        <f t="shared" si="1"/>
        <v>#VALUE!</v>
      </c>
      <c r="D16" s="23" t="e">
        <f t="shared" si="2"/>
        <v>#VALUE!</v>
      </c>
      <c r="E16" s="23" t="e">
        <f t="shared" si="3"/>
        <v>#VALUE!</v>
      </c>
      <c r="F16" s="23" t="e">
        <f t="shared" si="4"/>
        <v>#VALUE!</v>
      </c>
      <c r="G16" s="23" t="e">
        <f t="shared" si="5"/>
        <v>#VALUE!</v>
      </c>
      <c r="H16" s="26" t="e">
        <f>IF((Resultat!$B$7&lt;=7),(G16+((Resultat!$B$5-Resultat!D27)*Resultat!$H$3)),(G16*Resultat!D27))</f>
        <v>#VALUE!</v>
      </c>
      <c r="I16" s="23" t="e">
        <f t="shared" si="6"/>
        <v>#VALUE!</v>
      </c>
      <c r="J16" s="26" t="e">
        <f t="shared" si="7"/>
        <v>#VALUE!</v>
      </c>
      <c r="K16" s="23" t="e">
        <f t="shared" si="8"/>
        <v>#VALUE!</v>
      </c>
      <c r="L16" s="26" t="e">
        <f t="shared" si="9"/>
        <v>#VALUE!</v>
      </c>
      <c r="M16" s="26">
        <f>ROUND((Resultat!D27*Resultat!$H$3),0)</f>
        <v>3809</v>
      </c>
      <c r="N16" s="26">
        <f t="shared" si="10"/>
        <v>1</v>
      </c>
      <c r="O16" s="26">
        <f t="shared" si="11"/>
        <v>209</v>
      </c>
      <c r="P16" s="23">
        <f t="shared" si="12"/>
        <v>3</v>
      </c>
      <c r="Q16" s="26">
        <f t="shared" si="13"/>
        <v>29</v>
      </c>
      <c r="R16" s="23">
        <f>IF((Resultat!$B$5&gt;Resultat!D27),ROUND(((Resultat!$B$5-Resultat!D27)*Resultat!$H$3),0),0)</f>
        <v>685</v>
      </c>
      <c r="S16" s="23">
        <f t="shared" si="14"/>
        <v>0</v>
      </c>
      <c r="T16" s="23">
        <f t="shared" si="15"/>
        <v>685</v>
      </c>
      <c r="U16" s="23">
        <f t="shared" si="16"/>
        <v>11</v>
      </c>
      <c r="V16" s="23">
        <f t="shared" si="17"/>
        <v>25</v>
      </c>
      <c r="W16" s="13" t="s">
        <v>73</v>
      </c>
    </row>
    <row r="17" spans="1:23" ht="12.75" customHeight="1" x14ac:dyDescent="0.2">
      <c r="A17" s="25" t="str">
        <f>Resultat!F28</f>
        <v xml:space="preserve">  </v>
      </c>
      <c r="B17" s="23" t="e">
        <f t="shared" si="0"/>
        <v>#VALUE!</v>
      </c>
      <c r="C17" s="23" t="e">
        <f t="shared" si="1"/>
        <v>#VALUE!</v>
      </c>
      <c r="D17" s="23" t="e">
        <f t="shared" si="2"/>
        <v>#VALUE!</v>
      </c>
      <c r="E17" s="23" t="e">
        <f t="shared" si="3"/>
        <v>#VALUE!</v>
      </c>
      <c r="F17" s="23" t="e">
        <f t="shared" si="4"/>
        <v>#VALUE!</v>
      </c>
      <c r="G17" s="23" t="e">
        <f t="shared" si="5"/>
        <v>#VALUE!</v>
      </c>
      <c r="H17" s="26" t="e">
        <f>IF((Resultat!$B$7&lt;=7),(G17+((Resultat!$B$5-Resultat!D28)*Resultat!$H$3)),(G17*Resultat!D28))</f>
        <v>#VALUE!</v>
      </c>
      <c r="I17" s="23" t="e">
        <f t="shared" si="6"/>
        <v>#VALUE!</v>
      </c>
      <c r="J17" s="26" t="e">
        <f t="shared" si="7"/>
        <v>#VALUE!</v>
      </c>
      <c r="K17" s="23" t="e">
        <f t="shared" si="8"/>
        <v>#VALUE!</v>
      </c>
      <c r="L17" s="26" t="e">
        <f t="shared" si="9"/>
        <v>#VALUE!</v>
      </c>
      <c r="M17" s="26">
        <f>ROUND((Resultat!D28*Resultat!$H$3),0)</f>
        <v>4188</v>
      </c>
      <c r="N17" s="26">
        <f t="shared" si="10"/>
        <v>1</v>
      </c>
      <c r="O17" s="26">
        <f t="shared" si="11"/>
        <v>588</v>
      </c>
      <c r="P17" s="23">
        <f t="shared" si="12"/>
        <v>9</v>
      </c>
      <c r="Q17" s="26">
        <f t="shared" si="13"/>
        <v>48</v>
      </c>
      <c r="R17" s="23">
        <f>IF((Resultat!$B$5&gt;Resultat!D28),ROUND(((Resultat!$B$5-Resultat!D28)*Resultat!$H$3),0),0)</f>
        <v>306</v>
      </c>
      <c r="S17" s="23">
        <f t="shared" si="14"/>
        <v>0</v>
      </c>
      <c r="T17" s="23">
        <f t="shared" si="15"/>
        <v>306</v>
      </c>
      <c r="U17" s="23">
        <f t="shared" si="16"/>
        <v>5</v>
      </c>
      <c r="V17" s="23">
        <f t="shared" si="17"/>
        <v>6</v>
      </c>
      <c r="W17" s="23" t="s">
        <v>30</v>
      </c>
    </row>
    <row r="18" spans="1:23" ht="12.75" customHeight="1" x14ac:dyDescent="0.2">
      <c r="A18" s="25">
        <f>Resultat!F29</f>
        <v>3.9513888888888848E-2</v>
      </c>
      <c r="B18" s="23">
        <f t="shared" si="0"/>
        <v>0</v>
      </c>
      <c r="C18" s="23">
        <f t="shared" si="1"/>
        <v>0</v>
      </c>
      <c r="D18" s="23">
        <f t="shared" si="2"/>
        <v>56</v>
      </c>
      <c r="E18" s="23">
        <f t="shared" si="3"/>
        <v>3360</v>
      </c>
      <c r="F18" s="23">
        <f t="shared" si="4"/>
        <v>54</v>
      </c>
      <c r="G18" s="23">
        <f t="shared" si="5"/>
        <v>3414</v>
      </c>
      <c r="H18" s="26">
        <f>IF((Resultat!$B$7&lt;=7),(G18+((Resultat!$B$5-Resultat!D29)*Resultat!$H$3)),(G18*Resultat!D29))</f>
        <v>4382.7920000000004</v>
      </c>
      <c r="I18" s="23">
        <f t="shared" si="6"/>
        <v>1</v>
      </c>
      <c r="J18" s="26">
        <f t="shared" si="7"/>
        <v>782.79200000000037</v>
      </c>
      <c r="K18" s="23">
        <f t="shared" si="8"/>
        <v>13</v>
      </c>
      <c r="L18" s="26">
        <f t="shared" si="9"/>
        <v>2.7920000000003711</v>
      </c>
      <c r="M18" s="26">
        <f>ROUND((Resultat!D29*Resultat!$H$3),0)</f>
        <v>3525</v>
      </c>
      <c r="N18" s="26">
        <f t="shared" si="10"/>
        <v>0</v>
      </c>
      <c r="O18" s="26">
        <f t="shared" si="11"/>
        <v>3525</v>
      </c>
      <c r="P18" s="23">
        <f t="shared" si="12"/>
        <v>58</v>
      </c>
      <c r="Q18" s="26">
        <f t="shared" si="13"/>
        <v>45</v>
      </c>
      <c r="R18" s="23">
        <f>IF((Resultat!$B$5&gt;Resultat!D29),ROUND(((Resultat!$B$5-Resultat!D29)*Resultat!$H$3),0),0)</f>
        <v>969</v>
      </c>
      <c r="S18" s="23">
        <f t="shared" si="14"/>
        <v>0</v>
      </c>
      <c r="T18" s="23">
        <f t="shared" si="15"/>
        <v>969</v>
      </c>
      <c r="U18" s="23">
        <f t="shared" si="16"/>
        <v>16</v>
      </c>
      <c r="V18" s="23">
        <f t="shared" si="17"/>
        <v>9</v>
      </c>
      <c r="W18" s="23" t="s">
        <v>8</v>
      </c>
    </row>
    <row r="19" spans="1:23" ht="12.75" customHeight="1" x14ac:dyDescent="0.2">
      <c r="A19" s="25" t="str">
        <f>Resultat!F30</f>
        <v xml:space="preserve">  </v>
      </c>
      <c r="B19" s="23" t="e">
        <f t="shared" si="0"/>
        <v>#VALUE!</v>
      </c>
      <c r="C19" s="23" t="e">
        <f t="shared" si="1"/>
        <v>#VALUE!</v>
      </c>
      <c r="D19" s="23" t="e">
        <f t="shared" si="2"/>
        <v>#VALUE!</v>
      </c>
      <c r="E19" s="23" t="e">
        <f t="shared" si="3"/>
        <v>#VALUE!</v>
      </c>
      <c r="F19" s="23" t="e">
        <f t="shared" si="4"/>
        <v>#VALUE!</v>
      </c>
      <c r="G19" s="23" t="e">
        <f t="shared" si="5"/>
        <v>#VALUE!</v>
      </c>
      <c r="H19" s="26" t="e">
        <f>IF((Resultat!$B$7&lt;=7),(G19+((Resultat!$B$5-Resultat!D30)*Resultat!$H$3)),(G19*Resultat!D30))</f>
        <v>#VALUE!</v>
      </c>
      <c r="I19" s="23" t="e">
        <f t="shared" si="6"/>
        <v>#VALUE!</v>
      </c>
      <c r="J19" s="26" t="e">
        <f t="shared" si="7"/>
        <v>#VALUE!</v>
      </c>
      <c r="K19" s="23" t="e">
        <f t="shared" si="8"/>
        <v>#VALUE!</v>
      </c>
      <c r="L19" s="26" t="e">
        <f t="shared" si="9"/>
        <v>#VALUE!</v>
      </c>
      <c r="M19" s="26">
        <f>ROUND((Resultat!D30*Resultat!$H$3),0)</f>
        <v>3612</v>
      </c>
      <c r="N19" s="26">
        <f t="shared" si="10"/>
        <v>1</v>
      </c>
      <c r="O19" s="26">
        <f t="shared" si="11"/>
        <v>12</v>
      </c>
      <c r="P19" s="23">
        <f t="shared" si="12"/>
        <v>0</v>
      </c>
      <c r="Q19" s="26">
        <f t="shared" si="13"/>
        <v>12</v>
      </c>
      <c r="R19" s="23">
        <f>IF((Resultat!$B$5&gt;Resultat!D30),ROUND(((Resultat!$B$5-Resultat!D30)*Resultat!$H$3),0),0)</f>
        <v>882</v>
      </c>
      <c r="S19" s="23">
        <f t="shared" si="14"/>
        <v>0</v>
      </c>
      <c r="T19" s="23">
        <f t="shared" si="15"/>
        <v>882</v>
      </c>
      <c r="U19" s="23">
        <f t="shared" si="16"/>
        <v>14</v>
      </c>
      <c r="V19" s="23">
        <f t="shared" si="17"/>
        <v>42</v>
      </c>
      <c r="W19" s="23" t="s">
        <v>7</v>
      </c>
    </row>
    <row r="20" spans="1:23" ht="12.75" customHeight="1" x14ac:dyDescent="0.2">
      <c r="A20" s="25" t="str">
        <f>Resultat!F31</f>
        <v xml:space="preserve">  </v>
      </c>
      <c r="B20" s="23" t="e">
        <f t="shared" si="0"/>
        <v>#VALUE!</v>
      </c>
      <c r="C20" s="23" t="e">
        <f t="shared" si="1"/>
        <v>#VALUE!</v>
      </c>
      <c r="D20" s="23" t="e">
        <f t="shared" si="2"/>
        <v>#VALUE!</v>
      </c>
      <c r="E20" s="23" t="e">
        <f t="shared" si="3"/>
        <v>#VALUE!</v>
      </c>
      <c r="F20" s="23" t="e">
        <f t="shared" si="4"/>
        <v>#VALUE!</v>
      </c>
      <c r="G20" s="23" t="e">
        <f t="shared" si="5"/>
        <v>#VALUE!</v>
      </c>
      <c r="H20" s="26" t="e">
        <f>IF((Resultat!$B$7&lt;=7),(G20+((Resultat!$B$5-Resultat!D31)*Resultat!$H$3)),(G20*Resultat!D31))</f>
        <v>#VALUE!</v>
      </c>
      <c r="I20" s="23" t="e">
        <f t="shared" si="6"/>
        <v>#VALUE!</v>
      </c>
      <c r="J20" s="26" t="e">
        <f t="shared" si="7"/>
        <v>#VALUE!</v>
      </c>
      <c r="K20" s="23" t="e">
        <f t="shared" si="8"/>
        <v>#VALUE!</v>
      </c>
      <c r="L20" s="26" t="e">
        <f t="shared" si="9"/>
        <v>#VALUE!</v>
      </c>
      <c r="M20" s="26">
        <f>ROUND((Resultat!D31*Resultat!$H$3),0)</f>
        <v>3453</v>
      </c>
      <c r="N20" s="26">
        <f t="shared" si="10"/>
        <v>0</v>
      </c>
      <c r="O20" s="26">
        <f t="shared" si="11"/>
        <v>3453</v>
      </c>
      <c r="P20" s="23">
        <f t="shared" si="12"/>
        <v>57</v>
      </c>
      <c r="Q20" s="26">
        <f t="shared" si="13"/>
        <v>33</v>
      </c>
      <c r="R20" s="23">
        <f>IF((Resultat!$B$5&gt;Resultat!D31),ROUND(((Resultat!$B$5-Resultat!D31)*Resultat!$H$3),0),0)</f>
        <v>1042</v>
      </c>
      <c r="S20" s="23">
        <f t="shared" si="14"/>
        <v>0</v>
      </c>
      <c r="T20" s="23">
        <f t="shared" si="15"/>
        <v>1042</v>
      </c>
      <c r="U20" s="23">
        <f t="shared" si="16"/>
        <v>17</v>
      </c>
      <c r="V20" s="23">
        <f t="shared" si="17"/>
        <v>22</v>
      </c>
      <c r="W20" s="23" t="s">
        <v>71</v>
      </c>
    </row>
    <row r="21" spans="1:23" ht="12.75" customHeight="1" x14ac:dyDescent="0.2">
      <c r="A21" s="25" t="str">
        <f>Resultat!F32</f>
        <v xml:space="preserve">  </v>
      </c>
      <c r="B21" s="23" t="e">
        <f t="shared" si="0"/>
        <v>#VALUE!</v>
      </c>
      <c r="C21" s="23" t="e">
        <f t="shared" si="1"/>
        <v>#VALUE!</v>
      </c>
      <c r="D21" s="23" t="e">
        <f t="shared" si="2"/>
        <v>#VALUE!</v>
      </c>
      <c r="E21" s="23" t="e">
        <f t="shared" si="3"/>
        <v>#VALUE!</v>
      </c>
      <c r="F21" s="23" t="e">
        <f t="shared" si="4"/>
        <v>#VALUE!</v>
      </c>
      <c r="G21" s="23" t="e">
        <f t="shared" si="5"/>
        <v>#VALUE!</v>
      </c>
      <c r="H21" s="26" t="e">
        <f>IF((Resultat!$B$7&lt;=7),(G21+((Resultat!$B$5-Resultat!D32)*Resultat!$H$3)),(G21*Resultat!D32))</f>
        <v>#VALUE!</v>
      </c>
      <c r="I21" s="23" t="e">
        <f t="shared" si="6"/>
        <v>#VALUE!</v>
      </c>
      <c r="J21" s="26" t="e">
        <f t="shared" si="7"/>
        <v>#VALUE!</v>
      </c>
      <c r="K21" s="23" t="e">
        <f t="shared" si="8"/>
        <v>#VALUE!</v>
      </c>
      <c r="L21" s="26" t="e">
        <f t="shared" si="9"/>
        <v>#VALUE!</v>
      </c>
      <c r="M21" s="26">
        <f>ROUND((Resultat!D32*Resultat!$H$3),0)</f>
        <v>3410</v>
      </c>
      <c r="N21" s="26">
        <f t="shared" si="10"/>
        <v>0</v>
      </c>
      <c r="O21" s="26">
        <f t="shared" si="11"/>
        <v>3410</v>
      </c>
      <c r="P21" s="23">
        <f t="shared" si="12"/>
        <v>56</v>
      </c>
      <c r="Q21" s="26">
        <f t="shared" si="13"/>
        <v>50</v>
      </c>
      <c r="R21" s="23">
        <f>IF((Resultat!$B$5&gt;Resultat!D32),ROUND(((Resultat!$B$5-Resultat!D32)*Resultat!$H$3),0),0)</f>
        <v>1084</v>
      </c>
      <c r="S21" s="23">
        <f t="shared" si="14"/>
        <v>0</v>
      </c>
      <c r="T21" s="23">
        <f t="shared" si="15"/>
        <v>1084</v>
      </c>
      <c r="U21" s="23">
        <f t="shared" si="16"/>
        <v>18</v>
      </c>
      <c r="V21" s="23">
        <f t="shared" si="17"/>
        <v>4</v>
      </c>
      <c r="W21" s="23" t="s">
        <v>69</v>
      </c>
    </row>
    <row r="22" spans="1:23" ht="12.75" customHeight="1" x14ac:dyDescent="0.2">
      <c r="A22" s="25" t="str">
        <f>Resultat!F33</f>
        <v xml:space="preserve">  </v>
      </c>
      <c r="B22" s="23" t="e">
        <f t="shared" si="0"/>
        <v>#VALUE!</v>
      </c>
      <c r="C22" s="23" t="e">
        <f t="shared" si="1"/>
        <v>#VALUE!</v>
      </c>
      <c r="D22" s="23" t="e">
        <f t="shared" si="2"/>
        <v>#VALUE!</v>
      </c>
      <c r="E22" s="23" t="e">
        <f t="shared" si="3"/>
        <v>#VALUE!</v>
      </c>
      <c r="F22" s="23" t="e">
        <f t="shared" si="4"/>
        <v>#VALUE!</v>
      </c>
      <c r="G22" s="23" t="e">
        <f t="shared" si="5"/>
        <v>#VALUE!</v>
      </c>
      <c r="H22" s="26" t="e">
        <f>IF((Resultat!$B$7&lt;=7),(G22+((Resultat!$B$5-Resultat!D33)*Resultat!$H$3)),(G22*Resultat!D33))</f>
        <v>#VALUE!</v>
      </c>
      <c r="I22" s="23" t="e">
        <f t="shared" si="6"/>
        <v>#VALUE!</v>
      </c>
      <c r="J22" s="26" t="e">
        <f t="shared" si="7"/>
        <v>#VALUE!</v>
      </c>
      <c r="K22" s="23" t="e">
        <f t="shared" si="8"/>
        <v>#VALUE!</v>
      </c>
      <c r="L22" s="26" t="e">
        <f t="shared" si="9"/>
        <v>#VALUE!</v>
      </c>
      <c r="M22" s="26">
        <f>ROUND((Resultat!D33*Resultat!$H$3),0)</f>
        <v>4494</v>
      </c>
      <c r="N22" s="26">
        <f t="shared" si="10"/>
        <v>1</v>
      </c>
      <c r="O22" s="26">
        <f t="shared" si="11"/>
        <v>894</v>
      </c>
      <c r="P22" s="23">
        <f t="shared" si="12"/>
        <v>14</v>
      </c>
      <c r="Q22" s="26">
        <f t="shared" si="13"/>
        <v>54</v>
      </c>
      <c r="R22" s="23">
        <f>IF((Resultat!$B$5&gt;Resultat!D33),ROUND(((Resultat!$B$5-Resultat!D33)*Resultat!$H$3),0),0)</f>
        <v>0</v>
      </c>
      <c r="S22" s="23">
        <f t="shared" si="14"/>
        <v>0</v>
      </c>
      <c r="T22" s="23">
        <f t="shared" si="15"/>
        <v>0</v>
      </c>
      <c r="U22" s="23">
        <f t="shared" si="16"/>
        <v>0</v>
      </c>
      <c r="V22" s="23">
        <f t="shared" si="17"/>
        <v>0</v>
      </c>
      <c r="W22" s="13" t="s">
        <v>20</v>
      </c>
    </row>
    <row r="23" spans="1:23" ht="12.75" customHeight="1" x14ac:dyDescent="0.2">
      <c r="A23" s="25">
        <f>Resultat!F34</f>
        <v>4.7430555555555587E-2</v>
      </c>
      <c r="B23" s="23">
        <f t="shared" si="0"/>
        <v>1</v>
      </c>
      <c r="C23" s="23">
        <f t="shared" si="1"/>
        <v>3600</v>
      </c>
      <c r="D23" s="23">
        <f t="shared" si="2"/>
        <v>8</v>
      </c>
      <c r="E23" s="23">
        <f t="shared" si="3"/>
        <v>480</v>
      </c>
      <c r="F23" s="23">
        <f t="shared" si="4"/>
        <v>18</v>
      </c>
      <c r="G23" s="23">
        <f t="shared" si="5"/>
        <v>4098</v>
      </c>
      <c r="H23" s="26">
        <f>IF((Resultat!$B$7&lt;=7),(G23+((Resultat!$B$5-Resultat!D34)*Resultat!$H$3)),(G23*Resultat!D34))</f>
        <v>4098</v>
      </c>
      <c r="I23" s="23">
        <f t="shared" si="6"/>
        <v>1</v>
      </c>
      <c r="J23" s="26">
        <f t="shared" si="7"/>
        <v>498</v>
      </c>
      <c r="K23" s="23">
        <f t="shared" si="8"/>
        <v>8</v>
      </c>
      <c r="L23" s="26">
        <f t="shared" si="9"/>
        <v>18</v>
      </c>
      <c r="M23" s="26">
        <f>ROUND((Resultat!D34*Resultat!$H$3),0)</f>
        <v>4494</v>
      </c>
      <c r="N23" s="26">
        <f t="shared" si="10"/>
        <v>1</v>
      </c>
      <c r="O23" s="26">
        <f t="shared" si="11"/>
        <v>894</v>
      </c>
      <c r="P23" s="23">
        <f t="shared" si="12"/>
        <v>14</v>
      </c>
      <c r="Q23" s="26">
        <f t="shared" si="13"/>
        <v>54</v>
      </c>
      <c r="R23" s="23">
        <f>IF((Resultat!$B$5&gt;Resultat!D34),ROUND(((Resultat!$B$5-Resultat!D34)*Resultat!$H$3),0),0)</f>
        <v>0</v>
      </c>
      <c r="S23" s="23">
        <f t="shared" si="14"/>
        <v>0</v>
      </c>
      <c r="T23" s="23">
        <f t="shared" si="15"/>
        <v>0</v>
      </c>
      <c r="U23" s="23">
        <f t="shared" si="16"/>
        <v>0</v>
      </c>
      <c r="V23" s="23">
        <f t="shared" si="17"/>
        <v>0</v>
      </c>
      <c r="W23" s="23" t="s">
        <v>79</v>
      </c>
    </row>
    <row r="24" spans="1:23" ht="12.75" customHeight="1" x14ac:dyDescent="0.2">
      <c r="A24" s="25" t="str">
        <f>Resultat!F35</f>
        <v xml:space="preserve">  </v>
      </c>
      <c r="B24" s="23" t="e">
        <f t="shared" si="0"/>
        <v>#VALUE!</v>
      </c>
      <c r="C24" s="23" t="e">
        <f t="shared" si="1"/>
        <v>#VALUE!</v>
      </c>
      <c r="D24" s="23" t="e">
        <f t="shared" si="2"/>
        <v>#VALUE!</v>
      </c>
      <c r="E24" s="23" t="e">
        <f t="shared" si="3"/>
        <v>#VALUE!</v>
      </c>
      <c r="F24" s="23" t="e">
        <f t="shared" si="4"/>
        <v>#VALUE!</v>
      </c>
      <c r="G24" s="23" t="e">
        <f t="shared" si="5"/>
        <v>#VALUE!</v>
      </c>
      <c r="H24" s="26" t="e">
        <f>IF((Resultat!$B$7&lt;=7),(G24+((Resultat!$B$5-Resultat!D35)*Resultat!$H$3)),(G24*Resultat!D35))</f>
        <v>#VALUE!</v>
      </c>
      <c r="I24" s="23" t="e">
        <f t="shared" si="6"/>
        <v>#VALUE!</v>
      </c>
      <c r="J24" s="26" t="e">
        <f t="shared" si="7"/>
        <v>#VALUE!</v>
      </c>
      <c r="K24" s="23" t="e">
        <f t="shared" si="8"/>
        <v>#VALUE!</v>
      </c>
      <c r="L24" s="26" t="e">
        <f t="shared" si="9"/>
        <v>#VALUE!</v>
      </c>
      <c r="M24" s="26">
        <f>ROUND((Resultat!D35*Resultat!$H$3),0)</f>
        <v>4494</v>
      </c>
      <c r="N24" s="26">
        <f t="shared" si="10"/>
        <v>1</v>
      </c>
      <c r="O24" s="26">
        <f t="shared" si="11"/>
        <v>894</v>
      </c>
      <c r="P24" s="23">
        <f t="shared" si="12"/>
        <v>14</v>
      </c>
      <c r="Q24" s="26">
        <f t="shared" si="13"/>
        <v>54</v>
      </c>
      <c r="R24" s="23">
        <f>IF((Resultat!$B$5&gt;Resultat!D35),ROUND(((Resultat!$B$5-Resultat!D35)*Resultat!$H$3),0),0)</f>
        <v>0</v>
      </c>
      <c r="S24" s="23">
        <f t="shared" si="14"/>
        <v>0</v>
      </c>
      <c r="T24" s="23">
        <f t="shared" si="15"/>
        <v>0</v>
      </c>
      <c r="U24" s="23">
        <f t="shared" si="16"/>
        <v>0</v>
      </c>
      <c r="V24" s="23">
        <f t="shared" si="17"/>
        <v>0</v>
      </c>
      <c r="W24" s="23" t="s">
        <v>83</v>
      </c>
    </row>
    <row r="25" spans="1:23" ht="12.75" customHeight="1" x14ac:dyDescent="0.2">
      <c r="A25" s="25" t="str">
        <f>Resultat!F36</f>
        <v xml:space="preserve">  </v>
      </c>
      <c r="B25" s="23" t="e">
        <f t="shared" ref="B25" si="18">HOUR(A25)</f>
        <v>#VALUE!</v>
      </c>
      <c r="C25" s="23" t="e">
        <f t="shared" ref="C25" si="19">B25*3600</f>
        <v>#VALUE!</v>
      </c>
      <c r="D25" s="23" t="e">
        <f t="shared" ref="D25" si="20">MINUTE(A25)</f>
        <v>#VALUE!</v>
      </c>
      <c r="E25" s="23" t="e">
        <f t="shared" ref="E25" si="21">D25*60</f>
        <v>#VALUE!</v>
      </c>
      <c r="F25" s="23" t="e">
        <f t="shared" ref="F25" si="22">SECOND(A25)</f>
        <v>#VALUE!</v>
      </c>
      <c r="G25" s="23" t="e">
        <f t="shared" ref="G25" si="23">(C25+E25)+F25</f>
        <v>#VALUE!</v>
      </c>
      <c r="H25" s="26" t="e">
        <f>IF((Resultat!$B$7&lt;=7),(G25+((Resultat!$B$5-Resultat!D36)*Resultat!$H$3)),(G25*Resultat!D36))</f>
        <v>#VALUE!</v>
      </c>
      <c r="I25" s="23" t="e">
        <f t="shared" ref="I25" si="24">ROUNDDOWN((H25/3600),0)</f>
        <v>#VALUE!</v>
      </c>
      <c r="J25" s="26" t="e">
        <f t="shared" ref="J25" si="25">MOD(H25,3600)</f>
        <v>#VALUE!</v>
      </c>
      <c r="K25" s="23" t="e">
        <f t="shared" ref="K25" si="26">INT((J25/60))</f>
        <v>#VALUE!</v>
      </c>
      <c r="L25" s="26" t="e">
        <f t="shared" ref="L25" si="27">MOD(J25,60)</f>
        <v>#VALUE!</v>
      </c>
      <c r="M25" s="26">
        <f>ROUND((Resultat!D36*Resultat!$H$3),0)</f>
        <v>4494</v>
      </c>
      <c r="N25" s="26"/>
      <c r="O25" s="26">
        <f t="shared" ref="O25" si="28">MOD(M25,3600)</f>
        <v>894</v>
      </c>
      <c r="P25" s="23">
        <f t="shared" ref="P25" si="29">INT((O25/60))</f>
        <v>14</v>
      </c>
      <c r="Q25" s="26">
        <f t="shared" ref="Q25" si="30">MOD(O25,60)</f>
        <v>54</v>
      </c>
      <c r="R25" s="23">
        <f>IF((Resultat!$B$5&gt;Resultat!D36),ROUND(((Resultat!$B$5-Resultat!D36)*Resultat!$H$3),0),0)</f>
        <v>0</v>
      </c>
      <c r="S25" s="23">
        <f t="shared" ref="S25" si="31">ROUNDDOWN((R25/3600),0)</f>
        <v>0</v>
      </c>
      <c r="T25" s="23">
        <f t="shared" ref="T25" si="32">MOD(R25,3600)</f>
        <v>0</v>
      </c>
      <c r="U25" s="23">
        <f t="shared" ref="U25" si="33">INT((T25/60))</f>
        <v>0</v>
      </c>
      <c r="V25" s="23">
        <f t="shared" si="17"/>
        <v>0</v>
      </c>
      <c r="W25" s="23" t="s">
        <v>124</v>
      </c>
    </row>
    <row r="26" spans="1:23" ht="12.75" customHeight="1" x14ac:dyDescent="0.2">
      <c r="A26" s="25">
        <f>Resultat!F37</f>
        <v>4.3576388888888873E-2</v>
      </c>
      <c r="B26" s="23">
        <f t="shared" si="0"/>
        <v>1</v>
      </c>
      <c r="C26" s="23">
        <f t="shared" si="1"/>
        <v>3600</v>
      </c>
      <c r="D26" s="23">
        <f t="shared" si="2"/>
        <v>2</v>
      </c>
      <c r="E26" s="23">
        <f t="shared" si="3"/>
        <v>120</v>
      </c>
      <c r="F26" s="23">
        <f t="shared" si="4"/>
        <v>45</v>
      </c>
      <c r="G26" s="23">
        <f t="shared" si="5"/>
        <v>3765</v>
      </c>
      <c r="H26" s="26">
        <f>IF((Resultat!$B$7&lt;=7),(G26+((Resultat!$B$5-Resultat!D37)*Resultat!$H$3)),(G26*Resultat!D37))</f>
        <v>4328.9840000000004</v>
      </c>
      <c r="I26" s="23">
        <f t="shared" si="6"/>
        <v>1</v>
      </c>
      <c r="J26" s="26">
        <f t="shared" si="7"/>
        <v>728.98400000000038</v>
      </c>
      <c r="K26" s="23">
        <f t="shared" si="8"/>
        <v>12</v>
      </c>
      <c r="L26" s="26">
        <f t="shared" si="9"/>
        <v>8.9840000000003783</v>
      </c>
      <c r="M26" s="26">
        <f>ROUND((Resultat!D37*Resultat!$H$3),0)</f>
        <v>3930</v>
      </c>
      <c r="N26" s="26">
        <f t="shared" si="10"/>
        <v>1</v>
      </c>
      <c r="O26" s="26">
        <f t="shared" si="11"/>
        <v>330</v>
      </c>
      <c r="P26" s="23">
        <f t="shared" si="12"/>
        <v>5</v>
      </c>
      <c r="Q26" s="26">
        <f t="shared" si="13"/>
        <v>30</v>
      </c>
      <c r="R26" s="23">
        <f>IF((Resultat!$B$5&gt;Resultat!D37),ROUND(((Resultat!$B$5-Resultat!D37)*Resultat!$H$3),0),0)</f>
        <v>564</v>
      </c>
      <c r="S26" s="23">
        <f t="shared" si="14"/>
        <v>0</v>
      </c>
      <c r="T26" s="23">
        <f t="shared" si="15"/>
        <v>564</v>
      </c>
      <c r="U26" s="23">
        <f t="shared" si="16"/>
        <v>9</v>
      </c>
      <c r="V26" s="23">
        <f t="shared" si="17"/>
        <v>24</v>
      </c>
      <c r="W26" s="23" t="s">
        <v>81</v>
      </c>
    </row>
    <row r="27" spans="1:23" ht="12.75" customHeight="1" x14ac:dyDescent="0.2">
      <c r="A27" s="25" t="str">
        <f>Resultat!F38</f>
        <v xml:space="preserve">  </v>
      </c>
      <c r="B27" s="23" t="e">
        <f t="shared" si="0"/>
        <v>#VALUE!</v>
      </c>
      <c r="C27" s="23" t="e">
        <f t="shared" si="1"/>
        <v>#VALUE!</v>
      </c>
      <c r="D27" s="23" t="e">
        <f t="shared" si="2"/>
        <v>#VALUE!</v>
      </c>
      <c r="E27" s="23" t="e">
        <f t="shared" si="3"/>
        <v>#VALUE!</v>
      </c>
      <c r="F27" s="23" t="e">
        <f t="shared" si="4"/>
        <v>#VALUE!</v>
      </c>
      <c r="G27" s="23" t="e">
        <f t="shared" si="5"/>
        <v>#VALUE!</v>
      </c>
      <c r="H27" s="26" t="e">
        <f>IF((Resultat!$B$7&lt;=7),(G27+((Resultat!$B$5-Resultat!D38)*Resultat!$H$3)),(G27*Resultat!D38))</f>
        <v>#VALUE!</v>
      </c>
      <c r="I27" s="23" t="e">
        <f t="shared" si="6"/>
        <v>#VALUE!</v>
      </c>
      <c r="J27" s="26" t="e">
        <f t="shared" si="7"/>
        <v>#VALUE!</v>
      </c>
      <c r="K27" s="23" t="e">
        <f t="shared" si="8"/>
        <v>#VALUE!</v>
      </c>
      <c r="L27" s="26" t="e">
        <f t="shared" si="9"/>
        <v>#VALUE!</v>
      </c>
      <c r="M27" s="26">
        <f>ROUND((Resultat!D38*Resultat!$H$3),0)</f>
        <v>3930</v>
      </c>
      <c r="N27" s="26">
        <f t="shared" si="10"/>
        <v>1</v>
      </c>
      <c r="O27" s="26">
        <f t="shared" si="11"/>
        <v>330</v>
      </c>
      <c r="P27" s="23">
        <f t="shared" si="12"/>
        <v>5</v>
      </c>
      <c r="Q27" s="26">
        <f t="shared" si="13"/>
        <v>30</v>
      </c>
      <c r="R27" s="23">
        <f>IF((Resultat!$B$5&gt;Resultat!D38),ROUND(((Resultat!$B$5-Resultat!D38)*Resultat!$H$3),0),0)</f>
        <v>564</v>
      </c>
      <c r="S27" s="23">
        <f t="shared" si="14"/>
        <v>0</v>
      </c>
      <c r="T27" s="23">
        <f t="shared" si="15"/>
        <v>564</v>
      </c>
      <c r="U27" s="23">
        <f t="shared" si="16"/>
        <v>9</v>
      </c>
      <c r="V27" s="23">
        <f t="shared" si="17"/>
        <v>24</v>
      </c>
      <c r="W27" s="23" t="s">
        <v>116</v>
      </c>
    </row>
    <row r="28" spans="1:23" ht="12.75" customHeight="1" x14ac:dyDescent="0.2">
      <c r="A28" s="25" t="str">
        <f>Resultat!F39</f>
        <v xml:space="preserve">  </v>
      </c>
      <c r="B28" s="23" t="e">
        <f>HOUR(A28)</f>
        <v>#VALUE!</v>
      </c>
      <c r="C28" s="23" t="e">
        <f>B28*3600</f>
        <v>#VALUE!</v>
      </c>
      <c r="D28" s="23" t="e">
        <f>MINUTE(A28)</f>
        <v>#VALUE!</v>
      </c>
      <c r="E28" s="23" t="e">
        <f>D28*60</f>
        <v>#VALUE!</v>
      </c>
      <c r="F28" s="23" t="e">
        <f>SECOND(A28)</f>
        <v>#VALUE!</v>
      </c>
      <c r="G28" s="23" t="e">
        <f>(C28+E28)+F28</f>
        <v>#VALUE!</v>
      </c>
      <c r="H28" s="26" t="e">
        <f>IF((Resultat!$B$7&lt;=7),(G28+((Resultat!$B$5-Resultat!D39)*Resultat!$H$3)),(G28*Resultat!D39))</f>
        <v>#VALUE!</v>
      </c>
      <c r="I28" s="23" t="e">
        <f>ROUNDDOWN((H28/3600),0)</f>
        <v>#VALUE!</v>
      </c>
      <c r="J28" s="26" t="e">
        <f>MOD(H28,3600)</f>
        <v>#VALUE!</v>
      </c>
      <c r="K28" s="23" t="e">
        <f>INT((J28/60))</f>
        <v>#VALUE!</v>
      </c>
      <c r="L28" s="26" t="e">
        <f>MOD(J28,60)</f>
        <v>#VALUE!</v>
      </c>
      <c r="M28" s="26">
        <f>ROUND((Resultat!D39*Resultat!$H$3),0)</f>
        <v>3432</v>
      </c>
      <c r="N28" s="26">
        <f t="shared" si="10"/>
        <v>0</v>
      </c>
      <c r="O28" s="26">
        <f t="shared" si="11"/>
        <v>3432</v>
      </c>
      <c r="P28" s="23">
        <f t="shared" si="12"/>
        <v>57</v>
      </c>
      <c r="Q28" s="26">
        <f t="shared" si="13"/>
        <v>12</v>
      </c>
      <c r="R28" s="23">
        <f>IF((Resultat!$B$5&gt;Resultat!D39),ROUND(((Resultat!$B$5-Resultat!D39)*Resultat!$H$3),0),0)</f>
        <v>1062</v>
      </c>
      <c r="S28" s="23">
        <f t="shared" si="14"/>
        <v>0</v>
      </c>
      <c r="T28" s="23">
        <f t="shared" si="15"/>
        <v>1062</v>
      </c>
      <c r="U28" s="23">
        <f t="shared" si="16"/>
        <v>17</v>
      </c>
      <c r="V28" s="23">
        <f t="shared" si="17"/>
        <v>42</v>
      </c>
      <c r="W28" s="23" t="s">
        <v>114</v>
      </c>
    </row>
    <row r="29" spans="1:23" ht="12.75" customHeight="1" x14ac:dyDescent="0.2">
      <c r="A29" s="25" t="str">
        <f>Resultat!F40</f>
        <v xml:space="preserve">  </v>
      </c>
      <c r="B29" s="23" t="e">
        <f>HOUR(A29)</f>
        <v>#VALUE!</v>
      </c>
      <c r="C29" s="23" t="e">
        <f>B29*3600</f>
        <v>#VALUE!</v>
      </c>
      <c r="D29" s="23" t="e">
        <f>MINUTE(A29)</f>
        <v>#VALUE!</v>
      </c>
      <c r="E29" s="23" t="e">
        <f>D29*60</f>
        <v>#VALUE!</v>
      </c>
      <c r="F29" s="23" t="e">
        <f>SECOND(A29)</f>
        <v>#VALUE!</v>
      </c>
      <c r="G29" s="23" t="e">
        <f>(C29+E29)+F29</f>
        <v>#VALUE!</v>
      </c>
      <c r="H29" s="26" t="e">
        <f>IF((Resultat!$B$7&lt;=7),(G29+((Resultat!$B$5-Resultat!D40)*Resultat!$H$3)),(G29*Resultat!D40))</f>
        <v>#VALUE!</v>
      </c>
      <c r="I29" s="23" t="e">
        <f>ROUNDDOWN((H29/3600),0)</f>
        <v>#VALUE!</v>
      </c>
      <c r="J29" s="26" t="e">
        <f>MOD(H29,3600)</f>
        <v>#VALUE!</v>
      </c>
      <c r="K29" s="23" t="e">
        <f>INT((J29/60))</f>
        <v>#VALUE!</v>
      </c>
      <c r="L29" s="26" t="e">
        <f>MOD(J29,60)</f>
        <v>#VALUE!</v>
      </c>
      <c r="M29" s="26">
        <f>ROUND((Resultat!D40*Resultat!$H$3),0)</f>
        <v>4417</v>
      </c>
      <c r="N29" s="26">
        <f t="shared" si="10"/>
        <v>1</v>
      </c>
      <c r="O29" s="26">
        <f t="shared" si="11"/>
        <v>817</v>
      </c>
      <c r="P29" s="23">
        <f t="shared" si="12"/>
        <v>13</v>
      </c>
      <c r="Q29" s="26">
        <f t="shared" si="13"/>
        <v>37</v>
      </c>
      <c r="R29" s="23">
        <f>IF((Resultat!$B$5&gt;Resultat!D40),ROUND(((Resultat!$B$5-Resultat!D40)*Resultat!$H$3),0),0)</f>
        <v>78</v>
      </c>
      <c r="S29" s="23">
        <f t="shared" si="14"/>
        <v>0</v>
      </c>
      <c r="T29" s="23">
        <f t="shared" si="15"/>
        <v>78</v>
      </c>
      <c r="U29" s="23">
        <f t="shared" si="16"/>
        <v>1</v>
      </c>
      <c r="V29" s="23">
        <f t="shared" si="17"/>
        <v>18</v>
      </c>
      <c r="W29" s="23" t="s">
        <v>121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Frank Husmark</cp:lastModifiedBy>
  <cp:lastPrinted>2016-08-31T18:55:29Z</cp:lastPrinted>
  <dcterms:created xsi:type="dcterms:W3CDTF">2013-05-01T13:39:40Z</dcterms:created>
  <dcterms:modified xsi:type="dcterms:W3CDTF">2016-09-11T08:48:26Z</dcterms:modified>
</cp:coreProperties>
</file>