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GC\ATES og PVT\"/>
    </mc:Choice>
  </mc:AlternateContent>
  <xr:revisionPtr revIDLastSave="0" documentId="8_{0F79D191-8730-4701-A3A1-C2F8DBCE3C6C}" xr6:coauthVersionLast="47" xr6:coauthVersionMax="47" xr10:uidLastSave="{00000000-0000-0000-0000-000000000000}"/>
  <bookViews>
    <workbookView xWindow="-110" yWindow="-110" windowWidth="19420" windowHeight="10420" activeTab="3" xr2:uid="{3BE5E683-F4F6-44BF-AFD3-30A859EF740A}"/>
  </bookViews>
  <sheets>
    <sheet name="VP grundvand" sheetId="6" r:id="rId1"/>
    <sheet name="VP udeluft" sheetId="5" r:id="rId2"/>
    <sheet name="Ark1" sheetId="1" r:id="rId3"/>
    <sheet name="PVT+LTSF+ATES+ST+VP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2" l="1"/>
  <c r="B73" i="2"/>
  <c r="B84" i="2" s="1"/>
  <c r="D39" i="6" l="1"/>
  <c r="D35" i="6"/>
  <c r="D33" i="6"/>
  <c r="D34" i="6" s="1"/>
  <c r="D31" i="6"/>
  <c r="D26" i="6"/>
  <c r="D25" i="6"/>
  <c r="D24" i="6"/>
  <c r="D24" i="5"/>
  <c r="D25" i="5" s="1"/>
  <c r="D26" i="5" s="1"/>
  <c r="D22" i="5"/>
  <c r="D21" i="5"/>
  <c r="D20" i="5"/>
  <c r="B81" i="2"/>
  <c r="B51" i="2"/>
  <c r="B47" i="2"/>
  <c r="B46" i="2"/>
  <c r="B54" i="2" s="1"/>
  <c r="B56" i="2" s="1"/>
  <c r="B45" i="2"/>
  <c r="B70" i="2"/>
  <c r="B52" i="2"/>
  <c r="B9" i="1"/>
  <c r="F9" i="1" s="1"/>
  <c r="F43" i="1" s="1"/>
  <c r="E45" i="1"/>
  <c r="C45" i="1"/>
  <c r="F38" i="1"/>
  <c r="F34" i="1"/>
  <c r="F32" i="1"/>
  <c r="F28" i="1"/>
  <c r="E28" i="1"/>
  <c r="D13" i="1"/>
  <c r="F13" i="1" s="1"/>
  <c r="D5" i="1"/>
  <c r="F5" i="1"/>
  <c r="B15" i="1" s="1"/>
  <c r="D15" i="1" s="1"/>
  <c r="C25" i="1" s="1"/>
  <c r="F45" i="1" s="1"/>
  <c r="D27" i="6" l="1"/>
  <c r="D28" i="6" s="1"/>
  <c r="D29" i="6" s="1"/>
  <c r="D30" i="5"/>
  <c r="D31" i="5" s="1"/>
  <c r="B48" i="2"/>
  <c r="B66" i="2" s="1"/>
  <c r="B55" i="2"/>
  <c r="B53" i="2"/>
  <c r="D9" i="1"/>
  <c r="E19" i="1"/>
  <c r="F19" i="1" s="1"/>
  <c r="F21" i="1" s="1"/>
  <c r="F36" i="1" s="1"/>
  <c r="F40" i="1" s="1"/>
  <c r="F47" i="1" s="1"/>
  <c r="B57" i="2" l="1"/>
  <c r="B68" i="2" s="1"/>
  <c r="B87" i="2"/>
  <c r="D40" i="6"/>
  <c r="D30" i="6"/>
  <c r="D27" i="5"/>
  <c r="B49" i="2"/>
  <c r="B58" i="2"/>
  <c r="B59" i="2" s="1"/>
  <c r="B67" i="2"/>
  <c r="B92" i="2" l="1"/>
  <c r="B60" i="2"/>
  <c r="B61" i="2" s="1"/>
  <c r="B62" i="2" s="1"/>
  <c r="B50" i="2"/>
  <c r="B63" i="2" s="1"/>
  <c r="B72" i="2"/>
  <c r="B75" i="2" s="1"/>
  <c r="B85" i="2" s="1"/>
  <c r="B76" i="2"/>
  <c r="B78" i="2" s="1"/>
  <c r="D36" i="6"/>
  <c r="D32" i="6"/>
  <c r="D23" i="5"/>
  <c r="D28" i="5" s="1"/>
  <c r="B64" i="2" l="1"/>
  <c r="B77" i="2"/>
  <c r="B79" i="2" s="1"/>
  <c r="D37" i="6"/>
  <c r="B65" i="2" l="1"/>
  <c r="B69" i="2" s="1"/>
  <c r="B71" i="2" s="1"/>
  <c r="B86" i="2"/>
  <c r="B88" i="2" s="1"/>
  <c r="B90" i="2" s="1"/>
  <c r="B82" i="2"/>
  <c r="B83" i="2" s="1"/>
  <c r="B89" i="2" s="1"/>
  <c r="B80" i="2"/>
  <c r="B91" i="2" l="1"/>
  <c r="B94" i="2" s="1"/>
  <c r="B93" i="2"/>
  <c r="B95" i="2" s="1"/>
  <c r="B96" i="2" s="1"/>
  <c r="B97" i="2" s="1"/>
</calcChain>
</file>

<file path=xl/sharedStrings.xml><?xml version="1.0" encoding="utf-8"?>
<sst xmlns="http://schemas.openxmlformats.org/spreadsheetml/2006/main" count="338" uniqueCount="162">
  <si>
    <t>AVEDØRE STATIONSBY</t>
  </si>
  <si>
    <t>PVT</t>
  </si>
  <si>
    <t>Varmeproduktion</t>
  </si>
  <si>
    <t>kWh/m2/år</t>
  </si>
  <si>
    <t>m2</t>
  </si>
  <si>
    <t>MWh/år</t>
  </si>
  <si>
    <t>kW</t>
  </si>
  <si>
    <t>W/m2</t>
  </si>
  <si>
    <t>Grundvandssystem</t>
  </si>
  <si>
    <t>m3/h/dipol</t>
  </si>
  <si>
    <t>Antal dipoler</t>
  </si>
  <si>
    <t>m3/h</t>
  </si>
  <si>
    <t>Opvarmning oC</t>
  </si>
  <si>
    <t>Lagringskapacitet kW</t>
  </si>
  <si>
    <t>Ståltank (VAK)</t>
  </si>
  <si>
    <t>Lagringskapacitet MWh over 8 timer</t>
  </si>
  <si>
    <t>Aktivt vandvolumen m3</t>
  </si>
  <si>
    <t>Varmepumpe</t>
  </si>
  <si>
    <t>COP</t>
  </si>
  <si>
    <t>Lagringsvirkningsgrad</t>
  </si>
  <si>
    <t>Til Lager MWh</t>
  </si>
  <si>
    <t>Fra lager MWh</t>
  </si>
  <si>
    <t>Varmeproduktion MWh/år</t>
  </si>
  <si>
    <t>Investering</t>
  </si>
  <si>
    <t>Grundvand</t>
  </si>
  <si>
    <t>Ståltank</t>
  </si>
  <si>
    <t>Lejligheder</t>
  </si>
  <si>
    <t>Antal</t>
  </si>
  <si>
    <t>Dim. Varmebehow MWh/år</t>
  </si>
  <si>
    <t>Samlet varmebehov MWh/år</t>
  </si>
  <si>
    <t>Pris for 1. dipol inkl. Styringssystem</t>
  </si>
  <si>
    <t>Pris for næstfølgende dipoler</t>
  </si>
  <si>
    <t>Grundvandssystem i  alt mio. kr.</t>
  </si>
  <si>
    <t>Varmepumpe i alt mo. Kr.</t>
  </si>
  <si>
    <t>Pris pr. kW varmeydelse</t>
  </si>
  <si>
    <t>Pris pr. m2</t>
  </si>
  <si>
    <t>PVT-anlæg i alt</t>
  </si>
  <si>
    <t>Pris pr. m3</t>
  </si>
  <si>
    <t>Ståltank i alt</t>
  </si>
  <si>
    <t>Investering i alt</t>
  </si>
  <si>
    <t>Elpris kr./MWh</t>
  </si>
  <si>
    <t>Varmeproduktionspris kr./MWh</t>
  </si>
  <si>
    <t>Varmekøbspris i dag kr./MWh</t>
  </si>
  <si>
    <t>Besparelse varmeindkøb</t>
  </si>
  <si>
    <t>TBT (år)</t>
  </si>
  <si>
    <t>Besparelse mill kr. kr./år</t>
  </si>
  <si>
    <t>Elproduktion</t>
  </si>
  <si>
    <t>Elbesparelse PVT</t>
  </si>
  <si>
    <t xml:space="preserve">Besparelse mill kr./år </t>
  </si>
  <si>
    <t>Dim. Varmebehov kW</t>
  </si>
  <si>
    <t>Samlet varmebehov kW</t>
  </si>
  <si>
    <t>Varmebehov i alt</t>
  </si>
  <si>
    <t>Varmeeffektbehov</t>
  </si>
  <si>
    <t>%</t>
  </si>
  <si>
    <t>timer</t>
  </si>
  <si>
    <t>MWh</t>
  </si>
  <si>
    <t>oC</t>
  </si>
  <si>
    <t>m3</t>
  </si>
  <si>
    <t>Tankkapacicet m3</t>
  </si>
  <si>
    <t>PVT areal</t>
  </si>
  <si>
    <t>Grundvandsydelse pr. dipol</t>
  </si>
  <si>
    <t>m3/time</t>
  </si>
  <si>
    <t>Grundvandsydelse i alt</t>
  </si>
  <si>
    <t>Investeringsomkostning 1. dipol inkl. styringssystem</t>
  </si>
  <si>
    <t>Investeringsomkostning næstfølgende dipoler</t>
  </si>
  <si>
    <t>mill kr./stk.</t>
  </si>
  <si>
    <t>kr./m2</t>
  </si>
  <si>
    <t>Investeringsomfang PVT</t>
  </si>
  <si>
    <t>kr./m3</t>
  </si>
  <si>
    <t xml:space="preserve">Tank </t>
  </si>
  <si>
    <t>kr/kW</t>
  </si>
  <si>
    <t>Investeringsomfang grundvandssystem inkl. Styringer</t>
  </si>
  <si>
    <t>Investeringsomfang tanke</t>
  </si>
  <si>
    <t>Investeringsomfang varmepumpe</t>
  </si>
  <si>
    <t>INVESTERINGSOMFANG I ALT</t>
  </si>
  <si>
    <t>Elforbrug varmepumpe</t>
  </si>
  <si>
    <t>kr/MWh</t>
  </si>
  <si>
    <t>mill. Kr./år</t>
  </si>
  <si>
    <t>Elomkostning varmepumper</t>
  </si>
  <si>
    <t>Elproduktion PVT</t>
  </si>
  <si>
    <t>Netto Eludgift</t>
  </si>
  <si>
    <t>Netto varmeproduktionspris</t>
  </si>
  <si>
    <t>kr./MWh</t>
  </si>
  <si>
    <t>Varme indkøbspris i dag</t>
  </si>
  <si>
    <t>Besparelse</t>
  </si>
  <si>
    <t>TBT</t>
  </si>
  <si>
    <t>år</t>
  </si>
  <si>
    <t>SCOP varmepumpe</t>
  </si>
  <si>
    <t>Grundvand afkøling under varmelevering</t>
  </si>
  <si>
    <t>Varmeydelse grundvand pr. dipol</t>
  </si>
  <si>
    <t>Varmeeffekt nødvendig fra grundvand</t>
  </si>
  <si>
    <t>Varmemængde nødvendig fra grundvand</t>
  </si>
  <si>
    <t>Grundvand maksimal køleydelse under varmelagring</t>
  </si>
  <si>
    <t>Fjernvarme baseret på LT solvarme+ATES+varmepumpe</t>
  </si>
  <si>
    <t>LT solvarme varmeproduktion</t>
  </si>
  <si>
    <t>Lagringsvirkningsgrad ATES</t>
  </si>
  <si>
    <t>Varme til ATES fra LT solfangere</t>
  </si>
  <si>
    <t>LT solvarme areal</t>
  </si>
  <si>
    <t>Fjernvarme baseret på PVT+ATES+varmepumpe</t>
  </si>
  <si>
    <t>PVT solvarme varmeproduktion</t>
  </si>
  <si>
    <t>Varme til ATES fra PVT</t>
  </si>
  <si>
    <t>PVT solvarme max produktion</t>
  </si>
  <si>
    <t>LT solvarme max produktion</t>
  </si>
  <si>
    <t>LT+PVT max produktion</t>
  </si>
  <si>
    <t>LT + PVT solvarme max produktion</t>
  </si>
  <si>
    <t>Lagring i grundvand under max. solvarme produktion (8 timer)</t>
  </si>
  <si>
    <t>Lagring i tank under max. solvarme produktion (8 timer)</t>
  </si>
  <si>
    <t>LT+PVT solvarme korttidslager tankkapacitet</t>
  </si>
  <si>
    <t>Investeringsomfang LT solfangere</t>
  </si>
  <si>
    <t xml:space="preserve">mill. kr. </t>
  </si>
  <si>
    <t>Afregningspris PVT-strøm</t>
  </si>
  <si>
    <t>BEREGNINGER</t>
  </si>
  <si>
    <t>INDDATA</t>
  </si>
  <si>
    <t>SMART ENERGY GREEN CITIES</t>
  </si>
  <si>
    <t>Avedøre Stationsby</t>
  </si>
  <si>
    <t>Enopsol ApS_SNS</t>
  </si>
  <si>
    <t>Løsning med PVT med og uden lavtemperatur solvarme+ATES+ståltank+vand/vand varmepumpe</t>
  </si>
  <si>
    <t>Løsning med udelut/vand varmepumpe</t>
  </si>
  <si>
    <t>Varmepumpe med udeluftsoptager</t>
  </si>
  <si>
    <t>Elpris (gennemsnitlig købspris til varmepumpedrift)</t>
  </si>
  <si>
    <t>Varmeeffekt nødvendig fra udeluft</t>
  </si>
  <si>
    <t>Varmemængde nødvendig fra udeluft</t>
  </si>
  <si>
    <t>Investeringsomfang varmepumpe med udeluftsoptager</t>
  </si>
  <si>
    <t>Besparelse primær energiforbrug</t>
  </si>
  <si>
    <t>Løsning med grundvandsbaseret vand/vand varmepumpe</t>
  </si>
  <si>
    <t>Grundvand maksimal varmeeydelse under varmelagring</t>
  </si>
  <si>
    <t>Varmeydelse maksimalt grundvand pr. dipol</t>
  </si>
  <si>
    <t>Maksimal grundvandsindvinding</t>
  </si>
  <si>
    <t>m3/år</t>
  </si>
  <si>
    <t>Grundvandsindvinding primær varmelaging</t>
  </si>
  <si>
    <t>Grundvandsindvinding primær varmeproduktion</t>
  </si>
  <si>
    <t>SCOP varmepumpe primær varmeproduktion</t>
  </si>
  <si>
    <t>SCOP varmepumpe sekundær varmeproduktion</t>
  </si>
  <si>
    <t>Grundvand afkøling under primær varmelevering</t>
  </si>
  <si>
    <t>Grundvand afkøling under sekundær varmelevering</t>
  </si>
  <si>
    <t>Max varmeydelse varmepumpe under sekundær varmeproduktion</t>
  </si>
  <si>
    <t>Max varmeydelse grundvand under sekundær varmeproduktion</t>
  </si>
  <si>
    <t>Max grundvandsindvinding sekundær varmeproduktion</t>
  </si>
  <si>
    <t>Max varmeproduktion grundvand under sekumdær varmeproduktion</t>
  </si>
  <si>
    <t>Max varmeproduktion sekundær varmeproduktion</t>
  </si>
  <si>
    <t>Elforbrug varmepumpe primær drift</t>
  </si>
  <si>
    <t>Elforbrug varmepumpe sekundær drift</t>
  </si>
  <si>
    <t>Elforbrug varmepumper i alt</t>
  </si>
  <si>
    <t>Elforbrug grundvandspumpning primær drift</t>
  </si>
  <si>
    <t>Elforbrug grundvandspumpning</t>
  </si>
  <si>
    <t>kWh/m3</t>
  </si>
  <si>
    <t>Elforbrug pumpning af vand</t>
  </si>
  <si>
    <t>Elforbrug pumpning af glykolvand</t>
  </si>
  <si>
    <t>Elforbrug grundvandspumpning sekundær drift</t>
  </si>
  <si>
    <t>Elforbrug pumpning af vand til og fra VAK</t>
  </si>
  <si>
    <t>Elforbrug pumpning af grundvand, glykolvand og vand til og fra VAK</t>
  </si>
  <si>
    <t>Eludgift varmepumper</t>
  </si>
  <si>
    <t>Eludgift pumpning af grundvand, glykolvand og vand til og fra VAK</t>
  </si>
  <si>
    <t>Eludgift i alt</t>
  </si>
  <si>
    <t>Max varmeproduktion i alt</t>
  </si>
  <si>
    <t>Brutto varmeproduktionspris</t>
  </si>
  <si>
    <t>max produktion</t>
  </si>
  <si>
    <t>Lagring ATES 8 timer</t>
  </si>
  <si>
    <t>Lagring tank 8 timer</t>
  </si>
  <si>
    <t>Max produktion</t>
  </si>
  <si>
    <t>Tilgangtemperatur</t>
  </si>
  <si>
    <t>Afgangstemperatur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</si>
</sst>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3" borderId="0" xfId="0" applyFill="1"/>
    <xf numFmtId="0" fontId="0" fillId="4" borderId="0" xfId="0" applyFill="1"/>
    <xf numFmtId="1" fontId="0" fillId="3" borderId="0" xfId="0" applyNumberFormat="1" applyFill="1"/>
    <xf numFmtId="1" fontId="0" fillId="4" borderId="0" xfId="0" applyNumberFormat="1" applyFill="1"/>
    <xf numFmtId="2" fontId="0" fillId="4" borderId="0" xfId="0" applyNumberFormat="1" applyFill="1"/>
    <xf numFmtId="164" fontId="0" fillId="4" borderId="0" xfId="0" applyNumberFormat="1" applyFill="1"/>
    <xf numFmtId="0" fontId="2" fillId="0" borderId="0" xfId="0" applyFont="1"/>
    <xf numFmtId="2" fontId="0" fillId="3" borderId="0" xfId="0" applyNumberFormat="1" applyFill="1"/>
    <xf numFmtId="0" fontId="3" fillId="0" borderId="0" xfId="0" applyFont="1"/>
    <xf numFmtId="2" fontId="3" fillId="4" borderId="0" xfId="0" applyNumberFormat="1" applyFont="1" applyFill="1"/>
    <xf numFmtId="0" fontId="0" fillId="0" borderId="0" xfId="0" applyFont="1"/>
    <xf numFmtId="1" fontId="0" fillId="4" borderId="0" xfId="0" applyNumberFormat="1" applyFont="1" applyFill="1"/>
    <xf numFmtId="17" fontId="0" fillId="0" borderId="0" xfId="0" applyNumberFormat="1"/>
    <xf numFmtId="17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378D-6545-4269-A430-482E17C61FCB}">
  <dimension ref="C2:E40"/>
  <sheetViews>
    <sheetView topLeftCell="A16" workbookViewId="0">
      <selection activeCell="F40" sqref="F40"/>
    </sheetView>
  </sheetViews>
  <sheetFormatPr defaultRowHeight="14.5" x14ac:dyDescent="0.35"/>
  <cols>
    <col min="3" max="3" width="88.26953125" bestFit="1" customWidth="1"/>
    <col min="4" max="4" width="12" bestFit="1" customWidth="1"/>
    <col min="5" max="5" width="11.1796875" bestFit="1" customWidth="1"/>
  </cols>
  <sheetData>
    <row r="2" spans="3:5" x14ac:dyDescent="0.35">
      <c r="C2" t="s">
        <v>113</v>
      </c>
    </row>
    <row r="3" spans="3:5" x14ac:dyDescent="0.35">
      <c r="C3" t="s">
        <v>114</v>
      </c>
    </row>
    <row r="5" spans="3:5" x14ac:dyDescent="0.35">
      <c r="C5" t="s">
        <v>124</v>
      </c>
    </row>
    <row r="7" spans="3:5" x14ac:dyDescent="0.35">
      <c r="C7" t="s">
        <v>115</v>
      </c>
    </row>
    <row r="9" spans="3:5" x14ac:dyDescent="0.35">
      <c r="C9" s="12" t="s">
        <v>112</v>
      </c>
    </row>
    <row r="11" spans="3:5" x14ac:dyDescent="0.35">
      <c r="C11" t="s">
        <v>52</v>
      </c>
      <c r="D11" s="6">
        <v>2500</v>
      </c>
      <c r="E11" t="s">
        <v>6</v>
      </c>
    </row>
    <row r="12" spans="3:5" x14ac:dyDescent="0.35">
      <c r="C12" t="s">
        <v>51</v>
      </c>
      <c r="D12" s="6">
        <v>5000</v>
      </c>
      <c r="E12" t="s">
        <v>5</v>
      </c>
    </row>
    <row r="13" spans="3:5" x14ac:dyDescent="0.35">
      <c r="C13" t="s">
        <v>87</v>
      </c>
      <c r="D13" s="6">
        <v>4.5</v>
      </c>
    </row>
    <row r="14" spans="3:5" x14ac:dyDescent="0.35">
      <c r="C14" t="s">
        <v>88</v>
      </c>
      <c r="D14" s="6">
        <v>7</v>
      </c>
      <c r="E14" t="s">
        <v>56</v>
      </c>
    </row>
    <row r="15" spans="3:5" x14ac:dyDescent="0.35">
      <c r="C15" t="s">
        <v>60</v>
      </c>
      <c r="D15" s="6">
        <v>40</v>
      </c>
      <c r="E15" t="s">
        <v>61</v>
      </c>
    </row>
    <row r="16" spans="3:5" x14ac:dyDescent="0.35">
      <c r="C16" t="s">
        <v>63</v>
      </c>
      <c r="D16" s="6">
        <v>3</v>
      </c>
      <c r="E16" t="s">
        <v>65</v>
      </c>
    </row>
    <row r="17" spans="3:5" x14ac:dyDescent="0.35">
      <c r="C17" t="s">
        <v>64</v>
      </c>
      <c r="D17" s="6">
        <v>2</v>
      </c>
      <c r="E17" t="s">
        <v>65</v>
      </c>
    </row>
    <row r="18" spans="3:5" x14ac:dyDescent="0.35">
      <c r="C18" t="s">
        <v>17</v>
      </c>
      <c r="D18" s="6">
        <v>4000</v>
      </c>
      <c r="E18" t="s">
        <v>70</v>
      </c>
    </row>
    <row r="19" spans="3:5" x14ac:dyDescent="0.35">
      <c r="C19" t="s">
        <v>119</v>
      </c>
      <c r="D19" s="6">
        <v>600</v>
      </c>
      <c r="E19" t="s">
        <v>76</v>
      </c>
    </row>
    <row r="20" spans="3:5" x14ac:dyDescent="0.35">
      <c r="C20" t="s">
        <v>83</v>
      </c>
      <c r="D20" s="6">
        <v>550</v>
      </c>
      <c r="E20" t="s">
        <v>82</v>
      </c>
    </row>
    <row r="21" spans="3:5" x14ac:dyDescent="0.35">
      <c r="D21" s="5"/>
    </row>
    <row r="22" spans="3:5" x14ac:dyDescent="0.35">
      <c r="C22" s="12" t="s">
        <v>111</v>
      </c>
      <c r="D22" s="5"/>
    </row>
    <row r="24" spans="3:5" x14ac:dyDescent="0.35">
      <c r="C24" t="s">
        <v>90</v>
      </c>
      <c r="D24" s="9">
        <f>D11*(D13-1)/D13</f>
        <v>1944.4444444444443</v>
      </c>
      <c r="E24" t="s">
        <v>6</v>
      </c>
    </row>
    <row r="25" spans="3:5" x14ac:dyDescent="0.35">
      <c r="C25" t="s">
        <v>91</v>
      </c>
      <c r="D25" s="9">
        <f>D12*(D13-1)/D13</f>
        <v>3888.8888888888887</v>
      </c>
      <c r="E25" t="s">
        <v>5</v>
      </c>
    </row>
    <row r="26" spans="3:5" x14ac:dyDescent="0.35">
      <c r="C26" t="s">
        <v>89</v>
      </c>
      <c r="D26" s="7">
        <f>1.16*D15*D14</f>
        <v>324.8</v>
      </c>
      <c r="E26" t="s">
        <v>6</v>
      </c>
    </row>
    <row r="27" spans="3:5" x14ac:dyDescent="0.35">
      <c r="C27" t="s">
        <v>10</v>
      </c>
      <c r="D27" s="7">
        <f>1+INT(D24/D26)</f>
        <v>6</v>
      </c>
    </row>
    <row r="28" spans="3:5" x14ac:dyDescent="0.35">
      <c r="C28" t="s">
        <v>62</v>
      </c>
      <c r="D28" s="7">
        <f>D27*D15</f>
        <v>240</v>
      </c>
      <c r="E28" t="s">
        <v>61</v>
      </c>
    </row>
    <row r="29" spans="3:5" x14ac:dyDescent="0.35">
      <c r="C29" t="s">
        <v>125</v>
      </c>
      <c r="D29" s="7">
        <f>D28*1.16*D14</f>
        <v>1948.7999999999997</v>
      </c>
      <c r="E29" t="s">
        <v>6</v>
      </c>
    </row>
    <row r="30" spans="3:5" x14ac:dyDescent="0.35">
      <c r="C30" t="s">
        <v>71</v>
      </c>
      <c r="D30" s="7">
        <f>D16+(D27-1)*D17</f>
        <v>13</v>
      </c>
      <c r="E30" t="s">
        <v>109</v>
      </c>
    </row>
    <row r="31" spans="3:5" x14ac:dyDescent="0.35">
      <c r="C31" t="s">
        <v>73</v>
      </c>
      <c r="D31" s="11">
        <f>D11*D18/1000/1000</f>
        <v>10</v>
      </c>
      <c r="E31" t="s">
        <v>109</v>
      </c>
    </row>
    <row r="32" spans="3:5" x14ac:dyDescent="0.35">
      <c r="C32" t="s">
        <v>74</v>
      </c>
      <c r="D32" s="11">
        <f>SUM(D30:D31)</f>
        <v>23</v>
      </c>
      <c r="E32" t="s">
        <v>109</v>
      </c>
    </row>
    <row r="33" spans="3:5" x14ac:dyDescent="0.35">
      <c r="C33" t="s">
        <v>75</v>
      </c>
      <c r="D33" s="9">
        <f>D12/D13</f>
        <v>1111.1111111111111</v>
      </c>
      <c r="E33" t="s">
        <v>5</v>
      </c>
    </row>
    <row r="34" spans="3:5" x14ac:dyDescent="0.35">
      <c r="C34" t="s">
        <v>78</v>
      </c>
      <c r="D34" s="10">
        <f>D33*D19/1000/1000</f>
        <v>0.66666666666666663</v>
      </c>
      <c r="E34" t="s">
        <v>77</v>
      </c>
    </row>
    <row r="35" spans="3:5" x14ac:dyDescent="0.35">
      <c r="C35" t="s">
        <v>81</v>
      </c>
      <c r="D35" s="9">
        <f>1000*1000*D34/D12</f>
        <v>133.33333333333331</v>
      </c>
      <c r="E35" t="s">
        <v>82</v>
      </c>
    </row>
    <row r="36" spans="3:5" x14ac:dyDescent="0.35">
      <c r="C36" t="s">
        <v>84</v>
      </c>
      <c r="D36" s="9">
        <f>D20-D35</f>
        <v>416.66666666666669</v>
      </c>
      <c r="E36" t="s">
        <v>82</v>
      </c>
    </row>
    <row r="37" spans="3:5" x14ac:dyDescent="0.35">
      <c r="C37" t="s">
        <v>85</v>
      </c>
      <c r="D37" s="11">
        <f>1000*1000*D32/(D36*D12)</f>
        <v>11.04</v>
      </c>
      <c r="E37" t="s">
        <v>86</v>
      </c>
    </row>
    <row r="39" spans="3:5" x14ac:dyDescent="0.35">
      <c r="C39" t="s">
        <v>123</v>
      </c>
      <c r="D39" s="1">
        <f>D12-D33</f>
        <v>3888.8888888888887</v>
      </c>
      <c r="E39" t="s">
        <v>5</v>
      </c>
    </row>
    <row r="40" spans="3:5" x14ac:dyDescent="0.35">
      <c r="C40" t="s">
        <v>123</v>
      </c>
      <c r="D40" s="1">
        <f>100*D39/D12</f>
        <v>77.777777777777771</v>
      </c>
      <c r="E40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F8AC-5E3B-445E-8FC0-70378C2B3BCE}">
  <dimension ref="C2:E31"/>
  <sheetViews>
    <sheetView workbookViewId="0">
      <selection activeCell="I24" sqref="I24"/>
    </sheetView>
  </sheetViews>
  <sheetFormatPr defaultRowHeight="14.5" x14ac:dyDescent="0.35"/>
  <cols>
    <col min="3" max="3" width="88.26953125" bestFit="1" customWidth="1"/>
    <col min="4" max="4" width="12" bestFit="1" customWidth="1"/>
    <col min="5" max="5" width="11.1796875" bestFit="1" customWidth="1"/>
  </cols>
  <sheetData>
    <row r="2" spans="3:5" x14ac:dyDescent="0.35">
      <c r="C2" t="s">
        <v>113</v>
      </c>
    </row>
    <row r="3" spans="3:5" x14ac:dyDescent="0.35">
      <c r="C3" t="s">
        <v>114</v>
      </c>
    </row>
    <row r="5" spans="3:5" x14ac:dyDescent="0.35">
      <c r="C5" t="s">
        <v>117</v>
      </c>
    </row>
    <row r="7" spans="3:5" x14ac:dyDescent="0.35">
      <c r="C7" t="s">
        <v>115</v>
      </c>
    </row>
    <row r="9" spans="3:5" x14ac:dyDescent="0.35">
      <c r="C9" s="12" t="s">
        <v>112</v>
      </c>
    </row>
    <row r="11" spans="3:5" x14ac:dyDescent="0.35">
      <c r="C11" t="s">
        <v>52</v>
      </c>
      <c r="D11" s="6">
        <v>2500</v>
      </c>
      <c r="E11" t="s">
        <v>6</v>
      </c>
    </row>
    <row r="12" spans="3:5" x14ac:dyDescent="0.35">
      <c r="C12" t="s">
        <v>51</v>
      </c>
      <c r="D12" s="6">
        <v>5000</v>
      </c>
      <c r="E12" t="s">
        <v>5</v>
      </c>
    </row>
    <row r="13" spans="3:5" x14ac:dyDescent="0.35">
      <c r="C13" t="s">
        <v>87</v>
      </c>
      <c r="D13" s="6">
        <v>3</v>
      </c>
    </row>
    <row r="14" spans="3:5" x14ac:dyDescent="0.35">
      <c r="C14" t="s">
        <v>118</v>
      </c>
      <c r="D14" s="6">
        <v>5000</v>
      </c>
      <c r="E14" t="s">
        <v>70</v>
      </c>
    </row>
    <row r="15" spans="3:5" x14ac:dyDescent="0.35">
      <c r="C15" t="s">
        <v>119</v>
      </c>
      <c r="D15" s="6">
        <v>600</v>
      </c>
      <c r="E15" t="s">
        <v>76</v>
      </c>
    </row>
    <row r="16" spans="3:5" x14ac:dyDescent="0.35">
      <c r="C16" t="s">
        <v>83</v>
      </c>
      <c r="D16" s="6">
        <v>550</v>
      </c>
      <c r="E16" t="s">
        <v>82</v>
      </c>
    </row>
    <row r="17" spans="3:5" x14ac:dyDescent="0.35">
      <c r="D17" s="5"/>
    </row>
    <row r="18" spans="3:5" x14ac:dyDescent="0.35">
      <c r="C18" s="12" t="s">
        <v>111</v>
      </c>
      <c r="D18" s="5"/>
    </row>
    <row r="20" spans="3:5" x14ac:dyDescent="0.35">
      <c r="C20" t="s">
        <v>120</v>
      </c>
      <c r="D20" s="9">
        <f>D11*(D13-1)/D13</f>
        <v>1666.6666666666667</v>
      </c>
      <c r="E20" t="s">
        <v>6</v>
      </c>
    </row>
    <row r="21" spans="3:5" x14ac:dyDescent="0.35">
      <c r="C21" t="s">
        <v>121</v>
      </c>
      <c r="D21" s="9">
        <f>D12*(D13-1)/D13</f>
        <v>3333.3333333333335</v>
      </c>
      <c r="E21" t="s">
        <v>5</v>
      </c>
    </row>
    <row r="22" spans="3:5" x14ac:dyDescent="0.35">
      <c r="C22" t="s">
        <v>122</v>
      </c>
      <c r="D22" s="11">
        <f>D11*D14/1000/1000</f>
        <v>12.5</v>
      </c>
      <c r="E22" t="s">
        <v>109</v>
      </c>
    </row>
    <row r="23" spans="3:5" x14ac:dyDescent="0.35">
      <c r="C23" t="s">
        <v>74</v>
      </c>
      <c r="D23" s="11">
        <f>SUM(D22:D22)</f>
        <v>12.5</v>
      </c>
      <c r="E23" t="s">
        <v>109</v>
      </c>
    </row>
    <row r="24" spans="3:5" x14ac:dyDescent="0.35">
      <c r="C24" t="s">
        <v>75</v>
      </c>
      <c r="D24" s="9">
        <f>D12/D13</f>
        <v>1666.6666666666667</v>
      </c>
      <c r="E24" t="s">
        <v>5</v>
      </c>
    </row>
    <row r="25" spans="3:5" x14ac:dyDescent="0.35">
      <c r="C25" t="s">
        <v>78</v>
      </c>
      <c r="D25" s="10">
        <f>D24*D15/1000/1000</f>
        <v>1</v>
      </c>
      <c r="E25" t="s">
        <v>77</v>
      </c>
    </row>
    <row r="26" spans="3:5" x14ac:dyDescent="0.35">
      <c r="C26" t="s">
        <v>81</v>
      </c>
      <c r="D26" s="9">
        <f>1000*1000*D25/D12</f>
        <v>200</v>
      </c>
      <c r="E26" t="s">
        <v>82</v>
      </c>
    </row>
    <row r="27" spans="3:5" x14ac:dyDescent="0.35">
      <c r="C27" t="s">
        <v>84</v>
      </c>
      <c r="D27" s="9">
        <f>D16-D26</f>
        <v>350</v>
      </c>
      <c r="E27" t="s">
        <v>82</v>
      </c>
    </row>
    <row r="28" spans="3:5" x14ac:dyDescent="0.35">
      <c r="C28" t="s">
        <v>85</v>
      </c>
      <c r="D28" s="11">
        <f>1000*1000*D23/(D27*D12)</f>
        <v>7.1428571428571432</v>
      </c>
      <c r="E28" t="s">
        <v>86</v>
      </c>
    </row>
    <row r="30" spans="3:5" x14ac:dyDescent="0.35">
      <c r="C30" t="s">
        <v>123</v>
      </c>
      <c r="D30" s="1">
        <f>D12-D24</f>
        <v>3333.333333333333</v>
      </c>
      <c r="E30" t="s">
        <v>5</v>
      </c>
    </row>
    <row r="31" spans="3:5" x14ac:dyDescent="0.35">
      <c r="C31" t="s">
        <v>123</v>
      </c>
      <c r="D31" s="1">
        <f>100*D30/D12</f>
        <v>66.666666666666657</v>
      </c>
      <c r="E31" t="s">
        <v>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8EC2-F9DD-4AD8-8D23-FBA95DA78710}">
  <dimension ref="A1:F47"/>
  <sheetViews>
    <sheetView workbookViewId="0">
      <selection activeCell="E9" sqref="E9"/>
    </sheetView>
  </sheetViews>
  <sheetFormatPr defaultRowHeight="14.5" x14ac:dyDescent="0.35"/>
  <cols>
    <col min="1" max="1" width="18.1796875" bestFit="1" customWidth="1"/>
    <col min="2" max="2" width="16.26953125" bestFit="1" customWidth="1"/>
    <col min="3" max="3" width="33" bestFit="1" customWidth="1"/>
    <col min="4" max="4" width="25.81640625" bestFit="1" customWidth="1"/>
    <col min="5" max="5" width="19.81640625" bestFit="1" customWidth="1"/>
    <col min="6" max="6" width="33.26953125" bestFit="1" customWidth="1"/>
  </cols>
  <sheetData>
    <row r="1" spans="1:6" x14ac:dyDescent="0.35">
      <c r="A1" t="s">
        <v>0</v>
      </c>
    </row>
    <row r="3" spans="1:6" x14ac:dyDescent="0.35">
      <c r="A3" t="s">
        <v>1</v>
      </c>
      <c r="B3" s="20" t="s">
        <v>2</v>
      </c>
      <c r="C3" s="21"/>
      <c r="D3" s="21"/>
      <c r="E3" s="21"/>
      <c r="F3" s="22"/>
    </row>
    <row r="4" spans="1:6" x14ac:dyDescent="0.35">
      <c r="B4" t="s">
        <v>4</v>
      </c>
      <c r="C4" t="s">
        <v>7</v>
      </c>
      <c r="D4" t="s">
        <v>6</v>
      </c>
      <c r="E4" t="s">
        <v>3</v>
      </c>
      <c r="F4" t="s">
        <v>5</v>
      </c>
    </row>
    <row r="5" spans="1:6" x14ac:dyDescent="0.35">
      <c r="B5" s="2">
        <v>7150</v>
      </c>
      <c r="C5" s="2">
        <v>500</v>
      </c>
      <c r="D5">
        <f>B5*C5/1000</f>
        <v>3575</v>
      </c>
      <c r="E5">
        <v>473.5</v>
      </c>
      <c r="F5">
        <f>B5*E5/1000</f>
        <v>3385.5250000000001</v>
      </c>
    </row>
    <row r="6" spans="1:6" x14ac:dyDescent="0.35">
      <c r="B6" s="5"/>
      <c r="C6" s="5"/>
    </row>
    <row r="7" spans="1:6" x14ac:dyDescent="0.35">
      <c r="B7" s="20" t="s">
        <v>46</v>
      </c>
      <c r="C7" s="21"/>
      <c r="D7" s="21"/>
      <c r="E7" s="21"/>
      <c r="F7" s="22"/>
    </row>
    <row r="8" spans="1:6" x14ac:dyDescent="0.35">
      <c r="B8" t="s">
        <v>4</v>
      </c>
      <c r="C8" t="s">
        <v>7</v>
      </c>
      <c r="D8" t="s">
        <v>6</v>
      </c>
      <c r="E8" t="s">
        <v>3</v>
      </c>
      <c r="F8" t="s">
        <v>5</v>
      </c>
    </row>
    <row r="9" spans="1:6" x14ac:dyDescent="0.35">
      <c r="B9">
        <f>B5</f>
        <v>7150</v>
      </c>
      <c r="C9">
        <v>178</v>
      </c>
      <c r="D9">
        <f>B9*C9/1000</f>
        <v>1272.7</v>
      </c>
      <c r="E9">
        <v>147</v>
      </c>
      <c r="F9">
        <f>B9*E9/1000</f>
        <v>1051.05</v>
      </c>
    </row>
    <row r="12" spans="1:6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</row>
    <row r="13" spans="1:6" x14ac:dyDescent="0.35">
      <c r="B13" s="2">
        <v>40</v>
      </c>
      <c r="C13" s="2">
        <v>3</v>
      </c>
      <c r="D13">
        <f>B13*C13</f>
        <v>120</v>
      </c>
      <c r="E13" s="2">
        <v>20</v>
      </c>
      <c r="F13">
        <f>D13*1.16*E13</f>
        <v>2784</v>
      </c>
    </row>
    <row r="14" spans="1:6" x14ac:dyDescent="0.35">
      <c r="B14" t="s">
        <v>20</v>
      </c>
      <c r="C14" t="s">
        <v>19</v>
      </c>
      <c r="D14" t="s">
        <v>21</v>
      </c>
    </row>
    <row r="15" spans="1:6" x14ac:dyDescent="0.35">
      <c r="B15">
        <f>F5</f>
        <v>3385.5250000000001</v>
      </c>
      <c r="C15" s="2">
        <v>0.8</v>
      </c>
      <c r="D15">
        <f>B15*C15</f>
        <v>2708.42</v>
      </c>
    </row>
    <row r="18" spans="1:6" x14ac:dyDescent="0.35">
      <c r="A18" t="s">
        <v>14</v>
      </c>
      <c r="E18" t="s">
        <v>13</v>
      </c>
      <c r="F18" t="s">
        <v>15</v>
      </c>
    </row>
    <row r="19" spans="1:6" x14ac:dyDescent="0.35">
      <c r="E19">
        <f>D5-F13</f>
        <v>791</v>
      </c>
      <c r="F19">
        <f>E19*8/1000</f>
        <v>6.3280000000000003</v>
      </c>
    </row>
    <row r="20" spans="1:6" x14ac:dyDescent="0.35">
      <c r="E20" t="s">
        <v>12</v>
      </c>
      <c r="F20" t="s">
        <v>16</v>
      </c>
    </row>
    <row r="21" spans="1:6" x14ac:dyDescent="0.35">
      <c r="E21" s="2">
        <v>20</v>
      </c>
      <c r="F21" s="1">
        <f>F19*1000/1.16/20</f>
        <v>272.75862068965523</v>
      </c>
    </row>
    <row r="24" spans="1:6" x14ac:dyDescent="0.35">
      <c r="A24" t="s">
        <v>17</v>
      </c>
      <c r="B24" t="s">
        <v>18</v>
      </c>
      <c r="C24" t="s">
        <v>22</v>
      </c>
    </row>
    <row r="25" spans="1:6" x14ac:dyDescent="0.35">
      <c r="B25" s="2">
        <v>3.5</v>
      </c>
      <c r="C25">
        <f>D15*B25/(B25-1)</f>
        <v>3791.7880000000005</v>
      </c>
    </row>
    <row r="27" spans="1:6" x14ac:dyDescent="0.35">
      <c r="B27" t="s">
        <v>27</v>
      </c>
      <c r="C27" t="s">
        <v>49</v>
      </c>
      <c r="D27" t="s">
        <v>28</v>
      </c>
      <c r="E27" t="s">
        <v>50</v>
      </c>
      <c r="F27" t="s">
        <v>29</v>
      </c>
    </row>
    <row r="28" spans="1:6" x14ac:dyDescent="0.35">
      <c r="A28" t="s">
        <v>26</v>
      </c>
      <c r="B28">
        <v>1000</v>
      </c>
      <c r="C28">
        <v>2.5</v>
      </c>
      <c r="D28">
        <v>5</v>
      </c>
      <c r="E28">
        <f>B28*C28</f>
        <v>2500</v>
      </c>
      <c r="F28">
        <f>B28*D28</f>
        <v>5000</v>
      </c>
    </row>
    <row r="31" spans="1:6" x14ac:dyDescent="0.35">
      <c r="A31" t="s">
        <v>23</v>
      </c>
      <c r="B31" t="s">
        <v>1</v>
      </c>
      <c r="C31" t="s">
        <v>35</v>
      </c>
      <c r="F31" t="s">
        <v>36</v>
      </c>
    </row>
    <row r="32" spans="1:6" x14ac:dyDescent="0.35">
      <c r="C32">
        <v>1500</v>
      </c>
      <c r="F32" s="3">
        <f>C32*B5/1000/1000</f>
        <v>10.725</v>
      </c>
    </row>
    <row r="33" spans="1:6" x14ac:dyDescent="0.35">
      <c r="B33" t="s">
        <v>24</v>
      </c>
      <c r="C33" t="s">
        <v>30</v>
      </c>
      <c r="D33" t="s">
        <v>31</v>
      </c>
      <c r="F33" t="s">
        <v>32</v>
      </c>
    </row>
    <row r="34" spans="1:6" x14ac:dyDescent="0.35">
      <c r="C34">
        <v>3500000</v>
      </c>
      <c r="D34">
        <v>2500000</v>
      </c>
      <c r="F34" s="3">
        <f>(C34+(C13-1)*D34)/1000/1000</f>
        <v>8.5</v>
      </c>
    </row>
    <row r="35" spans="1:6" x14ac:dyDescent="0.35">
      <c r="B35" t="s">
        <v>25</v>
      </c>
      <c r="C35" t="s">
        <v>37</v>
      </c>
      <c r="F35" t="s">
        <v>38</v>
      </c>
    </row>
    <row r="36" spans="1:6" x14ac:dyDescent="0.35">
      <c r="C36">
        <v>1000</v>
      </c>
      <c r="F36" s="3">
        <f>C36*F21/1000/1000</f>
        <v>0.27275862068965523</v>
      </c>
    </row>
    <row r="37" spans="1:6" x14ac:dyDescent="0.35">
      <c r="B37" t="s">
        <v>17</v>
      </c>
      <c r="C37" t="s">
        <v>34</v>
      </c>
      <c r="F37" t="s">
        <v>33</v>
      </c>
    </row>
    <row r="38" spans="1:6" x14ac:dyDescent="0.35">
      <c r="C38">
        <v>4000</v>
      </c>
      <c r="F38" s="3">
        <f>E28*C38/1000/1000</f>
        <v>10</v>
      </c>
    </row>
    <row r="40" spans="1:6" x14ac:dyDescent="0.35">
      <c r="A40" t="s">
        <v>39</v>
      </c>
      <c r="F40" s="3">
        <f>F32+F34+F36+F38</f>
        <v>29.497758620689655</v>
      </c>
    </row>
    <row r="42" spans="1:6" x14ac:dyDescent="0.35">
      <c r="B42" t="s">
        <v>47</v>
      </c>
      <c r="F42" t="s">
        <v>48</v>
      </c>
    </row>
    <row r="43" spans="1:6" x14ac:dyDescent="0.35">
      <c r="B43">
        <v>600</v>
      </c>
      <c r="F43" s="3">
        <f>B43*F9/1000/1000</f>
        <v>0.63063000000000002</v>
      </c>
    </row>
    <row r="44" spans="1:6" x14ac:dyDescent="0.35">
      <c r="B44" t="s">
        <v>40</v>
      </c>
      <c r="C44" t="s">
        <v>41</v>
      </c>
      <c r="D44" t="s">
        <v>42</v>
      </c>
      <c r="E44" t="s">
        <v>43</v>
      </c>
      <c r="F44" t="s">
        <v>45</v>
      </c>
    </row>
    <row r="45" spans="1:6" x14ac:dyDescent="0.35">
      <c r="B45">
        <v>600</v>
      </c>
      <c r="C45" s="4">
        <f>B45/B25</f>
        <v>171.42857142857142</v>
      </c>
      <c r="D45">
        <v>550</v>
      </c>
      <c r="E45" s="4">
        <f>D45-C45</f>
        <v>378.57142857142856</v>
      </c>
      <c r="F45" s="3">
        <f>C25*E45/1000/1000</f>
        <v>1.4354626000000001</v>
      </c>
    </row>
    <row r="47" spans="1:6" x14ac:dyDescent="0.35">
      <c r="A47" t="s">
        <v>44</v>
      </c>
      <c r="F47" s="3">
        <f>F40/(F43+F45)</f>
        <v>14.27707481295352</v>
      </c>
    </row>
  </sheetData>
  <mergeCells count="2">
    <mergeCell ref="B3:F3"/>
    <mergeCell ref="B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7FDA-CE0D-43B2-A835-35679CEF1C55}">
  <dimension ref="A2:D97"/>
  <sheetViews>
    <sheetView tabSelected="1" topLeftCell="A79" workbookViewId="0">
      <selection activeCell="F36" sqref="F36"/>
    </sheetView>
  </sheetViews>
  <sheetFormatPr defaultRowHeight="14.5" x14ac:dyDescent="0.35"/>
  <cols>
    <col min="1" max="1" width="88.26953125" bestFit="1" customWidth="1"/>
    <col min="2" max="2" width="12" bestFit="1" customWidth="1"/>
    <col min="3" max="3" width="11.1796875" bestFit="1" customWidth="1"/>
  </cols>
  <sheetData>
    <row r="2" spans="1:3" x14ac:dyDescent="0.35">
      <c r="A2" t="s">
        <v>113</v>
      </c>
    </row>
    <row r="3" spans="1:3" x14ac:dyDescent="0.35">
      <c r="A3" t="s">
        <v>114</v>
      </c>
    </row>
    <row r="5" spans="1:3" x14ac:dyDescent="0.35">
      <c r="A5" t="s">
        <v>116</v>
      </c>
    </row>
    <row r="7" spans="1:3" x14ac:dyDescent="0.35">
      <c r="A7" t="s">
        <v>115</v>
      </c>
    </row>
    <row r="8" spans="1:3" x14ac:dyDescent="0.35">
      <c r="A8" s="19">
        <v>43983</v>
      </c>
    </row>
    <row r="9" spans="1:3" x14ac:dyDescent="0.35">
      <c r="A9" s="18"/>
    </row>
    <row r="10" spans="1:3" x14ac:dyDescent="0.35">
      <c r="A10" s="12" t="s">
        <v>112</v>
      </c>
    </row>
    <row r="12" spans="1:3" x14ac:dyDescent="0.35">
      <c r="A12" t="s">
        <v>52</v>
      </c>
      <c r="B12" s="6">
        <v>4000</v>
      </c>
      <c r="C12" t="s">
        <v>6</v>
      </c>
    </row>
    <row r="13" spans="1:3" x14ac:dyDescent="0.35">
      <c r="A13" t="s">
        <v>51</v>
      </c>
      <c r="B13" s="6">
        <v>8000</v>
      </c>
      <c r="C13" t="s">
        <v>5</v>
      </c>
    </row>
    <row r="14" spans="1:3" x14ac:dyDescent="0.35">
      <c r="A14" t="s">
        <v>131</v>
      </c>
      <c r="B14" s="6">
        <v>5</v>
      </c>
    </row>
    <row r="15" spans="1:3" x14ac:dyDescent="0.35">
      <c r="A15" t="s">
        <v>132</v>
      </c>
      <c r="B15" s="6">
        <v>3.5</v>
      </c>
    </row>
    <row r="16" spans="1:3" x14ac:dyDescent="0.35">
      <c r="A16" t="s">
        <v>133</v>
      </c>
      <c r="B16" s="6">
        <v>20</v>
      </c>
      <c r="C16" t="s">
        <v>56</v>
      </c>
    </row>
    <row r="17" spans="1:4" x14ac:dyDescent="0.35">
      <c r="A17" t="s">
        <v>134</v>
      </c>
      <c r="B17" s="6">
        <v>7</v>
      </c>
      <c r="C17" t="s">
        <v>56</v>
      </c>
    </row>
    <row r="18" spans="1:4" x14ac:dyDescent="0.35">
      <c r="A18" t="s">
        <v>60</v>
      </c>
      <c r="B18" s="6">
        <v>25</v>
      </c>
      <c r="C18" t="s">
        <v>61</v>
      </c>
    </row>
    <row r="19" spans="1:4" x14ac:dyDescent="0.35">
      <c r="A19" t="s">
        <v>95</v>
      </c>
      <c r="B19" s="6">
        <v>80</v>
      </c>
      <c r="C19" t="s">
        <v>53</v>
      </c>
    </row>
    <row r="20" spans="1:4" x14ac:dyDescent="0.35">
      <c r="A20" t="s">
        <v>93</v>
      </c>
      <c r="B20" s="6">
        <v>0</v>
      </c>
      <c r="C20" t="s">
        <v>53</v>
      </c>
    </row>
    <row r="21" spans="1:4" x14ac:dyDescent="0.35">
      <c r="A21" t="s">
        <v>94</v>
      </c>
      <c r="B21" s="6">
        <v>650</v>
      </c>
      <c r="C21" t="s">
        <v>3</v>
      </c>
    </row>
    <row r="22" spans="1:4" x14ac:dyDescent="0.35">
      <c r="A22" t="s">
        <v>99</v>
      </c>
      <c r="B22" s="6">
        <v>500</v>
      </c>
      <c r="C22" t="s">
        <v>3</v>
      </c>
    </row>
    <row r="23" spans="1:4" x14ac:dyDescent="0.35">
      <c r="A23" t="s">
        <v>102</v>
      </c>
      <c r="B23" s="8">
        <v>800</v>
      </c>
      <c r="C23" t="s">
        <v>7</v>
      </c>
      <c r="D23" t="s">
        <v>159</v>
      </c>
    </row>
    <row r="24" spans="1:4" x14ac:dyDescent="0.35">
      <c r="A24" t="s">
        <v>102</v>
      </c>
      <c r="B24" s="8">
        <v>8</v>
      </c>
      <c r="C24" t="s">
        <v>54</v>
      </c>
      <c r="D24" t="s">
        <v>159</v>
      </c>
    </row>
    <row r="25" spans="1:4" x14ac:dyDescent="0.35">
      <c r="A25" t="s">
        <v>101</v>
      </c>
      <c r="B25" s="8">
        <v>650</v>
      </c>
      <c r="C25" t="s">
        <v>7</v>
      </c>
      <c r="D25" t="s">
        <v>159</v>
      </c>
    </row>
    <row r="26" spans="1:4" x14ac:dyDescent="0.35">
      <c r="A26" t="s">
        <v>101</v>
      </c>
      <c r="B26" s="8">
        <v>8</v>
      </c>
      <c r="C26" t="s">
        <v>54</v>
      </c>
      <c r="D26" t="s">
        <v>159</v>
      </c>
    </row>
    <row r="27" spans="1:4" x14ac:dyDescent="0.35">
      <c r="A27" t="s">
        <v>104</v>
      </c>
      <c r="B27" s="8">
        <v>35</v>
      </c>
      <c r="C27" t="s">
        <v>56</v>
      </c>
      <c r="D27" t="s">
        <v>161</v>
      </c>
    </row>
    <row r="28" spans="1:4" x14ac:dyDescent="0.35">
      <c r="A28" t="s">
        <v>104</v>
      </c>
      <c r="B28" s="8">
        <v>15</v>
      </c>
      <c r="C28" t="s">
        <v>56</v>
      </c>
      <c r="D28" t="s">
        <v>160</v>
      </c>
    </row>
    <row r="29" spans="1:4" x14ac:dyDescent="0.35">
      <c r="A29" t="s">
        <v>144</v>
      </c>
      <c r="B29" s="13">
        <v>0.15</v>
      </c>
      <c r="C29" t="s">
        <v>145</v>
      </c>
    </row>
    <row r="30" spans="1:4" x14ac:dyDescent="0.35">
      <c r="A30" t="s">
        <v>146</v>
      </c>
      <c r="B30" s="13">
        <v>0.1</v>
      </c>
      <c r="C30" t="s">
        <v>145</v>
      </c>
    </row>
    <row r="31" spans="1:4" x14ac:dyDescent="0.35">
      <c r="A31" t="s">
        <v>147</v>
      </c>
      <c r="B31" s="13">
        <v>0.1</v>
      </c>
      <c r="C31" t="s">
        <v>145</v>
      </c>
    </row>
    <row r="32" spans="1:4" x14ac:dyDescent="0.35">
      <c r="A32" t="s">
        <v>63</v>
      </c>
      <c r="B32" s="6">
        <v>3.5</v>
      </c>
      <c r="C32" t="s">
        <v>65</v>
      </c>
    </row>
    <row r="33" spans="1:3" x14ac:dyDescent="0.35">
      <c r="A33" t="s">
        <v>64</v>
      </c>
      <c r="B33" s="6">
        <v>2.5</v>
      </c>
      <c r="C33" t="s">
        <v>65</v>
      </c>
    </row>
    <row r="34" spans="1:3" x14ac:dyDescent="0.35">
      <c r="A34" t="s">
        <v>108</v>
      </c>
      <c r="B34" s="6">
        <v>2000</v>
      </c>
      <c r="C34" t="s">
        <v>66</v>
      </c>
    </row>
    <row r="35" spans="1:3" x14ac:dyDescent="0.35">
      <c r="A35" t="s">
        <v>67</v>
      </c>
      <c r="B35" s="6">
        <v>2000</v>
      </c>
      <c r="C35" t="s">
        <v>66</v>
      </c>
    </row>
    <row r="36" spans="1:3" x14ac:dyDescent="0.35">
      <c r="A36" t="s">
        <v>69</v>
      </c>
      <c r="B36" s="6">
        <v>1000</v>
      </c>
      <c r="C36" t="s">
        <v>68</v>
      </c>
    </row>
    <row r="37" spans="1:3" x14ac:dyDescent="0.35">
      <c r="A37" t="s">
        <v>17</v>
      </c>
      <c r="B37" s="6">
        <v>4000</v>
      </c>
      <c r="C37" t="s">
        <v>70</v>
      </c>
    </row>
    <row r="38" spans="1:3" x14ac:dyDescent="0.35">
      <c r="A38" t="s">
        <v>119</v>
      </c>
      <c r="B38" s="6">
        <v>600</v>
      </c>
      <c r="C38" t="s">
        <v>76</v>
      </c>
    </row>
    <row r="39" spans="1:3" x14ac:dyDescent="0.35">
      <c r="A39" t="s">
        <v>79</v>
      </c>
      <c r="B39" s="6">
        <v>150</v>
      </c>
      <c r="C39" t="s">
        <v>3</v>
      </c>
    </row>
    <row r="40" spans="1:3" x14ac:dyDescent="0.35">
      <c r="A40" t="s">
        <v>110</v>
      </c>
      <c r="B40" s="6">
        <v>500</v>
      </c>
      <c r="C40" t="s">
        <v>82</v>
      </c>
    </row>
    <row r="41" spans="1:3" x14ac:dyDescent="0.35">
      <c r="A41" t="s">
        <v>83</v>
      </c>
      <c r="B41" s="6">
        <v>550</v>
      </c>
      <c r="C41" t="s">
        <v>82</v>
      </c>
    </row>
    <row r="42" spans="1:3" x14ac:dyDescent="0.35">
      <c r="B42" s="5"/>
    </row>
    <row r="43" spans="1:3" x14ac:dyDescent="0.35">
      <c r="A43" s="12" t="s">
        <v>111</v>
      </c>
      <c r="B43" s="5"/>
    </row>
    <row r="45" spans="1:3" x14ac:dyDescent="0.35">
      <c r="A45" t="s">
        <v>90</v>
      </c>
      <c r="B45" s="9">
        <f>B12*(B14-1)/B14</f>
        <v>3200</v>
      </c>
      <c r="C45" t="s">
        <v>6</v>
      </c>
    </row>
    <row r="46" spans="1:3" x14ac:dyDescent="0.35">
      <c r="A46" t="s">
        <v>91</v>
      </c>
      <c r="B46" s="9">
        <f>B13*(B14-1)/B14</f>
        <v>6400</v>
      </c>
      <c r="C46" t="s">
        <v>5</v>
      </c>
    </row>
    <row r="47" spans="1:3" x14ac:dyDescent="0.35">
      <c r="A47" t="s">
        <v>126</v>
      </c>
      <c r="B47" s="7">
        <f>1.16*B18*B16</f>
        <v>579.99999999999989</v>
      </c>
      <c r="C47" t="s">
        <v>6</v>
      </c>
    </row>
    <row r="48" spans="1:3" x14ac:dyDescent="0.35">
      <c r="A48" t="s">
        <v>10</v>
      </c>
      <c r="B48" s="7">
        <f>1+INT(B45/B47)</f>
        <v>6</v>
      </c>
    </row>
    <row r="49" spans="1:4" x14ac:dyDescent="0.35">
      <c r="A49" t="s">
        <v>62</v>
      </c>
      <c r="B49" s="7">
        <f>B48*B18</f>
        <v>150</v>
      </c>
      <c r="C49" t="s">
        <v>61</v>
      </c>
    </row>
    <row r="50" spans="1:4" x14ac:dyDescent="0.35">
      <c r="A50" t="s">
        <v>92</v>
      </c>
      <c r="B50" s="7">
        <f>B49*1.16*B16</f>
        <v>3480</v>
      </c>
      <c r="C50" t="s">
        <v>6</v>
      </c>
    </row>
    <row r="51" spans="1:4" x14ac:dyDescent="0.35">
      <c r="A51" t="s">
        <v>98</v>
      </c>
      <c r="B51" s="7">
        <f>100-B20</f>
        <v>100</v>
      </c>
      <c r="C51" t="s">
        <v>53</v>
      </c>
    </row>
    <row r="52" spans="1:4" x14ac:dyDescent="0.35">
      <c r="A52" t="s">
        <v>93</v>
      </c>
      <c r="B52" s="7">
        <f>B13*B20/100</f>
        <v>0</v>
      </c>
      <c r="C52" t="s">
        <v>5</v>
      </c>
    </row>
    <row r="53" spans="1:4" x14ac:dyDescent="0.35">
      <c r="A53" t="s">
        <v>98</v>
      </c>
      <c r="B53" s="7">
        <f>B13-B52</f>
        <v>8000</v>
      </c>
      <c r="C53" t="s">
        <v>5</v>
      </c>
    </row>
    <row r="54" spans="1:4" x14ac:dyDescent="0.35">
      <c r="A54" t="s">
        <v>96</v>
      </c>
      <c r="B54" s="9">
        <f>100*(B20/100)*B46/B19</f>
        <v>0</v>
      </c>
      <c r="C54" t="s">
        <v>5</v>
      </c>
    </row>
    <row r="55" spans="1:4" x14ac:dyDescent="0.35">
      <c r="A55" t="s">
        <v>100</v>
      </c>
      <c r="B55" s="9">
        <f>100*(B51/100)*B46/B19</f>
        <v>8000</v>
      </c>
      <c r="C55" t="s">
        <v>5</v>
      </c>
    </row>
    <row r="56" spans="1:4" x14ac:dyDescent="0.35">
      <c r="A56" t="s">
        <v>97</v>
      </c>
      <c r="B56" s="9">
        <f>B54*1000/B21</f>
        <v>0</v>
      </c>
      <c r="C56" t="s">
        <v>4</v>
      </c>
    </row>
    <row r="57" spans="1:4" x14ac:dyDescent="0.35">
      <c r="A57" t="s">
        <v>59</v>
      </c>
      <c r="B57" s="9">
        <f>B55*1000/B22</f>
        <v>16000</v>
      </c>
      <c r="C57" t="s">
        <v>4</v>
      </c>
    </row>
    <row r="58" spans="1:4" x14ac:dyDescent="0.35">
      <c r="A58" t="s">
        <v>102</v>
      </c>
      <c r="B58" s="9">
        <f>B56*B23/1000</f>
        <v>0</v>
      </c>
      <c r="C58" t="s">
        <v>6</v>
      </c>
      <c r="D58" t="s">
        <v>156</v>
      </c>
    </row>
    <row r="59" spans="1:4" x14ac:dyDescent="0.35">
      <c r="A59" t="s">
        <v>102</v>
      </c>
      <c r="B59" s="9">
        <f>B58*B24/1000</f>
        <v>0</v>
      </c>
      <c r="C59" t="s">
        <v>55</v>
      </c>
      <c r="D59" t="s">
        <v>156</v>
      </c>
    </row>
    <row r="60" spans="1:4" x14ac:dyDescent="0.35">
      <c r="A60" t="s">
        <v>101</v>
      </c>
      <c r="B60" s="9">
        <f>B57*B25/1000</f>
        <v>10400</v>
      </c>
      <c r="C60" t="s">
        <v>6</v>
      </c>
      <c r="D60" t="s">
        <v>156</v>
      </c>
    </row>
    <row r="61" spans="1:4" x14ac:dyDescent="0.35">
      <c r="A61" t="s">
        <v>101</v>
      </c>
      <c r="B61" s="9">
        <f>B60*B26/1000</f>
        <v>83.2</v>
      </c>
      <c r="C61" t="s">
        <v>55</v>
      </c>
      <c r="D61" t="s">
        <v>156</v>
      </c>
    </row>
    <row r="62" spans="1:4" x14ac:dyDescent="0.35">
      <c r="A62" t="s">
        <v>103</v>
      </c>
      <c r="B62" s="9">
        <f>B59+B61</f>
        <v>83.2</v>
      </c>
      <c r="C62" t="s">
        <v>55</v>
      </c>
      <c r="D62" t="s">
        <v>156</v>
      </c>
    </row>
    <row r="63" spans="1:4" x14ac:dyDescent="0.35">
      <c r="A63" t="s">
        <v>105</v>
      </c>
      <c r="B63" s="9">
        <f>8*B50/1000</f>
        <v>27.84</v>
      </c>
      <c r="C63" t="s">
        <v>55</v>
      </c>
      <c r="D63" t="s">
        <v>157</v>
      </c>
    </row>
    <row r="64" spans="1:4" x14ac:dyDescent="0.35">
      <c r="A64" t="s">
        <v>106</v>
      </c>
      <c r="B64" s="9">
        <f>B62-B63</f>
        <v>55.36</v>
      </c>
      <c r="C64" t="s">
        <v>55</v>
      </c>
      <c r="D64" t="s">
        <v>158</v>
      </c>
    </row>
    <row r="65" spans="1:4" x14ac:dyDescent="0.35">
      <c r="A65" t="s">
        <v>107</v>
      </c>
      <c r="B65" s="9">
        <f>B64*1000*3600/4180/(B27-B28)</f>
        <v>2383.9234449760766</v>
      </c>
      <c r="C65" t="s">
        <v>57</v>
      </c>
      <c r="D65" t="s">
        <v>58</v>
      </c>
    </row>
    <row r="66" spans="1:4" x14ac:dyDescent="0.35">
      <c r="A66" t="s">
        <v>71</v>
      </c>
      <c r="B66" s="7">
        <f>B32+(B48-1)*B33</f>
        <v>16</v>
      </c>
      <c r="C66" t="s">
        <v>109</v>
      </c>
    </row>
    <row r="67" spans="1:4" x14ac:dyDescent="0.35">
      <c r="A67" t="s">
        <v>108</v>
      </c>
      <c r="B67" s="11">
        <f>B56*B34/1000/1000</f>
        <v>0</v>
      </c>
      <c r="C67" t="s">
        <v>109</v>
      </c>
    </row>
    <row r="68" spans="1:4" x14ac:dyDescent="0.35">
      <c r="A68" t="s">
        <v>67</v>
      </c>
      <c r="B68" s="11">
        <f>B57*B35/1000/1000</f>
        <v>32</v>
      </c>
      <c r="C68" t="s">
        <v>109</v>
      </c>
    </row>
    <row r="69" spans="1:4" x14ac:dyDescent="0.35">
      <c r="A69" t="s">
        <v>72</v>
      </c>
      <c r="B69" s="11">
        <f>B36*B65/1000/1000</f>
        <v>2.3839234449760767</v>
      </c>
      <c r="C69" t="s">
        <v>109</v>
      </c>
    </row>
    <row r="70" spans="1:4" x14ac:dyDescent="0.35">
      <c r="A70" t="s">
        <v>73</v>
      </c>
      <c r="B70" s="11">
        <f>B12*B37/1000/1000</f>
        <v>16</v>
      </c>
      <c r="C70" t="s">
        <v>109</v>
      </c>
    </row>
    <row r="71" spans="1:4" x14ac:dyDescent="0.35">
      <c r="A71" t="s">
        <v>74</v>
      </c>
      <c r="B71" s="11">
        <f>SUM(B66:B70)</f>
        <v>66.383923444976077</v>
      </c>
      <c r="C71" t="s">
        <v>109</v>
      </c>
    </row>
    <row r="72" spans="1:4" x14ac:dyDescent="0.35">
      <c r="A72" t="s">
        <v>127</v>
      </c>
      <c r="B72" s="11">
        <f>B49*8760</f>
        <v>1314000</v>
      </c>
      <c r="C72" t="s">
        <v>128</v>
      </c>
    </row>
    <row r="73" spans="1:4" x14ac:dyDescent="0.35">
      <c r="A73" t="s">
        <v>129</v>
      </c>
      <c r="B73" s="11">
        <f>1.16*5000*1000/20</f>
        <v>290000</v>
      </c>
      <c r="C73" t="s">
        <v>128</v>
      </c>
    </row>
    <row r="74" spans="1:4" x14ac:dyDescent="0.35">
      <c r="A74" t="s">
        <v>130</v>
      </c>
      <c r="B74" s="11">
        <f>1.16*4000*1000/20</f>
        <v>232000</v>
      </c>
      <c r="C74" t="s">
        <v>128</v>
      </c>
    </row>
    <row r="75" spans="1:4" x14ac:dyDescent="0.35">
      <c r="A75" t="s">
        <v>137</v>
      </c>
      <c r="B75" s="11">
        <f>B72-B73-B74</f>
        <v>792000</v>
      </c>
      <c r="C75" t="s">
        <v>128</v>
      </c>
    </row>
    <row r="76" spans="1:4" x14ac:dyDescent="0.35">
      <c r="A76" t="s">
        <v>136</v>
      </c>
      <c r="B76" s="11">
        <f>1.16*B49*B17</f>
        <v>1218</v>
      </c>
      <c r="C76" t="s">
        <v>6</v>
      </c>
    </row>
    <row r="77" spans="1:4" x14ac:dyDescent="0.35">
      <c r="A77" t="s">
        <v>138</v>
      </c>
      <c r="B77" s="11">
        <f>1.16*B75*B17/1000</f>
        <v>6431.0399999999991</v>
      </c>
      <c r="C77" t="s">
        <v>5</v>
      </c>
    </row>
    <row r="78" spans="1:4" x14ac:dyDescent="0.35">
      <c r="A78" t="s">
        <v>135</v>
      </c>
      <c r="B78" s="11">
        <f>B15/(B15-1)*B76</f>
        <v>1705.1999999999998</v>
      </c>
      <c r="C78" t="s">
        <v>6</v>
      </c>
    </row>
    <row r="79" spans="1:4" x14ac:dyDescent="0.35">
      <c r="A79" t="s">
        <v>139</v>
      </c>
      <c r="B79" s="11">
        <f>B15/(B15-1)*B77</f>
        <v>9003.4559999999983</v>
      </c>
      <c r="C79" t="s">
        <v>5</v>
      </c>
    </row>
    <row r="80" spans="1:4" x14ac:dyDescent="0.35">
      <c r="A80" t="s">
        <v>154</v>
      </c>
      <c r="B80" s="11">
        <f>B53+B79</f>
        <v>17003.455999999998</v>
      </c>
      <c r="C80" t="s">
        <v>5</v>
      </c>
    </row>
    <row r="81" spans="1:3" x14ac:dyDescent="0.35">
      <c r="A81" t="s">
        <v>140</v>
      </c>
      <c r="B81" s="9">
        <f>B13/B14</f>
        <v>1600</v>
      </c>
      <c r="C81" t="s">
        <v>5</v>
      </c>
    </row>
    <row r="82" spans="1:3" x14ac:dyDescent="0.35">
      <c r="A82" t="s">
        <v>141</v>
      </c>
      <c r="B82" s="9">
        <f>B79/B15</f>
        <v>2572.4159999999997</v>
      </c>
      <c r="C82" t="s">
        <v>5</v>
      </c>
    </row>
    <row r="83" spans="1:3" x14ac:dyDescent="0.35">
      <c r="A83" s="16" t="s">
        <v>142</v>
      </c>
      <c r="B83" s="17">
        <f>B81+B82</f>
        <v>4172.4159999999993</v>
      </c>
      <c r="C83" t="s">
        <v>5</v>
      </c>
    </row>
    <row r="84" spans="1:3" x14ac:dyDescent="0.35">
      <c r="A84" t="s">
        <v>143</v>
      </c>
      <c r="B84" s="9">
        <f>B73*B29/1000+B74*B29/1000</f>
        <v>78.3</v>
      </c>
      <c r="C84" t="s">
        <v>5</v>
      </c>
    </row>
    <row r="85" spans="1:3" x14ac:dyDescent="0.35">
      <c r="A85" t="s">
        <v>148</v>
      </c>
      <c r="B85" s="9">
        <f>B75*B29/1000</f>
        <v>118.8</v>
      </c>
      <c r="C85" t="s">
        <v>5</v>
      </c>
    </row>
    <row r="86" spans="1:3" x14ac:dyDescent="0.35">
      <c r="A86" t="s">
        <v>149</v>
      </c>
      <c r="B86" s="9">
        <f>B30*2*B64*100/1.16/20</f>
        <v>47.724137931034491</v>
      </c>
      <c r="C86" t="s">
        <v>5</v>
      </c>
    </row>
    <row r="87" spans="1:3" x14ac:dyDescent="0.35">
      <c r="A87" t="s">
        <v>147</v>
      </c>
      <c r="B87" s="9">
        <f>B31*B55*1000/1.02/(B27-B28)/1000</f>
        <v>39.215686274509807</v>
      </c>
      <c r="C87" t="s">
        <v>5</v>
      </c>
    </row>
    <row r="88" spans="1:3" x14ac:dyDescent="0.35">
      <c r="A88" t="s">
        <v>150</v>
      </c>
      <c r="B88" s="9">
        <f>B84+B85+B86+B87</f>
        <v>284.03982420554428</v>
      </c>
      <c r="C88" t="s">
        <v>5</v>
      </c>
    </row>
    <row r="89" spans="1:3" x14ac:dyDescent="0.35">
      <c r="A89" t="s">
        <v>151</v>
      </c>
      <c r="B89" s="10">
        <f>B83*B38/1000/1000</f>
        <v>2.5034495999999993</v>
      </c>
      <c r="C89" t="s">
        <v>77</v>
      </c>
    </row>
    <row r="90" spans="1:3" x14ac:dyDescent="0.35">
      <c r="A90" t="s">
        <v>152</v>
      </c>
      <c r="B90" s="10">
        <f>B88*B38/1000/1000</f>
        <v>0.17042389452332657</v>
      </c>
      <c r="C90" t="s">
        <v>77</v>
      </c>
    </row>
    <row r="91" spans="1:3" x14ac:dyDescent="0.35">
      <c r="A91" s="14" t="s">
        <v>153</v>
      </c>
      <c r="B91" s="15">
        <f>B89+B90</f>
        <v>2.6738734945233258</v>
      </c>
      <c r="C91" t="s">
        <v>77</v>
      </c>
    </row>
    <row r="92" spans="1:3" x14ac:dyDescent="0.35">
      <c r="A92" t="s">
        <v>79</v>
      </c>
      <c r="B92" s="9">
        <f>B39*B57/1000</f>
        <v>2400</v>
      </c>
      <c r="C92" s="1" t="s">
        <v>5</v>
      </c>
    </row>
    <row r="93" spans="1:3" x14ac:dyDescent="0.35">
      <c r="A93" t="s">
        <v>80</v>
      </c>
      <c r="B93" s="10">
        <f>B89+B90-B92*B40/1000/1000</f>
        <v>1.4738734945233258</v>
      </c>
      <c r="C93" t="s">
        <v>77</v>
      </c>
    </row>
    <row r="94" spans="1:3" x14ac:dyDescent="0.35">
      <c r="A94" t="s">
        <v>155</v>
      </c>
      <c r="B94" s="9">
        <f>1000*1000*B91/B80</f>
        <v>157.2547071914866</v>
      </c>
      <c r="C94" t="s">
        <v>82</v>
      </c>
    </row>
    <row r="95" spans="1:3" x14ac:dyDescent="0.35">
      <c r="A95" t="s">
        <v>81</v>
      </c>
      <c r="B95" s="9">
        <f>1000*1000*B93/B80</f>
        <v>86.680819153666533</v>
      </c>
      <c r="C95" t="s">
        <v>82</v>
      </c>
    </row>
    <row r="96" spans="1:3" x14ac:dyDescent="0.35">
      <c r="A96" t="s">
        <v>84</v>
      </c>
      <c r="B96" s="9">
        <f>B41-B95</f>
        <v>463.31918084633344</v>
      </c>
      <c r="C96" t="s">
        <v>82</v>
      </c>
    </row>
    <row r="97" spans="1:3" x14ac:dyDescent="0.35">
      <c r="A97" t="s">
        <v>85</v>
      </c>
      <c r="B97" s="11">
        <f>1000*1000*B71/(B96*B80)</f>
        <v>8.4264652648293161</v>
      </c>
      <c r="C97" t="s">
        <v>86</v>
      </c>
    </row>
  </sheetData>
  <phoneticPr fontId="1" type="noConversion"/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VP grundvand</vt:lpstr>
      <vt:lpstr>VP udeluft</vt:lpstr>
      <vt:lpstr>Ark1</vt:lpstr>
      <vt:lpstr>PVT+LTSF+ATES+ST+VP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Niemi Sørensen</dc:creator>
  <cp:lastModifiedBy>Peder Vejsig Pedersen</cp:lastModifiedBy>
  <cp:lastPrinted>2020-06-30T06:30:05Z</cp:lastPrinted>
  <dcterms:created xsi:type="dcterms:W3CDTF">2020-06-24T13:03:04Z</dcterms:created>
  <dcterms:modified xsi:type="dcterms:W3CDTF">2021-09-13T09:08:20Z</dcterms:modified>
</cp:coreProperties>
</file>