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tables/table1.xml" ContentType="application/vnd.openxmlformats-officedocument.spreadsheetml.table+xml"/>
  <Override PartName="/xl/tables/table2.xml" ContentType="application/vnd.openxmlformats-officedocument.spreadsheetml.table+xml"/>
  <Override PartName="/xl/tables/table3.xml" ContentType="application/vnd.openxmlformats-officedocument.spreadsheetml.table+xml"/>
  <Override PartName="/xl/tables/table4.xml" ContentType="application/vnd.openxmlformats-officedocument.spreadsheetml.table+xml"/>
  <Override PartName="/xl/tables/table5.xml" ContentType="application/vnd.openxmlformats-officedocument.spreadsheetml.table+xml"/>
  <Override PartName="/xl/tables/table6.xml" ContentType="application/vnd.openxmlformats-officedocument.spreadsheetml.table+xml"/>
  <Override PartName="/xl/tables/table7.xml" ContentType="application/vnd.openxmlformats-officedocument.spreadsheetml.table+xml"/>
  <Override PartName="/xl/tables/table8.xml" ContentType="application/vnd.openxmlformats-officedocument.spreadsheetml.table+xml"/>
  <Override PartName="/xl/tables/table9.xml" ContentType="application/vnd.openxmlformats-officedocument.spreadsheetml.table+xml"/>
  <Override PartName="/xl/tables/table10.xml" ContentType="application/vnd.openxmlformats-officedocument.spreadsheetml.table+xml"/>
  <Override PartName="/xl/tables/table11.xml" ContentType="application/vnd.openxmlformats-officedocument.spreadsheetml.table+xml"/>
  <Override PartName="/xl/tables/table12.xml" ContentType="application/vnd.openxmlformats-officedocument.spreadsheetml.table+xml"/>
  <Override PartName="/xl/tables/table13.xml" ContentType="application/vnd.openxmlformats-officedocument.spreadsheetml.table+xml"/>
  <Override PartName="/xl/drawings/drawing1.xml" ContentType="application/vnd.openxmlformats-officedocument.drawing+xml"/>
  <Override PartName="/xl/tables/table14.xml" ContentType="application/vnd.openxmlformats-officedocument.spreadsheetml.table+xml"/>
  <Override PartName="/xl/tables/table15.xml" ContentType="application/vnd.openxmlformats-officedocument.spreadsheetml.table+xml"/>
  <Override PartName="/xl/tables/table16.xml" ContentType="application/vnd.openxmlformats-officedocument.spreadsheetml.table+xml"/>
  <Override PartName="/xl/tables/table17.xml" ContentType="application/vnd.openxmlformats-officedocument.spreadsheetml.table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drawings/drawing2.xml" ContentType="application/vnd.openxmlformats-officedocument.drawing+xml"/>
  <Override PartName="/xl/tables/table18.xml" ContentType="application/vnd.openxmlformats-officedocument.spreadsheetml.table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tables/table19.xml" ContentType="application/vnd.openxmlformats-officedocument.spreadsheetml.table+xml"/>
  <Override PartName="/xl/tables/table20.xml" ContentType="application/vnd.openxmlformats-officedocument.spreadsheetml.table+xml"/>
  <Override PartName="/xl/tables/table21.xml" ContentType="application/vnd.openxmlformats-officedocument.spreadsheetml.table+xml"/>
  <Override PartName="/xl/drawings/drawing3.xml" ContentType="application/vnd.openxmlformats-officedocument.drawing+xml"/>
  <Override PartName="/xl/tables/table22.xml" ContentType="application/vnd.openxmlformats-officedocument.spreadsheetml.table+xml"/>
  <Override PartName="/xl/tables/table23.xml" ContentType="application/vnd.openxmlformats-officedocument.spreadsheetml.table+xml"/>
  <Override PartName="/xl/charts/chart5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charts/chart6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drawings/drawing4.xml" ContentType="application/vnd.openxmlformats-officedocument.drawing+xml"/>
  <Override PartName="/xl/tables/table24.xml" ContentType="application/vnd.openxmlformats-officedocument.spreadsheetml.table+xml"/>
  <Override PartName="/xl/charts/chart7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drawings/drawing5.xml" ContentType="application/vnd.openxmlformats-officedocument.drawing+xml"/>
  <Override PartName="/xl/tables/table25.xml" ContentType="application/vnd.openxmlformats-officedocument.spreadsheetml.table+xml"/>
  <Override PartName="/xl/tables/table26.xml" ContentType="application/vnd.openxmlformats-officedocument.spreadsheetml.table+xml"/>
  <Override PartName="/xl/tables/table27.xml" ContentType="application/vnd.openxmlformats-officedocument.spreadsheetml.table+xml"/>
  <Override PartName="/xl/tables/table28.xml" ContentType="application/vnd.openxmlformats-officedocument.spreadsheetml.table+xml"/>
  <Override PartName="/xl/tables/table29.xml" ContentType="application/vnd.openxmlformats-officedocument.spreadsheetml.table+xml"/>
  <Override PartName="/xl/tables/table30.xml" ContentType="application/vnd.openxmlformats-officedocument.spreadsheetml.table+xml"/>
  <Override PartName="/xl/tables/table31.xml" ContentType="application/vnd.openxmlformats-officedocument.spreadsheetml.table+xml"/>
  <Override PartName="/xl/tables/table32.xml" ContentType="application/vnd.openxmlformats-officedocument.spreadsheetml.table+xml"/>
  <Override PartName="/xl/tables/table33.xml" ContentType="application/vnd.openxmlformats-officedocument.spreadsheetml.table+xml"/>
  <Override PartName="/xl/tables/table34.xml" ContentType="application/vnd.openxmlformats-officedocument.spreadsheetml.table+xml"/>
  <Override PartName="/xl/tables/table35.xml" ContentType="application/vnd.openxmlformats-officedocument.spreadsheetml.table+xml"/>
  <Override PartName="/xl/tables/table36.xml" ContentType="application/vnd.openxmlformats-officedocument.spreadsheetml.table+xml"/>
  <Override PartName="/xl/tables/table37.xml" ContentType="application/vnd.openxmlformats-officedocument.spreadsheetml.table+xml"/>
  <Override PartName="/xl/tables/table38.xml" ContentType="application/vnd.openxmlformats-officedocument.spreadsheetml.table+xml"/>
  <Override PartName="/xl/tables/table39.xml" ContentType="application/vnd.openxmlformats-officedocument.spreadsheetml.table+xml"/>
  <Override PartName="/xl/tables/table40.xml" ContentType="application/vnd.openxmlformats-officedocument.spreadsheetml.table+xml"/>
  <Override PartName="/xl/tables/table41.xml" ContentType="application/vnd.openxmlformats-officedocument.spreadsheetml.table+xml"/>
  <Override PartName="/xl/tables/table42.xml" ContentType="application/vnd.openxmlformats-officedocument.spreadsheetml.table+xml"/>
  <Override PartName="/xl/tables/table43.xml" ContentType="application/vnd.openxmlformats-officedocument.spreadsheetml.table+xml"/>
  <Override PartName="/xl/tables/table44.xml" ContentType="application/vnd.openxmlformats-officedocument.spreadsheetml.table+xml"/>
  <Override PartName="/xl/tables/table45.xml" ContentType="application/vnd.openxmlformats-officedocument.spreadsheetml.table+xml"/>
  <Override PartName="/xl/tables/table46.xml" ContentType="application/vnd.openxmlformats-officedocument.spreadsheetml.table+xml"/>
  <Override PartName="/xl/tables/table47.xml" ContentType="application/vnd.openxmlformats-officedocument.spreadsheetml.table+xml"/>
  <Override PartName="/xl/tables/table48.xml" ContentType="application/vnd.openxmlformats-officedocument.spreadsheetml.table+xml"/>
  <Override PartName="/xl/tables/table49.xml" ContentType="application/vnd.openxmlformats-officedocument.spreadsheetml.table+xml"/>
  <Override PartName="/xl/tables/table50.xml" ContentType="application/vnd.openxmlformats-officedocument.spreadsheetml.table+xml"/>
  <Override PartName="/xl/tables/table51.xml" ContentType="application/vnd.openxmlformats-officedocument.spreadsheetml.table+xml"/>
  <Override PartName="/xl/tables/table52.xml" ContentType="application/vnd.openxmlformats-officedocument.spreadsheetml.table+xml"/>
  <Override PartName="/xl/tables/table53.xml" ContentType="application/vnd.openxmlformats-officedocument.spreadsheetml.table+xml"/>
  <Override PartName="/xl/tables/table54.xml" ContentType="application/vnd.openxmlformats-officedocument.spreadsheetml.table+xml"/>
  <Override PartName="/xl/tables/table55.xml" ContentType="application/vnd.openxmlformats-officedocument.spreadsheetml.table+xml"/>
  <Override PartName="/xl/tables/table56.xml" ContentType="application/vnd.openxmlformats-officedocument.spreadsheetml.table+xml"/>
  <Override PartName="/xl/tables/table57.xml" ContentType="application/vnd.openxmlformats-officedocument.spreadsheetml.table+xml"/>
  <Override PartName="/xl/tables/table58.xml" ContentType="application/vnd.openxmlformats-officedocument.spreadsheetml.table+xml"/>
  <Override PartName="/xl/tables/table59.xml" ContentType="application/vnd.openxmlformats-officedocument.spreadsheetml.table+xml"/>
  <Override PartName="/xl/tables/table60.xml" ContentType="application/vnd.openxmlformats-officedocument.spreadsheetml.table+xml"/>
  <Override PartName="/xl/tables/table61.xml" ContentType="application/vnd.openxmlformats-officedocument.spreadsheetml.table+xml"/>
  <Override PartName="/xl/charts/chart8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charts/chart9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drawings/drawing6.xml" ContentType="application/vnd.openxmlformats-officedocument.drawing+xml"/>
  <Override PartName="/xl/charts/chart10.xml" ContentType="application/vnd.openxmlformats-officedocument.drawingml.chart+xml"/>
  <Override PartName="/xl/charts/style10.xml" ContentType="application/vnd.ms-office.chartstyle+xml"/>
  <Override PartName="/xl/charts/colors10.xml" ContentType="application/vnd.ms-office.chartcolorstyle+xml"/>
  <Override PartName="/xl/drawings/drawing7.xml" ContentType="application/vnd.openxmlformats-officedocument.drawing+xml"/>
  <Override PartName="/xl/charts/chart11.xml" ContentType="application/vnd.openxmlformats-officedocument.drawingml.chart+xml"/>
  <Override PartName="/xl/charts/style11.xml" ContentType="application/vnd.ms-office.chartstyle+xml"/>
  <Override PartName="/xl/charts/colors11.xml" ContentType="application/vnd.ms-office.chartcolorstyle+xml"/>
  <Override PartName="/xl/charts/chart12.xml" ContentType="application/vnd.openxmlformats-officedocument.drawingml.chart+xml"/>
  <Override PartName="/xl/charts/style12.xml" ContentType="application/vnd.ms-office.chartstyle+xml"/>
  <Override PartName="/xl/charts/colors12.xml" ContentType="application/vnd.ms-office.chartcolorstyle+xml"/>
  <Override PartName="/xl/charts/chart13.xml" ContentType="application/vnd.openxmlformats-officedocument.drawingml.chart+xml"/>
  <Override PartName="/xl/charts/style13.xml" ContentType="application/vnd.ms-office.chartstyle+xml"/>
  <Override PartName="/xl/charts/colors13.xml" ContentType="application/vnd.ms-office.chartcolorstyle+xml"/>
  <Override PartName="/xl/drawings/drawing8.xml" ContentType="application/vnd.openxmlformats-officedocument.drawing+xml"/>
  <Override PartName="/xl/charts/chart14.xml" ContentType="application/vnd.openxmlformats-officedocument.drawingml.chart+xml"/>
  <Override PartName="/xl/charts/style14.xml" ContentType="application/vnd.ms-office.chartstyle+xml"/>
  <Override PartName="/xl/charts/colors14.xml" ContentType="application/vnd.ms-office.chartcolorstyle+xml"/>
  <Override PartName="/xl/drawings/drawing9.xml" ContentType="application/vnd.openxmlformats-officedocument.drawing+xml"/>
  <Override PartName="/xl/charts/chart15.xml" ContentType="application/vnd.openxmlformats-officedocument.drawingml.chart+xml"/>
  <Override PartName="/xl/charts/style15.xml" ContentType="application/vnd.ms-office.chartstyle+xml"/>
  <Override PartName="/xl/charts/colors15.xml" ContentType="application/vnd.ms-office.chartcolorstyle+xml"/>
  <Override PartName="/xl/charts/chart16.xml" ContentType="application/vnd.openxmlformats-officedocument.drawingml.chart+xml"/>
  <Override PartName="/xl/charts/style16.xml" ContentType="application/vnd.ms-office.chartstyle+xml"/>
  <Override PartName="/xl/charts/colors16.xml" ContentType="application/vnd.ms-office.chartcolorstyle+xml"/>
  <Override PartName="/xl/drawings/drawing10.xml" ContentType="application/vnd.openxmlformats-officedocument.drawing+xml"/>
  <Override PartName="/xl/tables/table62.xml" ContentType="application/vnd.openxmlformats-officedocument.spreadsheetml.table+xml"/>
  <Override PartName="/xl/tables/table63.xml" ContentType="application/vnd.openxmlformats-officedocument.spreadsheetml.table+xml"/>
  <Override PartName="/xl/tables/table64.xml" ContentType="application/vnd.openxmlformats-officedocument.spreadsheetml.table+xml"/>
  <Override PartName="/xl/tables/table65.xml" ContentType="application/vnd.openxmlformats-officedocument.spreadsheetml.table+xml"/>
  <Override PartName="/xl/tables/table66.xml" ContentType="application/vnd.openxmlformats-officedocument.spreadsheetml.table+xml"/>
  <Override PartName="/xl/tables/table67.xml" ContentType="application/vnd.openxmlformats-officedocument.spreadsheetml.table+xml"/>
  <Override PartName="/xl/drawings/drawing11.xml" ContentType="application/vnd.openxmlformats-officedocument.drawing+xml"/>
  <Override PartName="/xl/charts/chart17.xml" ContentType="application/vnd.openxmlformats-officedocument.drawingml.chart+xml"/>
  <Override PartName="/xl/charts/style17.xml" ContentType="application/vnd.ms-office.chartstyle+xml"/>
  <Override PartName="/xl/charts/colors17.xml" ContentType="application/vnd.ms-office.chartcolorstyle+xml"/>
  <Override PartName="/xl/charts/chart18.xml" ContentType="application/vnd.openxmlformats-officedocument.drawingml.chart+xml"/>
  <Override PartName="/xl/charts/style18.xml" ContentType="application/vnd.ms-office.chartstyle+xml"/>
  <Override PartName="/xl/charts/colors18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7328"/>
  <workbookPr autoCompressPictures="0"/>
  <mc:AlternateContent xmlns:mc="http://schemas.openxmlformats.org/markup-compatibility/2006">
    <mc:Choice Requires="x15">
      <x15ac:absPath xmlns:x15ac="http://schemas.microsoft.com/office/spreadsheetml/2010/11/ac" url="https://halmstad-my.sharepoint.com/personal/stefan_thorvaldsson_halmstad_se/Documents/Dokument/Stefan/BB2018/2023/"/>
    </mc:Choice>
  </mc:AlternateContent>
  <xr:revisionPtr revIDLastSave="1002" documentId="8_{0E1FE4F0-0030-496C-AE5F-8006757EA79B}" xr6:coauthVersionLast="47" xr6:coauthVersionMax="47" xr10:uidLastSave="{1755469E-D7C5-4154-9861-FEFA897AECC8}"/>
  <bookViews>
    <workbookView xWindow="-120" yWindow="-120" windowWidth="51840" windowHeight="21240" tabRatio="807" firstSheet="4" activeTab="9" xr2:uid="{00000000-000D-0000-FFFF-FFFF00000000}"/>
  </bookViews>
  <sheets>
    <sheet name="Scoreboard" sheetId="1" r:id="rId1"/>
    <sheet name="Öl &amp; Birdies" sheetId="3" r:id="rId2"/>
    <sheet name="Bästa Brutto &amp; Netto" sheetId="4" r:id="rId3"/>
    <sheet name="Ligastats" sheetId="6" r:id="rId4"/>
    <sheet name="Ranking" sheetId="5" r:id="rId5"/>
    <sheet name="Form-indikator" sheetId="10" r:id="rId6"/>
    <sheet name="Dream H" sheetId="18" r:id="rId7"/>
    <sheet name="Dreamscore" sheetId="7" r:id="rId8"/>
    <sheet name="DS Hopp" sheetId="15" r:id="rId9"/>
    <sheet name="DS utveckling" sheetId="14" r:id="rId10"/>
    <sheet name="Missade rundor" sheetId="17" r:id="rId11"/>
    <sheet name="CSV" sheetId="11" r:id="rId12"/>
    <sheet name="Snittscorer" sheetId="13" r:id="rId13"/>
    <sheet name="Prep avslut" sheetId="9" r:id="rId14"/>
    <sheet name="PLP Säsong" sheetId="16" r:id="rId15"/>
  </sheets>
  <definedNames>
    <definedName name="_xlnm._FilterDatabase" localSheetId="5" hidden="1">'Form-indikator'!$D$2:$I$17</definedName>
    <definedName name="_xlnm._FilterDatabase" localSheetId="0" hidden="1">Scoreboard!$B$3:$N$19</definedName>
  </definedNames>
  <calcPr calcId="191028"/>
  <fileRecoveryPr repairLoad="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S38" i="13" l="1"/>
  <c r="S19" i="13"/>
  <c r="D38" i="13"/>
  <c r="E38" i="13"/>
  <c r="F38" i="13"/>
  <c r="G38" i="13"/>
  <c r="H38" i="13"/>
  <c r="I38" i="13"/>
  <c r="J38" i="13"/>
  <c r="K38" i="13"/>
  <c r="L38" i="13"/>
  <c r="M38" i="13"/>
  <c r="N38" i="13"/>
  <c r="O38" i="13"/>
  <c r="P38" i="13"/>
  <c r="Q38" i="13"/>
  <c r="R38" i="13"/>
  <c r="D19" i="13"/>
  <c r="E19" i="13"/>
  <c r="F19" i="13"/>
  <c r="G19" i="13"/>
  <c r="H19" i="13"/>
  <c r="I19" i="13"/>
  <c r="J19" i="13"/>
  <c r="K19" i="13"/>
  <c r="L19" i="13"/>
  <c r="M19" i="13"/>
  <c r="N19" i="13"/>
  <c r="O19" i="13"/>
  <c r="P19" i="13"/>
  <c r="R19" i="13"/>
  <c r="Q19" i="13"/>
  <c r="AF4" i="1" l="1"/>
  <c r="S23" i="13"/>
  <c r="S24" i="13"/>
  <c r="S25" i="13"/>
  <c r="S26" i="13"/>
  <c r="S27" i="13"/>
  <c r="S28" i="13"/>
  <c r="S29" i="13"/>
  <c r="S30" i="13"/>
  <c r="S31" i="13"/>
  <c r="S32" i="13"/>
  <c r="S33" i="13"/>
  <c r="S34" i="13"/>
  <c r="S35" i="13"/>
  <c r="S36" i="13"/>
  <c r="S37" i="13"/>
  <c r="S22" i="13"/>
  <c r="S4" i="13"/>
  <c r="S5" i="13"/>
  <c r="S6" i="13"/>
  <c r="S7" i="13"/>
  <c r="S8" i="13"/>
  <c r="S9" i="13"/>
  <c r="S10" i="13"/>
  <c r="S11" i="13"/>
  <c r="S12" i="13"/>
  <c r="S13" i="13"/>
  <c r="S14" i="13"/>
  <c r="S15" i="13"/>
  <c r="S16" i="13"/>
  <c r="S17" i="13"/>
  <c r="S18" i="13"/>
  <c r="S3" i="13"/>
  <c r="E20" i="16"/>
  <c r="T25" i="16"/>
  <c r="T26" i="16"/>
  <c r="T27" i="16"/>
  <c r="T28" i="16"/>
  <c r="T29" i="16"/>
  <c r="T30" i="16"/>
  <c r="T31" i="16"/>
  <c r="T32" i="16"/>
  <c r="T33" i="16"/>
  <c r="T34" i="16"/>
  <c r="T35" i="16"/>
  <c r="T36" i="16"/>
  <c r="T37" i="16"/>
  <c r="T38" i="16"/>
  <c r="T39" i="16"/>
  <c r="T24" i="16"/>
  <c r="T4" i="16"/>
  <c r="T5" i="16"/>
  <c r="T7" i="16"/>
  <c r="T8" i="16"/>
  <c r="T9" i="16"/>
  <c r="T10" i="16"/>
  <c r="T11" i="16"/>
  <c r="T12" i="16"/>
  <c r="T13" i="16"/>
  <c r="T14" i="16"/>
  <c r="T15" i="16"/>
  <c r="T17" i="16"/>
  <c r="T3" i="16"/>
  <c r="L20" i="1"/>
  <c r="L40" i="1"/>
  <c r="F50" i="6"/>
  <c r="K40" i="1"/>
  <c r="K20" i="1"/>
  <c r="U91" i="14"/>
  <c r="T91" i="14"/>
  <c r="S91" i="14"/>
  <c r="R91" i="14"/>
  <c r="Q91" i="14"/>
  <c r="P91" i="14"/>
  <c r="O91" i="14"/>
  <c r="N91" i="14"/>
  <c r="M91" i="14"/>
  <c r="L91" i="14"/>
  <c r="K91" i="14"/>
  <c r="J91" i="14"/>
  <c r="I91" i="14"/>
  <c r="H91" i="14"/>
  <c r="G91" i="14"/>
  <c r="F91" i="14"/>
  <c r="E91" i="14"/>
  <c r="D91" i="14"/>
  <c r="U90" i="14"/>
  <c r="T90" i="14"/>
  <c r="S90" i="14"/>
  <c r="R90" i="14"/>
  <c r="Q90" i="14"/>
  <c r="P90" i="14"/>
  <c r="O90" i="14"/>
  <c r="N90" i="14"/>
  <c r="M90" i="14"/>
  <c r="L90" i="14"/>
  <c r="K90" i="14"/>
  <c r="J90" i="14"/>
  <c r="I90" i="14"/>
  <c r="H90" i="14"/>
  <c r="G90" i="14"/>
  <c r="F90" i="14"/>
  <c r="E90" i="14"/>
  <c r="D90" i="14"/>
  <c r="U89" i="14"/>
  <c r="T89" i="14"/>
  <c r="S89" i="14"/>
  <c r="R89" i="14"/>
  <c r="Q89" i="14"/>
  <c r="P89" i="14"/>
  <c r="O89" i="14"/>
  <c r="N89" i="14"/>
  <c r="M89" i="14"/>
  <c r="L89" i="14"/>
  <c r="K89" i="14"/>
  <c r="J89" i="14"/>
  <c r="I89" i="14"/>
  <c r="H89" i="14"/>
  <c r="G89" i="14"/>
  <c r="F89" i="14"/>
  <c r="E89" i="14"/>
  <c r="D89" i="14"/>
  <c r="U88" i="14"/>
  <c r="T88" i="14"/>
  <c r="S88" i="14"/>
  <c r="R88" i="14"/>
  <c r="Q88" i="14"/>
  <c r="P88" i="14"/>
  <c r="O88" i="14"/>
  <c r="N88" i="14"/>
  <c r="M88" i="14"/>
  <c r="L88" i="14"/>
  <c r="K88" i="14"/>
  <c r="J88" i="14"/>
  <c r="I88" i="14"/>
  <c r="H88" i="14"/>
  <c r="G88" i="14"/>
  <c r="F88" i="14"/>
  <c r="E88" i="14"/>
  <c r="D88" i="14"/>
  <c r="U87" i="14"/>
  <c r="T87" i="14"/>
  <c r="S87" i="14"/>
  <c r="R87" i="14"/>
  <c r="Q87" i="14"/>
  <c r="P87" i="14"/>
  <c r="O87" i="14"/>
  <c r="N87" i="14"/>
  <c r="M87" i="14"/>
  <c r="L87" i="14"/>
  <c r="K87" i="14"/>
  <c r="J87" i="14"/>
  <c r="I87" i="14"/>
  <c r="H87" i="14"/>
  <c r="G87" i="14"/>
  <c r="F87" i="14"/>
  <c r="E87" i="14"/>
  <c r="D87" i="14"/>
  <c r="U86" i="14"/>
  <c r="T86" i="14"/>
  <c r="S86" i="14"/>
  <c r="R86" i="14"/>
  <c r="Q86" i="14"/>
  <c r="P86" i="14"/>
  <c r="O86" i="14"/>
  <c r="N86" i="14"/>
  <c r="M86" i="14"/>
  <c r="L86" i="14"/>
  <c r="K86" i="14"/>
  <c r="J86" i="14"/>
  <c r="I86" i="14"/>
  <c r="H86" i="14"/>
  <c r="G86" i="14"/>
  <c r="F86" i="14"/>
  <c r="E86" i="14"/>
  <c r="D86" i="14"/>
  <c r="U85" i="14"/>
  <c r="T85" i="14"/>
  <c r="S85" i="14"/>
  <c r="R85" i="14"/>
  <c r="Q85" i="14"/>
  <c r="P85" i="14"/>
  <c r="O85" i="14"/>
  <c r="N85" i="14"/>
  <c r="M85" i="14"/>
  <c r="L85" i="14"/>
  <c r="K85" i="14"/>
  <c r="J85" i="14"/>
  <c r="I85" i="14"/>
  <c r="H85" i="14"/>
  <c r="G85" i="14"/>
  <c r="F85" i="14"/>
  <c r="E85" i="14"/>
  <c r="D85" i="14"/>
  <c r="U84" i="14"/>
  <c r="T84" i="14"/>
  <c r="S84" i="14"/>
  <c r="R84" i="14"/>
  <c r="Q84" i="14"/>
  <c r="P84" i="14"/>
  <c r="O84" i="14"/>
  <c r="N84" i="14"/>
  <c r="M84" i="14"/>
  <c r="L84" i="14"/>
  <c r="K84" i="14"/>
  <c r="J84" i="14"/>
  <c r="I84" i="14"/>
  <c r="H84" i="14"/>
  <c r="G84" i="14"/>
  <c r="F84" i="14"/>
  <c r="E84" i="14"/>
  <c r="D84" i="14"/>
  <c r="U83" i="14"/>
  <c r="T83" i="14"/>
  <c r="S83" i="14"/>
  <c r="R83" i="14"/>
  <c r="Q83" i="14"/>
  <c r="P83" i="14"/>
  <c r="O83" i="14"/>
  <c r="N83" i="14"/>
  <c r="M83" i="14"/>
  <c r="L83" i="14"/>
  <c r="K83" i="14"/>
  <c r="J83" i="14"/>
  <c r="I83" i="14"/>
  <c r="H83" i="14"/>
  <c r="G83" i="14"/>
  <c r="F83" i="14"/>
  <c r="E83" i="14"/>
  <c r="D83" i="14"/>
  <c r="U82" i="14"/>
  <c r="T82" i="14"/>
  <c r="S82" i="14"/>
  <c r="R82" i="14"/>
  <c r="Q82" i="14"/>
  <c r="P82" i="14"/>
  <c r="O82" i="14"/>
  <c r="N82" i="14"/>
  <c r="M82" i="14"/>
  <c r="L82" i="14"/>
  <c r="K82" i="14"/>
  <c r="J82" i="14"/>
  <c r="I82" i="14"/>
  <c r="H82" i="14"/>
  <c r="G82" i="14"/>
  <c r="F82" i="14"/>
  <c r="E82" i="14"/>
  <c r="D82" i="14"/>
  <c r="U81" i="14"/>
  <c r="T81" i="14"/>
  <c r="S81" i="14"/>
  <c r="R81" i="14"/>
  <c r="Q81" i="14"/>
  <c r="P81" i="14"/>
  <c r="O81" i="14"/>
  <c r="N81" i="14"/>
  <c r="M81" i="14"/>
  <c r="L81" i="14"/>
  <c r="K81" i="14"/>
  <c r="J81" i="14"/>
  <c r="I81" i="14"/>
  <c r="H81" i="14"/>
  <c r="G81" i="14"/>
  <c r="F81" i="14"/>
  <c r="E81" i="14"/>
  <c r="D81" i="14"/>
  <c r="U80" i="14"/>
  <c r="T80" i="14"/>
  <c r="S80" i="14"/>
  <c r="R80" i="14"/>
  <c r="Q80" i="14"/>
  <c r="P80" i="14"/>
  <c r="O80" i="14"/>
  <c r="N80" i="14"/>
  <c r="M80" i="14"/>
  <c r="L80" i="14"/>
  <c r="K80" i="14"/>
  <c r="J80" i="14"/>
  <c r="I80" i="14"/>
  <c r="H80" i="14"/>
  <c r="G80" i="14"/>
  <c r="F80" i="14"/>
  <c r="E80" i="14"/>
  <c r="D80" i="14"/>
  <c r="U79" i="14"/>
  <c r="T79" i="14"/>
  <c r="S79" i="14"/>
  <c r="R79" i="14"/>
  <c r="Q79" i="14"/>
  <c r="P79" i="14"/>
  <c r="O79" i="14"/>
  <c r="N79" i="14"/>
  <c r="M79" i="14"/>
  <c r="L79" i="14"/>
  <c r="K79" i="14"/>
  <c r="J79" i="14"/>
  <c r="I79" i="14"/>
  <c r="H79" i="14"/>
  <c r="G79" i="14"/>
  <c r="F79" i="14"/>
  <c r="E79" i="14"/>
  <c r="D79" i="14"/>
  <c r="U78" i="14"/>
  <c r="T78" i="14"/>
  <c r="S78" i="14"/>
  <c r="R78" i="14"/>
  <c r="Q78" i="14"/>
  <c r="P78" i="14"/>
  <c r="O78" i="14"/>
  <c r="N78" i="14"/>
  <c r="M78" i="14"/>
  <c r="L78" i="14"/>
  <c r="K78" i="14"/>
  <c r="J78" i="14"/>
  <c r="I78" i="14"/>
  <c r="H78" i="14"/>
  <c r="G78" i="14"/>
  <c r="F78" i="14"/>
  <c r="E78" i="14"/>
  <c r="D78" i="14"/>
  <c r="U77" i="14"/>
  <c r="T77" i="14"/>
  <c r="S77" i="14"/>
  <c r="R77" i="14"/>
  <c r="Q77" i="14"/>
  <c r="P77" i="14"/>
  <c r="O77" i="14"/>
  <c r="N77" i="14"/>
  <c r="M77" i="14"/>
  <c r="L77" i="14"/>
  <c r="K77" i="14"/>
  <c r="J77" i="14"/>
  <c r="I77" i="14"/>
  <c r="H77" i="14"/>
  <c r="G77" i="14"/>
  <c r="F77" i="14"/>
  <c r="E77" i="14"/>
  <c r="D77" i="14"/>
  <c r="U76" i="14"/>
  <c r="T76" i="14"/>
  <c r="S76" i="14"/>
  <c r="R76" i="14"/>
  <c r="Q76" i="14"/>
  <c r="P76" i="14"/>
  <c r="O76" i="14"/>
  <c r="N76" i="14"/>
  <c r="M76" i="14"/>
  <c r="L76" i="14"/>
  <c r="K76" i="14"/>
  <c r="J76" i="14"/>
  <c r="I76" i="14"/>
  <c r="H76" i="14"/>
  <c r="G76" i="14"/>
  <c r="F76" i="14"/>
  <c r="E76" i="14"/>
  <c r="D76" i="14"/>
  <c r="U75" i="14"/>
  <c r="T75" i="14"/>
  <c r="S75" i="14"/>
  <c r="R75" i="14"/>
  <c r="Q75" i="14"/>
  <c r="P75" i="14"/>
  <c r="O75" i="14"/>
  <c r="N75" i="14"/>
  <c r="M75" i="14"/>
  <c r="L75" i="14"/>
  <c r="K75" i="14"/>
  <c r="J75" i="14"/>
  <c r="I75" i="14"/>
  <c r="H75" i="14"/>
  <c r="G75" i="14"/>
  <c r="F75" i="14"/>
  <c r="E75" i="14"/>
  <c r="D75" i="14"/>
  <c r="D15" i="17" l="1"/>
  <c r="D12" i="17"/>
  <c r="D9" i="17"/>
  <c r="D7" i="17"/>
  <c r="D8" i="17"/>
  <c r="D10" i="17"/>
  <c r="D11" i="17"/>
  <c r="D13" i="17"/>
  <c r="D14" i="17"/>
  <c r="D16" i="17"/>
  <c r="D17" i="17"/>
  <c r="D18" i="17"/>
  <c r="D19" i="17"/>
  <c r="D6" i="17"/>
  <c r="D5" i="17"/>
  <c r="J40" i="1"/>
  <c r="J20" i="1"/>
  <c r="F73" i="14"/>
  <c r="E73" i="14"/>
  <c r="D73" i="14"/>
  <c r="F72" i="14"/>
  <c r="E72" i="14"/>
  <c r="D72" i="14"/>
  <c r="D71" i="14"/>
  <c r="E70" i="14"/>
  <c r="D70" i="14"/>
  <c r="H69" i="14"/>
  <c r="F69" i="14"/>
  <c r="E69" i="14"/>
  <c r="D69" i="14"/>
  <c r="E68" i="14"/>
  <c r="D68" i="14"/>
  <c r="D67" i="14"/>
  <c r="D66" i="14"/>
  <c r="D65" i="14"/>
  <c r="D64" i="14"/>
  <c r="D63" i="14"/>
  <c r="D62" i="14"/>
  <c r="E61" i="14"/>
  <c r="D61" i="14"/>
  <c r="F60" i="14"/>
  <c r="E60" i="14"/>
  <c r="D60" i="14"/>
  <c r="F59" i="14"/>
  <c r="E59" i="14"/>
  <c r="D59" i="14"/>
  <c r="E58" i="14"/>
  <c r="D58" i="14"/>
  <c r="Z22" i="13"/>
  <c r="Z23" i="13"/>
  <c r="Z24" i="13"/>
  <c r="Z25" i="13"/>
  <c r="Z26" i="13"/>
  <c r="Z27" i="13"/>
  <c r="Z28" i="13"/>
  <c r="Z29" i="13"/>
  <c r="Z30" i="13"/>
  <c r="Z31" i="13"/>
  <c r="Z32" i="13"/>
  <c r="Z33" i="13"/>
  <c r="Z34" i="13"/>
  <c r="Z35" i="13"/>
  <c r="Z36" i="13"/>
  <c r="Z37" i="13"/>
  <c r="Z4" i="13"/>
  <c r="Z5" i="13"/>
  <c r="Z6" i="13"/>
  <c r="Z7" i="13"/>
  <c r="Z8" i="13"/>
  <c r="Z9" i="13"/>
  <c r="Z10" i="13"/>
  <c r="Z11" i="13"/>
  <c r="Z12" i="13"/>
  <c r="Z13" i="13"/>
  <c r="Z14" i="13"/>
  <c r="Z15" i="13"/>
  <c r="Z16" i="13"/>
  <c r="Z17" i="13"/>
  <c r="Z18" i="13"/>
  <c r="Z3" i="13"/>
  <c r="I40" i="1" l="1"/>
  <c r="I20" i="1"/>
  <c r="AB135" i="7"/>
  <c r="V145" i="7"/>
  <c r="H40" i="1"/>
  <c r="H20" i="1"/>
  <c r="G40" i="1"/>
  <c r="G20" i="1"/>
  <c r="F40" i="1"/>
  <c r="F20" i="1"/>
  <c r="E40" i="1"/>
  <c r="E20" i="1"/>
  <c r="V75" i="7"/>
  <c r="D40" i="1"/>
  <c r="D20" i="1"/>
  <c r="K19" i="3"/>
  <c r="K18" i="3"/>
  <c r="K17" i="3"/>
  <c r="K16" i="3"/>
  <c r="K15" i="3"/>
  <c r="K14" i="3"/>
  <c r="K13" i="3"/>
  <c r="K12" i="3"/>
  <c r="K11" i="3"/>
  <c r="K10" i="3"/>
  <c r="K9" i="3"/>
  <c r="K8" i="3"/>
  <c r="K7" i="3"/>
  <c r="K5" i="3"/>
  <c r="K6" i="3"/>
  <c r="K4" i="3"/>
  <c r="E19" i="3"/>
  <c r="E18" i="3"/>
  <c r="E17" i="3"/>
  <c r="E16" i="3"/>
  <c r="E14" i="3"/>
  <c r="E13" i="3"/>
  <c r="E12" i="3"/>
  <c r="E11" i="3"/>
  <c r="E10" i="3"/>
  <c r="E9" i="3"/>
  <c r="E8" i="3"/>
  <c r="E7" i="3"/>
  <c r="E6" i="3"/>
  <c r="E5" i="3"/>
  <c r="E4" i="3"/>
  <c r="E15" i="3"/>
  <c r="AD22" i="7"/>
  <c r="X37" i="13" l="1"/>
  <c r="X23" i="13"/>
  <c r="X32" i="13"/>
  <c r="X33" i="13"/>
  <c r="X34" i="13"/>
  <c r="X35" i="13"/>
  <c r="X4" i="13"/>
  <c r="X6" i="13"/>
  <c r="X7" i="13"/>
  <c r="X8" i="13"/>
  <c r="X9" i="13"/>
  <c r="X10" i="13"/>
  <c r="X11" i="13"/>
  <c r="X12" i="13"/>
  <c r="X13" i="13"/>
  <c r="X14" i="13"/>
  <c r="X15" i="13"/>
  <c r="X16" i="13"/>
  <c r="X17" i="13"/>
  <c r="X18" i="13"/>
  <c r="X5" i="13"/>
  <c r="X22" i="13"/>
  <c r="X24" i="13"/>
  <c r="X25" i="13"/>
  <c r="X26" i="13"/>
  <c r="X27" i="13"/>
  <c r="X28" i="13"/>
  <c r="X29" i="13"/>
  <c r="X30" i="13"/>
  <c r="X31" i="13"/>
  <c r="X36" i="13"/>
  <c r="X3" i="13"/>
  <c r="AB182" i="7"/>
  <c r="N19" i="1"/>
  <c r="N24" i="1"/>
  <c r="F16" i="5" l="1"/>
  <c r="AI39" i="1"/>
  <c r="AL39" i="1" s="1"/>
  <c r="AJ39" i="1"/>
  <c r="AM39" i="1" s="1"/>
  <c r="AH39" i="1"/>
  <c r="AK39" i="1" s="1"/>
  <c r="AH40" i="1"/>
  <c r="AK40" i="1" s="1"/>
  <c r="AN40" i="1" s="1"/>
  <c r="AI40" i="1"/>
  <c r="AL40" i="1" s="1"/>
  <c r="AJ40" i="1"/>
  <c r="AM40" i="1" s="1"/>
  <c r="AH19" i="1"/>
  <c r="AK19" i="1" s="1"/>
  <c r="AI19" i="1"/>
  <c r="AL19" i="1" s="1"/>
  <c r="AJ19" i="1"/>
  <c r="AM19" i="1" s="1"/>
  <c r="W23" i="13"/>
  <c r="W24" i="13"/>
  <c r="W25" i="13"/>
  <c r="W26" i="13"/>
  <c r="W27" i="13"/>
  <c r="W28" i="13"/>
  <c r="W29" i="13"/>
  <c r="W30" i="13"/>
  <c r="W31" i="13"/>
  <c r="W32" i="13"/>
  <c r="W33" i="13"/>
  <c r="W34" i="13"/>
  <c r="W35" i="13"/>
  <c r="W36" i="13"/>
  <c r="W22" i="13"/>
  <c r="W4" i="13"/>
  <c r="W5" i="13"/>
  <c r="W6" i="13"/>
  <c r="W7" i="13"/>
  <c r="W8" i="13"/>
  <c r="W9" i="13"/>
  <c r="W10" i="13"/>
  <c r="W11" i="13"/>
  <c r="W12" i="13"/>
  <c r="W13" i="13"/>
  <c r="W14" i="13"/>
  <c r="W15" i="13"/>
  <c r="W16" i="13"/>
  <c r="W17" i="13"/>
  <c r="W3" i="13"/>
  <c r="AN39" i="1" l="1"/>
  <c r="AN19" i="1"/>
  <c r="AF5" i="1"/>
  <c r="AF6" i="1"/>
  <c r="AF7" i="1"/>
  <c r="AF8" i="1"/>
  <c r="AF9" i="1"/>
  <c r="AF10" i="1"/>
  <c r="AF11" i="1"/>
  <c r="AF12" i="1"/>
  <c r="AF13" i="1"/>
  <c r="AF14" i="1"/>
  <c r="AF15" i="1"/>
  <c r="AF16" i="1"/>
  <c r="AF17" i="1"/>
  <c r="AF18" i="1"/>
  <c r="AF19" i="1"/>
  <c r="AC20" i="1"/>
  <c r="AC21" i="1" s="1"/>
  <c r="D19" i="4"/>
  <c r="N18" i="1"/>
  <c r="N4" i="1"/>
  <c r="N5" i="1"/>
  <c r="N6" i="1"/>
  <c r="N7" i="1"/>
  <c r="N8" i="1"/>
  <c r="N9" i="1"/>
  <c r="N10" i="1"/>
  <c r="N11" i="1"/>
  <c r="N12" i="1"/>
  <c r="N13" i="1"/>
  <c r="N14" i="1"/>
  <c r="N15" i="1"/>
  <c r="N16" i="1"/>
  <c r="N17" i="1"/>
  <c r="J19" i="4"/>
  <c r="L19" i="4" s="1"/>
  <c r="V147" i="7"/>
  <c r="X147" i="7" s="1"/>
  <c r="V148" i="7"/>
  <c r="V149" i="7"/>
  <c r="V150" i="7"/>
  <c r="V151" i="7"/>
  <c r="V152" i="7"/>
  <c r="V153" i="7"/>
  <c r="V154" i="7"/>
  <c r="V155" i="7"/>
  <c r="V156" i="7"/>
  <c r="L19" i="3"/>
  <c r="F19" i="5"/>
  <c r="L19" i="5"/>
  <c r="E21" i="7"/>
  <c r="F21" i="7"/>
  <c r="G21" i="7"/>
  <c r="H21" i="7"/>
  <c r="I21" i="7"/>
  <c r="J21" i="7"/>
  <c r="K21" i="7"/>
  <c r="L21" i="7"/>
  <c r="M21" i="7"/>
  <c r="N21" i="7"/>
  <c r="O21" i="7"/>
  <c r="P21" i="7"/>
  <c r="Q21" i="7"/>
  <c r="R21" i="7"/>
  <c r="S21" i="7"/>
  <c r="T21" i="7"/>
  <c r="U21" i="7"/>
  <c r="D21" i="7"/>
  <c r="F19" i="3"/>
  <c r="Z24" i="1"/>
  <c r="D3" i="16" s="1"/>
  <c r="N39" i="1"/>
  <c r="AE39" i="1" s="1"/>
  <c r="M40" i="1"/>
  <c r="Z38" i="1"/>
  <c r="D17" i="16" s="1"/>
  <c r="N38" i="1"/>
  <c r="Z28" i="1"/>
  <c r="D7" i="16" s="1"/>
  <c r="N28" i="1"/>
  <c r="Z8" i="1"/>
  <c r="Z18" i="1"/>
  <c r="M20" i="1"/>
  <c r="Z19" i="1"/>
  <c r="V7" i="16" l="1"/>
  <c r="Y7" i="16"/>
  <c r="Z7" i="16" s="1"/>
  <c r="W7" i="16"/>
  <c r="Y17" i="16"/>
  <c r="Z17" i="16" s="1"/>
  <c r="V17" i="16"/>
  <c r="W17" i="16"/>
  <c r="V3" i="16"/>
  <c r="Y3" i="16"/>
  <c r="Z3" i="16" s="1"/>
  <c r="W3" i="16"/>
  <c r="AP19" i="1"/>
  <c r="I6" i="10" s="1"/>
  <c r="F19" i="4"/>
  <c r="V21" i="7"/>
  <c r="X21" i="7" s="1"/>
  <c r="N40" i="1"/>
  <c r="D18" i="4"/>
  <c r="D39" i="5" l="1"/>
  <c r="AF21" i="7"/>
  <c r="G6" i="10"/>
  <c r="E56" i="13"/>
  <c r="F56" i="13"/>
  <c r="G56" i="13"/>
  <c r="H56" i="13"/>
  <c r="I56" i="13"/>
  <c r="L56" i="13"/>
  <c r="M56" i="13"/>
  <c r="N56" i="13"/>
  <c r="D56" i="13"/>
  <c r="F55" i="13"/>
  <c r="E55" i="13"/>
  <c r="D55" i="13"/>
  <c r="G55" i="13"/>
  <c r="H55" i="13"/>
  <c r="I55" i="13"/>
  <c r="L55" i="13"/>
  <c r="M55" i="13"/>
  <c r="N55" i="13"/>
  <c r="E54" i="13"/>
  <c r="D54" i="13"/>
  <c r="F54" i="13"/>
  <c r="G54" i="13"/>
  <c r="H54" i="13"/>
  <c r="I54" i="13"/>
  <c r="L54" i="13"/>
  <c r="M54" i="13"/>
  <c r="N54" i="13"/>
  <c r="E53" i="13"/>
  <c r="F53" i="13"/>
  <c r="G53" i="13"/>
  <c r="H53" i="13"/>
  <c r="I53" i="13"/>
  <c r="L53" i="13"/>
  <c r="M53" i="13"/>
  <c r="N53" i="13"/>
  <c r="D53" i="13"/>
  <c r="E52" i="13"/>
  <c r="F52" i="13"/>
  <c r="G52" i="13"/>
  <c r="H52" i="13"/>
  <c r="I52" i="13"/>
  <c r="L52" i="13"/>
  <c r="M52" i="13"/>
  <c r="N52" i="13"/>
  <c r="D52" i="13"/>
  <c r="M51" i="13"/>
  <c r="L51" i="13"/>
  <c r="I51" i="13"/>
  <c r="H51" i="13"/>
  <c r="G51" i="13"/>
  <c r="F51" i="13"/>
  <c r="E51" i="13"/>
  <c r="D51" i="13"/>
  <c r="N51" i="13"/>
  <c r="D50" i="13"/>
  <c r="E50" i="13"/>
  <c r="F50" i="13"/>
  <c r="G50" i="13"/>
  <c r="H50" i="13"/>
  <c r="I50" i="13"/>
  <c r="L50" i="13"/>
  <c r="M50" i="13"/>
  <c r="N50" i="13"/>
  <c r="E46" i="13"/>
  <c r="F46" i="13"/>
  <c r="G46" i="13"/>
  <c r="H46" i="13"/>
  <c r="I46" i="13"/>
  <c r="L46" i="13"/>
  <c r="M46" i="13"/>
  <c r="N46" i="13"/>
  <c r="D46" i="13"/>
  <c r="M45" i="13"/>
  <c r="F45" i="13"/>
  <c r="E45" i="13"/>
  <c r="D45" i="13"/>
  <c r="G45" i="13"/>
  <c r="H45" i="13"/>
  <c r="I45" i="13"/>
  <c r="L45" i="13"/>
  <c r="N45" i="13"/>
  <c r="E44" i="13"/>
  <c r="D44" i="13"/>
  <c r="F44" i="13"/>
  <c r="G44" i="13"/>
  <c r="H44" i="13"/>
  <c r="I44" i="13"/>
  <c r="L44" i="13"/>
  <c r="M44" i="13"/>
  <c r="N44" i="13"/>
  <c r="E43" i="13"/>
  <c r="F43" i="13"/>
  <c r="G43" i="13"/>
  <c r="H43" i="13"/>
  <c r="I43" i="13"/>
  <c r="L43" i="13"/>
  <c r="M43" i="13"/>
  <c r="N43" i="13"/>
  <c r="D43" i="13"/>
  <c r="E42" i="13"/>
  <c r="F42" i="13"/>
  <c r="G42" i="13"/>
  <c r="H42" i="13"/>
  <c r="I42" i="13"/>
  <c r="L42" i="13"/>
  <c r="M42" i="13"/>
  <c r="N42" i="13"/>
  <c r="D42" i="13"/>
  <c r="N41" i="13"/>
  <c r="M41" i="13"/>
  <c r="L41" i="13"/>
  <c r="E41" i="13"/>
  <c r="F41" i="13"/>
  <c r="G41" i="13"/>
  <c r="H41" i="13"/>
  <c r="I41" i="13"/>
  <c r="D41" i="13"/>
  <c r="S41" i="13" s="1"/>
  <c r="F40" i="13"/>
  <c r="G40" i="13"/>
  <c r="H40" i="13"/>
  <c r="I40" i="13"/>
  <c r="L40" i="13"/>
  <c r="M40" i="13"/>
  <c r="N40" i="13"/>
  <c r="E40" i="13"/>
  <c r="D40" i="13"/>
  <c r="S40" i="13" l="1"/>
  <c r="S46" i="13"/>
  <c r="S55" i="13"/>
  <c r="S52" i="13"/>
  <c r="S54" i="13"/>
  <c r="S56" i="13"/>
  <c r="S50" i="13"/>
  <c r="S42" i="13"/>
  <c r="S53" i="13"/>
  <c r="S51" i="13"/>
  <c r="S45" i="13"/>
  <c r="S43" i="13"/>
  <c r="S44" i="13"/>
  <c r="X26" i="7"/>
  <c r="K6" i="9" l="1"/>
  <c r="K7" i="9"/>
  <c r="K8" i="9"/>
  <c r="K9" i="9"/>
  <c r="K10" i="9"/>
  <c r="K11" i="9"/>
  <c r="K12" i="9"/>
  <c r="K13" i="9"/>
  <c r="K14" i="9"/>
  <c r="K15" i="9"/>
  <c r="K16" i="9"/>
  <c r="K17" i="9"/>
  <c r="K18" i="9"/>
  <c r="K19" i="9"/>
  <c r="J6" i="9"/>
  <c r="J7" i="9"/>
  <c r="J8" i="9"/>
  <c r="J9" i="9"/>
  <c r="J10" i="9"/>
  <c r="J11" i="9"/>
  <c r="J12" i="9"/>
  <c r="J13" i="9"/>
  <c r="J14" i="9"/>
  <c r="J15" i="9"/>
  <c r="J16" i="9"/>
  <c r="J17" i="9"/>
  <c r="J18" i="9"/>
  <c r="J19" i="9"/>
  <c r="L19" i="9" s="1"/>
  <c r="G6" i="9"/>
  <c r="G7" i="9"/>
  <c r="G8" i="9"/>
  <c r="G9" i="9"/>
  <c r="G10" i="9"/>
  <c r="G11" i="9"/>
  <c r="G12" i="9"/>
  <c r="G13" i="9"/>
  <c r="G14" i="9"/>
  <c r="G15" i="9"/>
  <c r="G16" i="9"/>
  <c r="G17" i="9"/>
  <c r="G18" i="9"/>
  <c r="G19" i="9"/>
  <c r="F6" i="9"/>
  <c r="F7" i="9"/>
  <c r="F8" i="9"/>
  <c r="F9" i="9"/>
  <c r="F10" i="9"/>
  <c r="F11" i="9"/>
  <c r="F12" i="9"/>
  <c r="F13" i="9"/>
  <c r="F14" i="9"/>
  <c r="F15" i="9"/>
  <c r="F16" i="9"/>
  <c r="F17" i="9"/>
  <c r="F18" i="9"/>
  <c r="F19" i="9"/>
  <c r="H19" i="9" l="1"/>
  <c r="H16" i="9"/>
  <c r="H12" i="9"/>
  <c r="H8" i="9"/>
  <c r="L16" i="9"/>
  <c r="L12" i="9"/>
  <c r="L8" i="9"/>
  <c r="H17" i="9"/>
  <c r="H9" i="9"/>
  <c r="L17" i="9"/>
  <c r="L13" i="9"/>
  <c r="L9" i="9"/>
  <c r="H13" i="9"/>
  <c r="H6" i="9"/>
  <c r="H15" i="9"/>
  <c r="H11" i="9"/>
  <c r="H7" i="9"/>
  <c r="L15" i="9"/>
  <c r="L11" i="9"/>
  <c r="L7" i="9"/>
  <c r="H18" i="9"/>
  <c r="H14" i="9"/>
  <c r="H10" i="9"/>
  <c r="L18" i="9"/>
  <c r="L14" i="9"/>
  <c r="L10" i="9"/>
  <c r="L6" i="9"/>
  <c r="K20" i="9" l="1"/>
  <c r="K5" i="9"/>
  <c r="J20" i="9"/>
  <c r="J5" i="9"/>
  <c r="G20" i="9"/>
  <c r="G5" i="9"/>
  <c r="F20" i="9"/>
  <c r="F5" i="9"/>
  <c r="P20" i="9"/>
  <c r="N20" i="9"/>
  <c r="P16" i="9"/>
  <c r="N16" i="9"/>
  <c r="S16" i="9" s="1"/>
  <c r="P18" i="9"/>
  <c r="P17" i="9"/>
  <c r="P15" i="9"/>
  <c r="P14" i="9"/>
  <c r="P13" i="9"/>
  <c r="P11" i="9"/>
  <c r="P10" i="9"/>
  <c r="P9" i="9"/>
  <c r="P8" i="9"/>
  <c r="P7" i="9"/>
  <c r="P6" i="9"/>
  <c r="P5" i="9"/>
  <c r="N18" i="9"/>
  <c r="N17" i="9"/>
  <c r="N15" i="9"/>
  <c r="N14" i="9"/>
  <c r="N13" i="9"/>
  <c r="N11" i="9"/>
  <c r="N10" i="9"/>
  <c r="N9" i="9"/>
  <c r="N8" i="9"/>
  <c r="N7" i="9"/>
  <c r="N6" i="9"/>
  <c r="N5" i="9"/>
  <c r="L20" i="9" l="1"/>
  <c r="B6" i="9"/>
  <c r="H20" i="9"/>
  <c r="S14" i="9"/>
  <c r="E19" i="7" l="1"/>
  <c r="F19" i="7"/>
  <c r="D19" i="7"/>
  <c r="AJ38" i="1" l="1"/>
  <c r="AM38" i="1" s="1"/>
  <c r="AI25" i="1"/>
  <c r="AL25" i="1" s="1"/>
  <c r="AJ25" i="1"/>
  <c r="AM25" i="1" s="1"/>
  <c r="AI26" i="1"/>
  <c r="AL26" i="1" s="1"/>
  <c r="AJ26" i="1"/>
  <c r="AM26" i="1" s="1"/>
  <c r="AI27" i="1"/>
  <c r="AL27" i="1" s="1"/>
  <c r="AJ27" i="1"/>
  <c r="AM27" i="1" s="1"/>
  <c r="AI28" i="1"/>
  <c r="AL28" i="1" s="1"/>
  <c r="AJ28" i="1"/>
  <c r="AM28" i="1" s="1"/>
  <c r="AI29" i="1"/>
  <c r="AL29" i="1" s="1"/>
  <c r="AJ29" i="1"/>
  <c r="AM29" i="1" s="1"/>
  <c r="AI30" i="1"/>
  <c r="AL30" i="1" s="1"/>
  <c r="AJ30" i="1"/>
  <c r="AM30" i="1" s="1"/>
  <c r="AI31" i="1"/>
  <c r="AL31" i="1" s="1"/>
  <c r="AJ31" i="1"/>
  <c r="AM31" i="1" s="1"/>
  <c r="AI32" i="1"/>
  <c r="AL32" i="1" s="1"/>
  <c r="AJ32" i="1"/>
  <c r="AM32" i="1" s="1"/>
  <c r="AI33" i="1"/>
  <c r="AL33" i="1" s="1"/>
  <c r="AJ33" i="1"/>
  <c r="AM33" i="1" s="1"/>
  <c r="AI34" i="1"/>
  <c r="AL34" i="1" s="1"/>
  <c r="AJ34" i="1"/>
  <c r="AM34" i="1" s="1"/>
  <c r="AI35" i="1"/>
  <c r="AL35" i="1" s="1"/>
  <c r="AJ35" i="1"/>
  <c r="AM35" i="1" s="1"/>
  <c r="AI36" i="1"/>
  <c r="AL36" i="1" s="1"/>
  <c r="AJ36" i="1"/>
  <c r="AM36" i="1" s="1"/>
  <c r="AI37" i="1"/>
  <c r="AL37" i="1" s="1"/>
  <c r="AJ37" i="1"/>
  <c r="AM37" i="1" s="1"/>
  <c r="AI24" i="1"/>
  <c r="AL24" i="1" s="1"/>
  <c r="AJ24" i="1"/>
  <c r="AM24" i="1" s="1"/>
  <c r="AI38" i="1"/>
  <c r="AL38" i="1" s="1"/>
  <c r="AH25" i="1"/>
  <c r="AK25" i="1" s="1"/>
  <c r="AH26" i="1"/>
  <c r="AK26" i="1" s="1"/>
  <c r="AH27" i="1"/>
  <c r="AK27" i="1" s="1"/>
  <c r="AH28" i="1"/>
  <c r="AK28" i="1" s="1"/>
  <c r="AH29" i="1"/>
  <c r="AK29" i="1" s="1"/>
  <c r="AH30" i="1"/>
  <c r="AK30" i="1" s="1"/>
  <c r="AH31" i="1"/>
  <c r="AK31" i="1" s="1"/>
  <c r="AH32" i="1"/>
  <c r="AK32" i="1" s="1"/>
  <c r="AH33" i="1"/>
  <c r="AK33" i="1" s="1"/>
  <c r="AH34" i="1"/>
  <c r="AK34" i="1" s="1"/>
  <c r="AH35" i="1"/>
  <c r="AK35" i="1" s="1"/>
  <c r="AH36" i="1"/>
  <c r="AK36" i="1" s="1"/>
  <c r="AH37" i="1"/>
  <c r="AK37" i="1" s="1"/>
  <c r="AH38" i="1"/>
  <c r="AK38" i="1" s="1"/>
  <c r="AH24" i="1"/>
  <c r="AK24" i="1" s="1"/>
  <c r="AJ5" i="1"/>
  <c r="AM5" i="1" s="1"/>
  <c r="AJ6" i="1"/>
  <c r="AM6" i="1" s="1"/>
  <c r="AJ7" i="1"/>
  <c r="AM7" i="1" s="1"/>
  <c r="AJ8" i="1"/>
  <c r="AM8" i="1" s="1"/>
  <c r="AJ9" i="1"/>
  <c r="AM9" i="1" s="1"/>
  <c r="AJ10" i="1"/>
  <c r="AM10" i="1" s="1"/>
  <c r="AJ11" i="1"/>
  <c r="AM11" i="1" s="1"/>
  <c r="AJ12" i="1"/>
  <c r="AM12" i="1" s="1"/>
  <c r="AJ13" i="1"/>
  <c r="AM13" i="1" s="1"/>
  <c r="AJ14" i="1"/>
  <c r="AM14" i="1" s="1"/>
  <c r="AJ15" i="1"/>
  <c r="AM15" i="1" s="1"/>
  <c r="AJ16" i="1"/>
  <c r="AM16" i="1" s="1"/>
  <c r="AJ17" i="1"/>
  <c r="AM17" i="1" s="1"/>
  <c r="AJ18" i="1"/>
  <c r="AM18" i="1" s="1"/>
  <c r="AJ4" i="1"/>
  <c r="AM4" i="1" s="1"/>
  <c r="AI5" i="1"/>
  <c r="AL5" i="1" s="1"/>
  <c r="AI6" i="1"/>
  <c r="AL6" i="1" s="1"/>
  <c r="AI7" i="1"/>
  <c r="AL7" i="1" s="1"/>
  <c r="AI8" i="1"/>
  <c r="AL8" i="1" s="1"/>
  <c r="AI9" i="1"/>
  <c r="AL9" i="1" s="1"/>
  <c r="AI10" i="1"/>
  <c r="AL10" i="1" s="1"/>
  <c r="AI11" i="1"/>
  <c r="AL11" i="1" s="1"/>
  <c r="AI12" i="1"/>
  <c r="AL12" i="1" s="1"/>
  <c r="AI13" i="1"/>
  <c r="AL13" i="1" s="1"/>
  <c r="AI14" i="1"/>
  <c r="AL14" i="1" s="1"/>
  <c r="AI15" i="1"/>
  <c r="AL15" i="1" s="1"/>
  <c r="AI16" i="1"/>
  <c r="AL16" i="1" s="1"/>
  <c r="AI17" i="1"/>
  <c r="AL17" i="1" s="1"/>
  <c r="AI18" i="1"/>
  <c r="AL18" i="1" s="1"/>
  <c r="AI4" i="1"/>
  <c r="AL4" i="1" s="1"/>
  <c r="AH5" i="1"/>
  <c r="AK5" i="1" s="1"/>
  <c r="AH6" i="1"/>
  <c r="AK6" i="1" s="1"/>
  <c r="AH7" i="1"/>
  <c r="AK7" i="1" s="1"/>
  <c r="AH8" i="1"/>
  <c r="AK8" i="1" s="1"/>
  <c r="AH9" i="1"/>
  <c r="AK9" i="1" s="1"/>
  <c r="AH10" i="1"/>
  <c r="AK10" i="1" s="1"/>
  <c r="AH11" i="1"/>
  <c r="AK11" i="1" s="1"/>
  <c r="AH12" i="1"/>
  <c r="AK12" i="1" s="1"/>
  <c r="AH13" i="1"/>
  <c r="AK13" i="1" s="1"/>
  <c r="AH14" i="1"/>
  <c r="AK14" i="1" s="1"/>
  <c r="AH15" i="1"/>
  <c r="AK15" i="1" s="1"/>
  <c r="AH16" i="1"/>
  <c r="AK16" i="1" s="1"/>
  <c r="AH17" i="1"/>
  <c r="AK17" i="1" s="1"/>
  <c r="AH18" i="1"/>
  <c r="AK18" i="1" s="1"/>
  <c r="AH4" i="1"/>
  <c r="AK4" i="1" s="1"/>
  <c r="J4" i="4"/>
  <c r="J5" i="4"/>
  <c r="J6" i="4"/>
  <c r="J7" i="4"/>
  <c r="J8" i="4"/>
  <c r="J9" i="4"/>
  <c r="J10" i="4"/>
  <c r="J11" i="4"/>
  <c r="J12" i="4"/>
  <c r="J13" i="4"/>
  <c r="J14" i="4"/>
  <c r="J15" i="4"/>
  <c r="J16" i="4"/>
  <c r="J17" i="4"/>
  <c r="J18" i="4"/>
  <c r="AN8" i="1" l="1"/>
  <c r="AN38" i="1"/>
  <c r="AN18" i="1"/>
  <c r="AN28" i="1"/>
  <c r="AN29" i="1"/>
  <c r="AN14" i="1"/>
  <c r="AN35" i="1"/>
  <c r="AN30" i="1"/>
  <c r="AN15" i="1"/>
  <c r="AN32" i="1"/>
  <c r="AN25" i="1"/>
  <c r="AN4" i="1"/>
  <c r="AN16" i="1"/>
  <c r="AN27" i="1"/>
  <c r="AN34" i="1"/>
  <c r="AN11" i="1"/>
  <c r="AN6" i="1"/>
  <c r="AN5" i="1"/>
  <c r="AN33" i="1"/>
  <c r="AN37" i="1"/>
  <c r="AN31" i="1"/>
  <c r="AN36" i="1"/>
  <c r="AN26" i="1"/>
  <c r="AN13" i="1"/>
  <c r="AN10" i="1"/>
  <c r="AN17" i="1"/>
  <c r="AN12" i="1"/>
  <c r="AN9" i="1"/>
  <c r="AN7" i="1"/>
  <c r="AN24" i="1"/>
  <c r="AP8" i="1" l="1"/>
  <c r="I16" i="10" s="1"/>
  <c r="AP18" i="1"/>
  <c r="I9" i="10" s="1"/>
  <c r="AP9" i="1"/>
  <c r="I11" i="10" s="1"/>
  <c r="AP7" i="1"/>
  <c r="I13" i="10" s="1"/>
  <c r="AP14" i="1"/>
  <c r="I7" i="10" s="1"/>
  <c r="AP10" i="1"/>
  <c r="I8" i="10" s="1"/>
  <c r="AP15" i="1"/>
  <c r="I14" i="10" s="1"/>
  <c r="AP5" i="1"/>
  <c r="I17" i="10" s="1"/>
  <c r="AP16" i="1"/>
  <c r="I12" i="10" s="1"/>
  <c r="AP12" i="1"/>
  <c r="AP4" i="1"/>
  <c r="I18" i="10" s="1"/>
  <c r="AP11" i="1"/>
  <c r="I5" i="10" s="1"/>
  <c r="AP6" i="1"/>
  <c r="I15" i="10" s="1"/>
  <c r="AP13" i="1"/>
  <c r="I4" i="10" s="1"/>
  <c r="AP17" i="1"/>
  <c r="I10" i="10" s="1"/>
  <c r="Q20" i="9"/>
  <c r="S20" i="9" s="1"/>
  <c r="Q10" i="9"/>
  <c r="Q18" i="9"/>
  <c r="Q17" i="9"/>
  <c r="Q15" i="9"/>
  <c r="Q13" i="9"/>
  <c r="Q11" i="9"/>
  <c r="Q9" i="9"/>
  <c r="Q8" i="9"/>
  <c r="Q7" i="9"/>
  <c r="Q6" i="9"/>
  <c r="Q5" i="9"/>
  <c r="I3" i="10" l="1"/>
  <c r="S18" i="9"/>
  <c r="S11" i="9"/>
  <c r="S13" i="9"/>
  <c r="S6" i="9"/>
  <c r="S9" i="9"/>
  <c r="S17" i="9"/>
  <c r="S10" i="9"/>
  <c r="S8" i="9"/>
  <c r="S7" i="9"/>
  <c r="S15" i="9"/>
  <c r="S5" i="9"/>
  <c r="N22" i="9"/>
  <c r="P22" i="9"/>
  <c r="D4" i="4"/>
  <c r="D5" i="4"/>
  <c r="D6" i="4"/>
  <c r="D7" i="4"/>
  <c r="D8" i="4"/>
  <c r="D9" i="4"/>
  <c r="D10" i="4"/>
  <c r="D11" i="4"/>
  <c r="D12" i="4"/>
  <c r="D13" i="4"/>
  <c r="D14" i="4"/>
  <c r="D15" i="4"/>
  <c r="D16" i="4"/>
  <c r="D17" i="4"/>
  <c r="B9" i="9" l="1"/>
  <c r="S22" i="9"/>
  <c r="K22" i="9"/>
  <c r="G22" i="9"/>
  <c r="L5" i="9"/>
  <c r="J22" i="9"/>
  <c r="H5" i="9"/>
  <c r="F22" i="9"/>
  <c r="N20" i="1" l="1"/>
  <c r="B5" i="9"/>
  <c r="B8" i="9"/>
  <c r="H22" i="9"/>
  <c r="L22" i="9"/>
  <c r="B7" i="9"/>
  <c r="AF20" i="1" l="1"/>
  <c r="E20" i="7"/>
  <c r="F20" i="7"/>
  <c r="G20" i="7"/>
  <c r="H20" i="7"/>
  <c r="I20" i="7"/>
  <c r="J20" i="7"/>
  <c r="K20" i="7"/>
  <c r="L20" i="7"/>
  <c r="M20" i="7"/>
  <c r="N20" i="7"/>
  <c r="O20" i="7"/>
  <c r="P20" i="7"/>
  <c r="Q20" i="7"/>
  <c r="R20" i="7"/>
  <c r="S20" i="7"/>
  <c r="T20" i="7"/>
  <c r="U20" i="7"/>
  <c r="D20" i="7"/>
  <c r="V215" i="7"/>
  <c r="X215" i="7" s="1"/>
  <c r="V214" i="7"/>
  <c r="X214" i="7" s="1"/>
  <c r="V213" i="7"/>
  <c r="X213" i="7" s="1"/>
  <c r="AB211" i="7"/>
  <c r="V212" i="7"/>
  <c r="X212" i="7" s="1"/>
  <c r="AB210" i="7"/>
  <c r="V211" i="7"/>
  <c r="X211" i="7" s="1"/>
  <c r="AB209" i="7"/>
  <c r="V210" i="7"/>
  <c r="X210" i="7" s="1"/>
  <c r="AB208" i="7"/>
  <c r="V209" i="7"/>
  <c r="X209" i="7" s="1"/>
  <c r="AB207" i="7"/>
  <c r="V208" i="7"/>
  <c r="X208" i="7" s="1"/>
  <c r="AB206" i="7"/>
  <c r="V207" i="7"/>
  <c r="X207" i="7" s="1"/>
  <c r="AB205" i="7"/>
  <c r="V206" i="7"/>
  <c r="X206" i="7" s="1"/>
  <c r="Z40" i="1"/>
  <c r="F5" i="10" l="1"/>
  <c r="X20" i="7"/>
  <c r="AF20" i="7" s="1"/>
  <c r="V20" i="7"/>
  <c r="AB212" i="7"/>
  <c r="AE209" i="7" s="1"/>
  <c r="D31" i="5" l="1"/>
  <c r="AE207" i="7"/>
  <c r="AE210" i="7"/>
  <c r="AE205" i="7"/>
  <c r="AE206" i="7"/>
  <c r="AE208" i="7"/>
  <c r="AE211" i="7"/>
  <c r="D232" i="7" s="1"/>
  <c r="U20" i="9" l="1"/>
  <c r="W20" i="9" s="1"/>
  <c r="AB26" i="7"/>
  <c r="AB199" i="7"/>
  <c r="AB198" i="7"/>
  <c r="AB197" i="7"/>
  <c r="AB196" i="7"/>
  <c r="AB195" i="7"/>
  <c r="AB194" i="7"/>
  <c r="AB193" i="7"/>
  <c r="AB188" i="7"/>
  <c r="AB187" i="7"/>
  <c r="AB186" i="7"/>
  <c r="AB185" i="7"/>
  <c r="AB184" i="7"/>
  <c r="AB183" i="7"/>
  <c r="F10" i="10" s="1"/>
  <c r="AB176" i="7"/>
  <c r="AB175" i="7"/>
  <c r="AB174" i="7"/>
  <c r="AB173" i="7"/>
  <c r="AB172" i="7"/>
  <c r="AB171" i="7"/>
  <c r="AB170" i="7"/>
  <c r="AB164" i="7"/>
  <c r="AB163" i="7"/>
  <c r="AB162" i="7"/>
  <c r="AB161" i="7"/>
  <c r="AB160" i="7"/>
  <c r="AB159" i="7"/>
  <c r="AB158" i="7"/>
  <c r="AB152" i="7"/>
  <c r="AB151" i="7"/>
  <c r="AB150" i="7"/>
  <c r="AB149" i="7"/>
  <c r="AB148" i="7"/>
  <c r="AB147" i="7"/>
  <c r="AB146" i="7"/>
  <c r="F6" i="10" s="1"/>
  <c r="AB140" i="7"/>
  <c r="AB139" i="7"/>
  <c r="AB138" i="7"/>
  <c r="AB137" i="7"/>
  <c r="AB136" i="7"/>
  <c r="AB134" i="7"/>
  <c r="AB128" i="7"/>
  <c r="AB127" i="7"/>
  <c r="AB126" i="7"/>
  <c r="AB125" i="7"/>
  <c r="AB124" i="7"/>
  <c r="AB123" i="7"/>
  <c r="AB122" i="7"/>
  <c r="AB116" i="7"/>
  <c r="AB115" i="7"/>
  <c r="AB114" i="7"/>
  <c r="AB113" i="7"/>
  <c r="AB112" i="7"/>
  <c r="AB111" i="7"/>
  <c r="AB110" i="7"/>
  <c r="AB104" i="7"/>
  <c r="AB103" i="7"/>
  <c r="AB102" i="7"/>
  <c r="AB101" i="7"/>
  <c r="AB100" i="7"/>
  <c r="AB99" i="7"/>
  <c r="AB98" i="7"/>
  <c r="AB92" i="7"/>
  <c r="AB91" i="7"/>
  <c r="AB90" i="7"/>
  <c r="AB89" i="7"/>
  <c r="AB88" i="7"/>
  <c r="AB87" i="7"/>
  <c r="AB86" i="7"/>
  <c r="AB80" i="7"/>
  <c r="AB79" i="7"/>
  <c r="AB78" i="7"/>
  <c r="AB77" i="7"/>
  <c r="AB76" i="7"/>
  <c r="AB75" i="7"/>
  <c r="AB74" i="7"/>
  <c r="AB68" i="7"/>
  <c r="AB67" i="7"/>
  <c r="AB66" i="7"/>
  <c r="AB65" i="7"/>
  <c r="AB64" i="7"/>
  <c r="AB63" i="7"/>
  <c r="AB62" i="7"/>
  <c r="AB54" i="7"/>
  <c r="AB56" i="7"/>
  <c r="AB55" i="7"/>
  <c r="AB53" i="7"/>
  <c r="AB52" i="7"/>
  <c r="AB51" i="7"/>
  <c r="AB50" i="7"/>
  <c r="AB41" i="7"/>
  <c r="AB43" i="7"/>
  <c r="AB31" i="7"/>
  <c r="AB42" i="7"/>
  <c r="AB40" i="7"/>
  <c r="AB39" i="7"/>
  <c r="AB38" i="7"/>
  <c r="AB37" i="7"/>
  <c r="AB30" i="7"/>
  <c r="AB29" i="7"/>
  <c r="AB28" i="7"/>
  <c r="AB25" i="7"/>
  <c r="AB27" i="7"/>
  <c r="F3" i="10" l="1"/>
  <c r="F4" i="10"/>
  <c r="F14" i="10"/>
  <c r="F18" i="10"/>
  <c r="F8" i="10"/>
  <c r="F16" i="10"/>
  <c r="F15" i="10"/>
  <c r="F17" i="10"/>
  <c r="F9" i="10"/>
  <c r="F13" i="10"/>
  <c r="F12" i="10"/>
  <c r="F7" i="10"/>
  <c r="F11" i="10"/>
  <c r="AG28" i="7"/>
  <c r="AB44" i="7"/>
  <c r="AE37" i="7" s="1"/>
  <c r="AG29" i="7"/>
  <c r="AG31" i="7"/>
  <c r="AG26" i="7"/>
  <c r="AG25" i="7"/>
  <c r="AG27" i="7"/>
  <c r="AG30" i="7"/>
  <c r="AB32" i="7"/>
  <c r="AE27" i="7" s="1"/>
  <c r="AB200" i="7"/>
  <c r="AE197" i="7" s="1"/>
  <c r="AB189" i="7"/>
  <c r="AE187" i="7" s="1"/>
  <c r="AB177" i="7"/>
  <c r="AE174" i="7" s="1"/>
  <c r="AB165" i="7"/>
  <c r="AE161" i="7" s="1"/>
  <c r="AB153" i="7"/>
  <c r="AE147" i="7" s="1"/>
  <c r="AB141" i="7"/>
  <c r="AE137" i="7" s="1"/>
  <c r="AB129" i="7"/>
  <c r="AE127" i="7" s="1"/>
  <c r="AB117" i="7"/>
  <c r="AE115" i="7" s="1"/>
  <c r="AB105" i="7"/>
  <c r="AE103" i="7" s="1"/>
  <c r="AB93" i="7"/>
  <c r="AE91" i="7" s="1"/>
  <c r="AB81" i="7"/>
  <c r="AE79" i="7" s="1"/>
  <c r="AB69" i="7"/>
  <c r="AE67" i="7" s="1"/>
  <c r="AB57" i="7"/>
  <c r="AE55" i="7" s="1"/>
  <c r="AE110" i="7" l="1"/>
  <c r="AE116" i="7"/>
  <c r="D225" i="7" s="1"/>
  <c r="AE199" i="7"/>
  <c r="D231" i="7" s="1"/>
  <c r="AE92" i="7"/>
  <c r="D223" i="7" s="1"/>
  <c r="AE88" i="7"/>
  <c r="AE43" i="7"/>
  <c r="D219" i="7" s="1"/>
  <c r="AE39" i="7"/>
  <c r="AE40" i="7"/>
  <c r="AE38" i="7"/>
  <c r="AE41" i="7"/>
  <c r="AE42" i="7"/>
  <c r="AG32" i="7"/>
  <c r="AJ30" i="7" s="1"/>
  <c r="AE28" i="7"/>
  <c r="AE30" i="7"/>
  <c r="AE25" i="7"/>
  <c r="AE29" i="7"/>
  <c r="AE31" i="7"/>
  <c r="D218" i="7" s="1"/>
  <c r="AE26" i="7"/>
  <c r="AE193" i="7"/>
  <c r="AE194" i="7"/>
  <c r="AE196" i="7"/>
  <c r="AE198" i="7"/>
  <c r="AE195" i="7"/>
  <c r="AE182" i="7"/>
  <c r="AE188" i="7"/>
  <c r="D229" i="7" s="1"/>
  <c r="AE184" i="7"/>
  <c r="AE186" i="7"/>
  <c r="AE183" i="7"/>
  <c r="AE185" i="7"/>
  <c r="AE176" i="7"/>
  <c r="D230" i="7" s="1"/>
  <c r="AE170" i="7"/>
  <c r="AE172" i="7"/>
  <c r="AE171" i="7"/>
  <c r="AE173" i="7"/>
  <c r="AE175" i="7"/>
  <c r="AE158" i="7"/>
  <c r="AE160" i="7"/>
  <c r="AE163" i="7"/>
  <c r="AE159" i="7"/>
  <c r="AE164" i="7"/>
  <c r="D228" i="7" s="1"/>
  <c r="AE162" i="7"/>
  <c r="AE152" i="7"/>
  <c r="D233" i="7" s="1"/>
  <c r="AE148" i="7"/>
  <c r="AE150" i="7"/>
  <c r="AE146" i="7"/>
  <c r="AE149" i="7"/>
  <c r="AE151" i="7"/>
  <c r="AE134" i="7"/>
  <c r="AE136" i="7"/>
  <c r="AE140" i="7"/>
  <c r="D227" i="7" s="1"/>
  <c r="AE138" i="7"/>
  <c r="AE139" i="7"/>
  <c r="AE135" i="7"/>
  <c r="AE122" i="7"/>
  <c r="AE128" i="7"/>
  <c r="D226" i="7" s="1"/>
  <c r="AE124" i="7"/>
  <c r="AE126" i="7"/>
  <c r="AE125" i="7"/>
  <c r="AE123" i="7"/>
  <c r="AE112" i="7"/>
  <c r="AE114" i="7"/>
  <c r="AE111" i="7"/>
  <c r="AE113" i="7"/>
  <c r="AE98" i="7"/>
  <c r="AE104" i="7"/>
  <c r="D224" i="7" s="1"/>
  <c r="AE100" i="7"/>
  <c r="AE101" i="7"/>
  <c r="AE99" i="7"/>
  <c r="AE102" i="7"/>
  <c r="AE87" i="7"/>
  <c r="AE86" i="7"/>
  <c r="AE90" i="7"/>
  <c r="AE89" i="7"/>
  <c r="AE74" i="7"/>
  <c r="AE80" i="7"/>
  <c r="D222" i="7" s="1"/>
  <c r="AE76" i="7"/>
  <c r="AE75" i="7"/>
  <c r="AE77" i="7"/>
  <c r="AE78" i="7"/>
  <c r="AE62" i="7"/>
  <c r="AE64" i="7"/>
  <c r="AE63" i="7"/>
  <c r="AE66" i="7"/>
  <c r="AE68" i="7"/>
  <c r="D221" i="7" s="1"/>
  <c r="AE65" i="7"/>
  <c r="AE56" i="7"/>
  <c r="D220" i="7" s="1"/>
  <c r="AE52" i="7"/>
  <c r="AE54" i="7"/>
  <c r="AE50" i="7"/>
  <c r="AE51" i="7"/>
  <c r="AE53" i="7"/>
  <c r="V203" i="7"/>
  <c r="X203" i="7" s="1"/>
  <c r="V202" i="7"/>
  <c r="X202" i="7" s="1"/>
  <c r="U16" i="9" l="1"/>
  <c r="W16" i="9" s="1"/>
  <c r="U14" i="9"/>
  <c r="W14" i="9" s="1"/>
  <c r="U17" i="9"/>
  <c r="W17" i="9" s="1"/>
  <c r="U10" i="9"/>
  <c r="W10" i="9" s="1"/>
  <c r="U8" i="9"/>
  <c r="W8" i="9" s="1"/>
  <c r="U7" i="9"/>
  <c r="W7" i="9" s="1"/>
  <c r="U9" i="9"/>
  <c r="W9" i="9" s="1"/>
  <c r="U18" i="9"/>
  <c r="W18" i="9" s="1"/>
  <c r="U15" i="9"/>
  <c r="W15" i="9" s="1"/>
  <c r="U6" i="9"/>
  <c r="W6" i="9" s="1"/>
  <c r="U11" i="9"/>
  <c r="W11" i="9" s="1"/>
  <c r="U13" i="9"/>
  <c r="W13" i="9" s="1"/>
  <c r="U5" i="9"/>
  <c r="AJ27" i="7"/>
  <c r="AJ31" i="7"/>
  <c r="AJ25" i="7"/>
  <c r="AJ26" i="7"/>
  <c r="AJ28" i="7"/>
  <c r="AJ29" i="7"/>
  <c r="U22" i="9" l="1"/>
  <c r="W5" i="9"/>
  <c r="W22" i="9" s="1"/>
  <c r="V111" i="7" l="1"/>
  <c r="X111" i="7" s="1"/>
  <c r="V78" i="7"/>
  <c r="X78" i="7" s="1"/>
  <c r="V166" i="7"/>
  <c r="X166" i="7" s="1"/>
  <c r="V201" i="7"/>
  <c r="X201" i="7" s="1"/>
  <c r="V165" i="7"/>
  <c r="X165" i="7" s="1"/>
  <c r="V31" i="7"/>
  <c r="V79" i="7"/>
  <c r="X79" i="7" s="1"/>
  <c r="V139" i="7"/>
  <c r="X139" i="7" s="1"/>
  <c r="V115" i="7"/>
  <c r="X115" i="7" s="1"/>
  <c r="V30" i="7"/>
  <c r="V67" i="7"/>
  <c r="X67" i="7" s="1"/>
  <c r="X198" i="7"/>
  <c r="V103" i="7"/>
  <c r="X103" i="7" s="1"/>
  <c r="V127" i="7"/>
  <c r="X127" i="7" s="1"/>
  <c r="V187" i="7"/>
  <c r="X187" i="7" s="1"/>
  <c r="V42" i="7"/>
  <c r="V175" i="7"/>
  <c r="X175" i="7" s="1"/>
  <c r="V163" i="7"/>
  <c r="X163" i="7" s="1"/>
  <c r="V29" i="7"/>
  <c r="V162" i="7"/>
  <c r="X162" i="7" s="1"/>
  <c r="V138" i="7"/>
  <c r="X138" i="7" s="1"/>
  <c r="V126" i="7"/>
  <c r="X126" i="7" s="1"/>
  <c r="V102" i="7"/>
  <c r="X102" i="7" s="1"/>
  <c r="V66" i="7"/>
  <c r="X66" i="7" s="1"/>
  <c r="V186" i="7"/>
  <c r="X186" i="7" s="1"/>
  <c r="V197" i="7"/>
  <c r="X197" i="7" s="1"/>
  <c r="V174" i="7"/>
  <c r="X174" i="7" s="1"/>
  <c r="V41" i="7"/>
  <c r="F7" i="3"/>
  <c r="G5" i="10"/>
  <c r="F17" i="3"/>
  <c r="L9" i="3"/>
  <c r="L17" i="3"/>
  <c r="L18" i="3"/>
  <c r="F20" i="3"/>
  <c r="V137" i="7"/>
  <c r="X137" i="7" s="1"/>
  <c r="V125" i="7"/>
  <c r="X125" i="7" s="1"/>
  <c r="V113" i="7"/>
  <c r="X113" i="7" s="1"/>
  <c r="V89" i="7"/>
  <c r="X89" i="7" s="1"/>
  <c r="V77" i="7"/>
  <c r="X77" i="7" s="1"/>
  <c r="V65" i="7"/>
  <c r="X65" i="7" s="1"/>
  <c r="V53" i="7"/>
  <c r="V40" i="7"/>
  <c r="V28" i="7"/>
  <c r="V184" i="7"/>
  <c r="X184" i="7" s="1"/>
  <c r="V172" i="7"/>
  <c r="X172" i="7" s="1"/>
  <c r="V136" i="7"/>
  <c r="X136" i="7" s="1"/>
  <c r="V112" i="7"/>
  <c r="X112" i="7" s="1"/>
  <c r="X100" i="7"/>
  <c r="V76" i="7"/>
  <c r="X76" i="7" s="1"/>
  <c r="V64" i="7"/>
  <c r="X64" i="7" s="1"/>
  <c r="V39" i="7"/>
  <c r="V27" i="7"/>
  <c r="D5" i="7"/>
  <c r="E5" i="7"/>
  <c r="F5" i="7"/>
  <c r="G5" i="7"/>
  <c r="H5" i="7"/>
  <c r="I5" i="7"/>
  <c r="J5" i="7"/>
  <c r="K5" i="7"/>
  <c r="L5" i="7"/>
  <c r="M5" i="7"/>
  <c r="N5" i="7"/>
  <c r="O5" i="7"/>
  <c r="P5" i="7"/>
  <c r="Q5" i="7"/>
  <c r="R5" i="7"/>
  <c r="S5" i="7"/>
  <c r="T5" i="7"/>
  <c r="U5" i="7"/>
  <c r="D6" i="7"/>
  <c r="E6" i="7"/>
  <c r="F6" i="7"/>
  <c r="G6" i="7"/>
  <c r="H6" i="7"/>
  <c r="I6" i="7"/>
  <c r="J6" i="7"/>
  <c r="K6" i="7"/>
  <c r="L6" i="7"/>
  <c r="M6" i="7"/>
  <c r="N6" i="7"/>
  <c r="O6" i="7"/>
  <c r="P6" i="7"/>
  <c r="Q6" i="7"/>
  <c r="R6" i="7"/>
  <c r="S6" i="7"/>
  <c r="T6" i="7"/>
  <c r="U6" i="7"/>
  <c r="D8" i="7"/>
  <c r="E8" i="7"/>
  <c r="F8" i="7"/>
  <c r="G8" i="7"/>
  <c r="H8" i="7"/>
  <c r="I8" i="7"/>
  <c r="J8" i="7"/>
  <c r="K8" i="7"/>
  <c r="L8" i="7"/>
  <c r="M8" i="7"/>
  <c r="N8" i="7"/>
  <c r="O8" i="7"/>
  <c r="P8" i="7"/>
  <c r="Q8" i="7"/>
  <c r="R8" i="7"/>
  <c r="S8" i="7"/>
  <c r="T8" i="7"/>
  <c r="U8" i="7"/>
  <c r="D9" i="7"/>
  <c r="E9" i="7"/>
  <c r="F9" i="7"/>
  <c r="G9" i="7"/>
  <c r="H9" i="7"/>
  <c r="I9" i="7"/>
  <c r="J9" i="7"/>
  <c r="K9" i="7"/>
  <c r="L9" i="7"/>
  <c r="M9" i="7"/>
  <c r="N9" i="7"/>
  <c r="O9" i="7"/>
  <c r="P9" i="7"/>
  <c r="Q9" i="7"/>
  <c r="R9" i="7"/>
  <c r="S9" i="7"/>
  <c r="T9" i="7"/>
  <c r="U9" i="7"/>
  <c r="D11" i="7"/>
  <c r="E11" i="7"/>
  <c r="F11" i="7"/>
  <c r="G11" i="7"/>
  <c r="H11" i="7"/>
  <c r="I11" i="7"/>
  <c r="J11" i="7"/>
  <c r="K11" i="7"/>
  <c r="L11" i="7"/>
  <c r="M11" i="7"/>
  <c r="N11" i="7"/>
  <c r="O11" i="7"/>
  <c r="P11" i="7"/>
  <c r="Q11" i="7"/>
  <c r="R11" i="7"/>
  <c r="S11" i="7"/>
  <c r="T11" i="7"/>
  <c r="U11" i="7"/>
  <c r="D12" i="7"/>
  <c r="E12" i="7"/>
  <c r="F12" i="7"/>
  <c r="G12" i="7"/>
  <c r="H12" i="7"/>
  <c r="I12" i="7"/>
  <c r="J12" i="7"/>
  <c r="K12" i="7"/>
  <c r="L12" i="7"/>
  <c r="M12" i="7"/>
  <c r="N12" i="7"/>
  <c r="O12" i="7"/>
  <c r="P12" i="7"/>
  <c r="Q12" i="7"/>
  <c r="R12" i="7"/>
  <c r="S12" i="7"/>
  <c r="T12" i="7"/>
  <c r="U12" i="7"/>
  <c r="D14" i="7"/>
  <c r="E14" i="7"/>
  <c r="F14" i="7"/>
  <c r="G14" i="7"/>
  <c r="H14" i="7"/>
  <c r="I14" i="7"/>
  <c r="J14" i="7"/>
  <c r="K14" i="7"/>
  <c r="L14" i="7"/>
  <c r="M14" i="7"/>
  <c r="N14" i="7"/>
  <c r="O14" i="7"/>
  <c r="P14" i="7"/>
  <c r="Q14" i="7"/>
  <c r="R14" i="7"/>
  <c r="S14" i="7"/>
  <c r="T14" i="7"/>
  <c r="U14" i="7"/>
  <c r="D18" i="7"/>
  <c r="E18" i="7"/>
  <c r="F18" i="7"/>
  <c r="G18" i="7"/>
  <c r="H18" i="7"/>
  <c r="I18" i="7"/>
  <c r="J18" i="7"/>
  <c r="K18" i="7"/>
  <c r="L18" i="7"/>
  <c r="M18" i="7"/>
  <c r="N18" i="7"/>
  <c r="O18" i="7"/>
  <c r="P18" i="7"/>
  <c r="Q18" i="7"/>
  <c r="R18" i="7"/>
  <c r="S18" i="7"/>
  <c r="T18" i="7"/>
  <c r="U18" i="7"/>
  <c r="D17" i="7"/>
  <c r="E17" i="7"/>
  <c r="F17" i="7"/>
  <c r="G17" i="7"/>
  <c r="H17" i="7"/>
  <c r="I17" i="7"/>
  <c r="J17" i="7"/>
  <c r="K17" i="7"/>
  <c r="L17" i="7"/>
  <c r="M17" i="7"/>
  <c r="N17" i="7"/>
  <c r="O17" i="7"/>
  <c r="P17" i="7"/>
  <c r="Q17" i="7"/>
  <c r="R17" i="7"/>
  <c r="S17" i="7"/>
  <c r="T17" i="7"/>
  <c r="U17" i="7"/>
  <c r="D7" i="7"/>
  <c r="E7" i="7"/>
  <c r="F7" i="7"/>
  <c r="G7" i="7"/>
  <c r="H7" i="7"/>
  <c r="I7" i="7"/>
  <c r="J7" i="7"/>
  <c r="K7" i="7"/>
  <c r="L7" i="7"/>
  <c r="M7" i="7"/>
  <c r="N7" i="7"/>
  <c r="O7" i="7"/>
  <c r="P7" i="7"/>
  <c r="Q7" i="7"/>
  <c r="R7" i="7"/>
  <c r="S7" i="7"/>
  <c r="T7" i="7"/>
  <c r="U7" i="7"/>
  <c r="D10" i="7"/>
  <c r="E10" i="7"/>
  <c r="F10" i="7"/>
  <c r="G10" i="7"/>
  <c r="H10" i="7"/>
  <c r="I10" i="7"/>
  <c r="J10" i="7"/>
  <c r="K10" i="7"/>
  <c r="L10" i="7"/>
  <c r="M10" i="7"/>
  <c r="N10" i="7"/>
  <c r="O10" i="7"/>
  <c r="P10" i="7"/>
  <c r="Q10" i="7"/>
  <c r="R10" i="7"/>
  <c r="S10" i="7"/>
  <c r="T10" i="7"/>
  <c r="U10" i="7"/>
  <c r="D13" i="7"/>
  <c r="E13" i="7"/>
  <c r="F13" i="7"/>
  <c r="G13" i="7"/>
  <c r="H13" i="7"/>
  <c r="I13" i="7"/>
  <c r="J13" i="7"/>
  <c r="K13" i="7"/>
  <c r="L13" i="7"/>
  <c r="M13" i="7"/>
  <c r="N13" i="7"/>
  <c r="O13" i="7"/>
  <c r="P13" i="7"/>
  <c r="Q13" i="7"/>
  <c r="R13" i="7"/>
  <c r="S13" i="7"/>
  <c r="T13" i="7"/>
  <c r="U13" i="7"/>
  <c r="D16" i="7"/>
  <c r="E16" i="7"/>
  <c r="F16" i="7"/>
  <c r="G16" i="7"/>
  <c r="H16" i="7"/>
  <c r="I16" i="7"/>
  <c r="J16" i="7"/>
  <c r="K16" i="7"/>
  <c r="L16" i="7"/>
  <c r="M16" i="7"/>
  <c r="N16" i="7"/>
  <c r="O16" i="7"/>
  <c r="P16" i="7"/>
  <c r="Q16" i="7"/>
  <c r="R16" i="7"/>
  <c r="S16" i="7"/>
  <c r="T16" i="7"/>
  <c r="U16" i="7"/>
  <c r="D15" i="7"/>
  <c r="E15" i="7"/>
  <c r="F15" i="7"/>
  <c r="G15" i="7"/>
  <c r="H15" i="7"/>
  <c r="I15" i="7"/>
  <c r="J15" i="7"/>
  <c r="K15" i="7"/>
  <c r="L15" i="7"/>
  <c r="M15" i="7"/>
  <c r="N15" i="7"/>
  <c r="O15" i="7"/>
  <c r="P15" i="7"/>
  <c r="Q15" i="7"/>
  <c r="R15" i="7"/>
  <c r="S15" i="7"/>
  <c r="T15" i="7"/>
  <c r="U15" i="7"/>
  <c r="V183" i="7"/>
  <c r="X183" i="7" s="1"/>
  <c r="V135" i="7"/>
  <c r="X135" i="7" s="1"/>
  <c r="V99" i="7"/>
  <c r="X99" i="7" s="1"/>
  <c r="X75" i="7"/>
  <c r="V63" i="7"/>
  <c r="X63" i="7" s="1"/>
  <c r="V38" i="7"/>
  <c r="X38" i="7" s="1"/>
  <c r="V191" i="7"/>
  <c r="X191" i="7" s="1"/>
  <c r="V179" i="7"/>
  <c r="X179" i="7" s="1"/>
  <c r="V143" i="7"/>
  <c r="X143" i="7" s="1"/>
  <c r="V119" i="7"/>
  <c r="X119" i="7" s="1"/>
  <c r="V107" i="7"/>
  <c r="X107" i="7" s="1"/>
  <c r="V95" i="7"/>
  <c r="X95" i="7" s="1"/>
  <c r="V83" i="7"/>
  <c r="X83" i="7" s="1"/>
  <c r="V59" i="7"/>
  <c r="V46" i="7"/>
  <c r="V34" i="7"/>
  <c r="V178" i="7"/>
  <c r="X178" i="7" s="1"/>
  <c r="V45" i="7"/>
  <c r="V142" i="7"/>
  <c r="X142" i="7" s="1"/>
  <c r="V130" i="7"/>
  <c r="X130" i="7" s="1"/>
  <c r="V58" i="7"/>
  <c r="V33" i="7"/>
  <c r="V200" i="7"/>
  <c r="X200" i="7" s="1"/>
  <c r="V189" i="7"/>
  <c r="X189" i="7" s="1"/>
  <c r="V177" i="7"/>
  <c r="X177" i="7" s="1"/>
  <c r="V141" i="7"/>
  <c r="X141" i="7" s="1"/>
  <c r="V129" i="7"/>
  <c r="X129" i="7" s="1"/>
  <c r="V117" i="7"/>
  <c r="X117" i="7" s="1"/>
  <c r="V105" i="7"/>
  <c r="X105" i="7" s="1"/>
  <c r="V81" i="7"/>
  <c r="X81" i="7" s="1"/>
  <c r="V69" i="7"/>
  <c r="X69" i="7" s="1"/>
  <c r="V57" i="7"/>
  <c r="V44" i="7"/>
  <c r="V32" i="7"/>
  <c r="X32" i="7" s="1"/>
  <c r="V188" i="7"/>
  <c r="X188" i="7" s="1"/>
  <c r="V116" i="7"/>
  <c r="X116" i="7" s="1"/>
  <c r="V104" i="7"/>
  <c r="X104" i="7" s="1"/>
  <c r="V92" i="7"/>
  <c r="X92" i="7" s="1"/>
  <c r="V80" i="7"/>
  <c r="X80" i="7" s="1"/>
  <c r="V68" i="7"/>
  <c r="X68" i="7" s="1"/>
  <c r="V55" i="7"/>
  <c r="V54" i="7"/>
  <c r="X54" i="7" s="1"/>
  <c r="V123" i="7"/>
  <c r="X123" i="7" s="1"/>
  <c r="V124" i="7"/>
  <c r="X124" i="7" s="1"/>
  <c r="V128" i="7"/>
  <c r="X128" i="7" s="1"/>
  <c r="V131" i="7"/>
  <c r="X131" i="7" s="1"/>
  <c r="V132" i="7"/>
  <c r="X132" i="7" s="1"/>
  <c r="X148" i="7"/>
  <c r="L18" i="5"/>
  <c r="L17" i="5"/>
  <c r="L16" i="5"/>
  <c r="L15" i="5"/>
  <c r="L14" i="5"/>
  <c r="L13" i="5"/>
  <c r="L12" i="5"/>
  <c r="L11" i="5"/>
  <c r="L10" i="5"/>
  <c r="L9" i="5"/>
  <c r="L8" i="5"/>
  <c r="L7" i="5"/>
  <c r="L6" i="5"/>
  <c r="L5" i="5"/>
  <c r="L4" i="5"/>
  <c r="F15" i="5"/>
  <c r="F13" i="5"/>
  <c r="F18" i="5"/>
  <c r="F17" i="5"/>
  <c r="F11" i="5"/>
  <c r="F7" i="5"/>
  <c r="F10" i="5"/>
  <c r="F8" i="5"/>
  <c r="F6" i="5"/>
  <c r="F9" i="5"/>
  <c r="F5" i="5"/>
  <c r="F14" i="5"/>
  <c r="F12" i="5"/>
  <c r="F4" i="5"/>
  <c r="V160" i="7"/>
  <c r="X160" i="7" s="1"/>
  <c r="V195" i="7"/>
  <c r="X195" i="7" s="1"/>
  <c r="V52" i="7"/>
  <c r="V88" i="7"/>
  <c r="X88" i="7" s="1"/>
  <c r="Z39" i="1"/>
  <c r="Z25" i="1"/>
  <c r="D5" i="16" s="1"/>
  <c r="Z26" i="1"/>
  <c r="Z27" i="1"/>
  <c r="D13" i="16" s="1"/>
  <c r="J8" i="5"/>
  <c r="Z29" i="1"/>
  <c r="D9" i="16" s="1"/>
  <c r="Z30" i="1"/>
  <c r="D6" i="16" s="1"/>
  <c r="T6" i="16" s="1"/>
  <c r="Z31" i="1"/>
  <c r="D10" i="16" s="1"/>
  <c r="J18" i="5"/>
  <c r="Z37" i="1"/>
  <c r="D15" i="16" s="1"/>
  <c r="Z32" i="1"/>
  <c r="D14" i="16" s="1"/>
  <c r="Z33" i="1"/>
  <c r="J4" i="5"/>
  <c r="Z35" i="1"/>
  <c r="D12" i="16" s="1"/>
  <c r="Z34" i="1"/>
  <c r="D16" i="16" s="1"/>
  <c r="T16" i="16" s="1"/>
  <c r="Z36" i="1"/>
  <c r="D11" i="16" s="1"/>
  <c r="N25" i="1"/>
  <c r="N26" i="1"/>
  <c r="N27" i="1"/>
  <c r="AE27" i="1" s="1"/>
  <c r="N29" i="1"/>
  <c r="N30" i="1"/>
  <c r="N31" i="1"/>
  <c r="N32" i="1"/>
  <c r="N33" i="1"/>
  <c r="N34" i="1"/>
  <c r="N35" i="1"/>
  <c r="N36" i="1"/>
  <c r="N37" i="1"/>
  <c r="AE37" i="1" s="1"/>
  <c r="AE24" i="1"/>
  <c r="Z5" i="1"/>
  <c r="Z6" i="1"/>
  <c r="Z7" i="1"/>
  <c r="Z9" i="1"/>
  <c r="Z10" i="1"/>
  <c r="Z11" i="1"/>
  <c r="Z12" i="1"/>
  <c r="Z13" i="1"/>
  <c r="Z14" i="1"/>
  <c r="Z15" i="1"/>
  <c r="Z16" i="1"/>
  <c r="Z17" i="1"/>
  <c r="Z4" i="1"/>
  <c r="J21" i="3"/>
  <c r="D21" i="3"/>
  <c r="D22" i="3" s="1"/>
  <c r="V192" i="7"/>
  <c r="V180" i="7"/>
  <c r="X180" i="7" s="1"/>
  <c r="V70" i="7"/>
  <c r="X70" i="7" s="1"/>
  <c r="V71" i="7"/>
  <c r="X71" i="7" s="1"/>
  <c r="V72" i="7"/>
  <c r="X72" i="7" s="1"/>
  <c r="V82" i="7"/>
  <c r="X82" i="7" s="1"/>
  <c r="V84" i="7"/>
  <c r="X84" i="7" s="1"/>
  <c r="V93" i="7"/>
  <c r="X93" i="7" s="1"/>
  <c r="V199" i="7"/>
  <c r="X199" i="7" s="1"/>
  <c r="V194" i="7"/>
  <c r="X194" i="7" s="1"/>
  <c r="V91" i="7"/>
  <c r="X91" i="7" s="1"/>
  <c r="V26" i="7"/>
  <c r="V35" i="7"/>
  <c r="X35" i="7" s="1"/>
  <c r="L6" i="3"/>
  <c r="F13" i="3"/>
  <c r="X149" i="7"/>
  <c r="X150" i="7"/>
  <c r="X151" i="7"/>
  <c r="X152" i="7"/>
  <c r="X153" i="7"/>
  <c r="X154" i="7"/>
  <c r="X155" i="7"/>
  <c r="X156" i="7"/>
  <c r="V159" i="7"/>
  <c r="X159" i="7" s="1"/>
  <c r="V161" i="7"/>
  <c r="X161" i="7" s="1"/>
  <c r="V164" i="7"/>
  <c r="X164" i="7" s="1"/>
  <c r="V167" i="7"/>
  <c r="X167" i="7" s="1"/>
  <c r="V168" i="7"/>
  <c r="X168" i="7" s="1"/>
  <c r="V114" i="7"/>
  <c r="X114" i="7" s="1"/>
  <c r="V118" i="7"/>
  <c r="X118" i="7" s="1"/>
  <c r="V120" i="7"/>
  <c r="X120" i="7" s="1"/>
  <c r="V101" i="7"/>
  <c r="X101" i="7" s="1"/>
  <c r="V106" i="7"/>
  <c r="X106" i="7" s="1"/>
  <c r="V108" i="7"/>
  <c r="X108" i="7" s="1"/>
  <c r="V51" i="7"/>
  <c r="X51" i="7" s="1"/>
  <c r="V56" i="7"/>
  <c r="V60" i="7"/>
  <c r="V43" i="7"/>
  <c r="V47" i="7"/>
  <c r="X47" i="7" s="1"/>
  <c r="V190" i="7"/>
  <c r="X190" i="7" s="1"/>
  <c r="V185" i="7"/>
  <c r="X185" i="7" s="1"/>
  <c r="V176" i="7"/>
  <c r="X176" i="7" s="1"/>
  <c r="V173" i="7"/>
  <c r="X173" i="7" s="1"/>
  <c r="V171" i="7"/>
  <c r="X171" i="7" s="1"/>
  <c r="V144" i="7"/>
  <c r="X144" i="7" s="1"/>
  <c r="V140" i="7"/>
  <c r="X140" i="7" s="1"/>
  <c r="V96" i="7"/>
  <c r="X96" i="7" s="1"/>
  <c r="V94" i="7"/>
  <c r="X94" i="7" s="1"/>
  <c r="V90" i="7"/>
  <c r="X90" i="7" s="1"/>
  <c r="V87" i="7"/>
  <c r="X87" i="7" s="1"/>
  <c r="F14" i="3"/>
  <c r="F10" i="3"/>
  <c r="F5" i="3"/>
  <c r="F9" i="3"/>
  <c r="F12" i="3"/>
  <c r="L11" i="3"/>
  <c r="F6" i="3"/>
  <c r="L12" i="3"/>
  <c r="Y9" i="16" l="1"/>
  <c r="Z9" i="16" s="1"/>
  <c r="W9" i="16"/>
  <c r="V9" i="16"/>
  <c r="Y13" i="16"/>
  <c r="Z13" i="16" s="1"/>
  <c r="W13" i="16"/>
  <c r="V13" i="16"/>
  <c r="Y10" i="16"/>
  <c r="Z10" i="16" s="1"/>
  <c r="W10" i="16"/>
  <c r="V10" i="16"/>
  <c r="W11" i="16"/>
  <c r="V11" i="16"/>
  <c r="Y11" i="16"/>
  <c r="Z11" i="16" s="1"/>
  <c r="H6" i="10"/>
  <c r="D18" i="16"/>
  <c r="W14" i="16"/>
  <c r="Y14" i="16"/>
  <c r="Z14" i="16" s="1"/>
  <c r="V14" i="16"/>
  <c r="Y15" i="16"/>
  <c r="Z15" i="16" s="1"/>
  <c r="V15" i="16"/>
  <c r="W15" i="16"/>
  <c r="W6" i="16"/>
  <c r="V6" i="16"/>
  <c r="Y6" i="16"/>
  <c r="Z6" i="16" s="1"/>
  <c r="V16" i="16"/>
  <c r="Y16" i="16"/>
  <c r="Z16" i="16" s="1"/>
  <c r="W16" i="16"/>
  <c r="W5" i="16"/>
  <c r="V5" i="16"/>
  <c r="Y5" i="16"/>
  <c r="Z5" i="16" s="1"/>
  <c r="V12" i="16"/>
  <c r="Y12" i="16"/>
  <c r="Z12" i="16" s="1"/>
  <c r="W12" i="16"/>
  <c r="V8" i="16"/>
  <c r="W8" i="16"/>
  <c r="Y8" i="16"/>
  <c r="Z8" i="16" s="1"/>
  <c r="V4" i="16"/>
  <c r="Y4" i="16"/>
  <c r="Z4" i="16" s="1"/>
  <c r="W4" i="16"/>
  <c r="E21" i="3"/>
  <c r="E22" i="3" s="1"/>
  <c r="J12" i="5"/>
  <c r="AA36" i="1"/>
  <c r="J9" i="5"/>
  <c r="AA33" i="1"/>
  <c r="AA31" i="1"/>
  <c r="J14" i="5"/>
  <c r="AA27" i="1"/>
  <c r="AA39" i="1"/>
  <c r="J19" i="5"/>
  <c r="J17" i="5"/>
  <c r="AA34" i="1"/>
  <c r="J15" i="5"/>
  <c r="AA32" i="1"/>
  <c r="AA30" i="1"/>
  <c r="J5" i="5"/>
  <c r="AA26" i="1"/>
  <c r="J13" i="5"/>
  <c r="AA35" i="1"/>
  <c r="AA37" i="1"/>
  <c r="J10" i="5"/>
  <c r="AA29" i="1"/>
  <c r="AA25" i="1"/>
  <c r="AA38" i="1"/>
  <c r="AA28" i="1"/>
  <c r="AA24" i="1"/>
  <c r="X43" i="7"/>
  <c r="X45" i="7"/>
  <c r="X59" i="7"/>
  <c r="X40" i="7"/>
  <c r="X30" i="7"/>
  <c r="X52" i="7"/>
  <c r="X58" i="7"/>
  <c r="X33" i="7"/>
  <c r="X31" i="7"/>
  <c r="X60" i="7"/>
  <c r="X53" i="7"/>
  <c r="X56" i="7"/>
  <c r="X57" i="7"/>
  <c r="X34" i="7"/>
  <c r="X27" i="7"/>
  <c r="X41" i="7"/>
  <c r="X42" i="7"/>
  <c r="X55" i="7"/>
  <c r="X44" i="7"/>
  <c r="X46" i="7"/>
  <c r="X39" i="7"/>
  <c r="X28" i="7"/>
  <c r="X29" i="7"/>
  <c r="AE35" i="1"/>
  <c r="AE31" i="1"/>
  <c r="AA19" i="1"/>
  <c r="AA18" i="1"/>
  <c r="AA8" i="1"/>
  <c r="AA10" i="1"/>
  <c r="AA13" i="1"/>
  <c r="AA9" i="1"/>
  <c r="AE30" i="1"/>
  <c r="AA16" i="1"/>
  <c r="AA7" i="1"/>
  <c r="AE33" i="1"/>
  <c r="AE29" i="1"/>
  <c r="AE25" i="1"/>
  <c r="AA14" i="1"/>
  <c r="AA17" i="1"/>
  <c r="AE34" i="1"/>
  <c r="AE26" i="1"/>
  <c r="AA12" i="1"/>
  <c r="AA15" i="1"/>
  <c r="AA11" i="1"/>
  <c r="AA6" i="1"/>
  <c r="AE36" i="1"/>
  <c r="AE32" i="1"/>
  <c r="AE28" i="1"/>
  <c r="J7" i="5"/>
  <c r="J16" i="5"/>
  <c r="J6" i="5"/>
  <c r="J11" i="5"/>
  <c r="AA5" i="1"/>
  <c r="AA4" i="1"/>
  <c r="D18" i="5"/>
  <c r="H14" i="10"/>
  <c r="D14" i="5"/>
  <c r="H7" i="10"/>
  <c r="D11" i="5"/>
  <c r="H4" i="10"/>
  <c r="D7" i="5"/>
  <c r="H8" i="10"/>
  <c r="D12" i="5"/>
  <c r="H10" i="10"/>
  <c r="D15" i="5"/>
  <c r="H3" i="10"/>
  <c r="D17" i="5"/>
  <c r="H5" i="10"/>
  <c r="D8" i="5"/>
  <c r="H11" i="10"/>
  <c r="D13" i="5"/>
  <c r="H12" i="10"/>
  <c r="D16" i="5"/>
  <c r="H9" i="10"/>
  <c r="D6" i="5"/>
  <c r="H16" i="10"/>
  <c r="D5" i="5"/>
  <c r="H17" i="10"/>
  <c r="D9" i="5"/>
  <c r="H15" i="10"/>
  <c r="D10" i="5"/>
  <c r="H13" i="10"/>
  <c r="D4" i="5"/>
  <c r="H18" i="10"/>
  <c r="L15" i="3"/>
  <c r="F11" i="4"/>
  <c r="L12" i="4"/>
  <c r="L14" i="3"/>
  <c r="L11" i="4"/>
  <c r="L13" i="3"/>
  <c r="L8" i="3"/>
  <c r="L16" i="3"/>
  <c r="L7" i="3"/>
  <c r="L15" i="4"/>
  <c r="L6" i="4"/>
  <c r="L13" i="4"/>
  <c r="L5" i="3"/>
  <c r="F12" i="4"/>
  <c r="L10" i="3"/>
  <c r="F15" i="3"/>
  <c r="F18" i="3"/>
  <c r="F11" i="3"/>
  <c r="F8" i="3"/>
  <c r="F16" i="3"/>
  <c r="L7" i="4"/>
  <c r="F6" i="4"/>
  <c r="L18" i="4"/>
  <c r="L16" i="4"/>
  <c r="F15" i="4"/>
  <c r="L8" i="4"/>
  <c r="F7" i="4"/>
  <c r="L14" i="4"/>
  <c r="F13" i="4"/>
  <c r="F14" i="4"/>
  <c r="F17" i="4"/>
  <c r="F16" i="4"/>
  <c r="L17" i="4"/>
  <c r="L9" i="4"/>
  <c r="F8" i="4"/>
  <c r="L10" i="4"/>
  <c r="F9" i="4"/>
  <c r="F10" i="4"/>
  <c r="L5" i="4"/>
  <c r="F5" i="4"/>
  <c r="L4" i="4"/>
  <c r="F18" i="4"/>
  <c r="F4" i="4"/>
  <c r="L4" i="3"/>
  <c r="K21" i="3"/>
  <c r="F4" i="3"/>
  <c r="V14" i="7"/>
  <c r="X14" i="7" s="1"/>
  <c r="V7" i="7"/>
  <c r="X7" i="7" s="1"/>
  <c r="V17" i="7"/>
  <c r="X17" i="7" s="1"/>
  <c r="V9" i="7"/>
  <c r="X9" i="7" s="1"/>
  <c r="V5" i="7"/>
  <c r="X5" i="7" s="1"/>
  <c r="AF5" i="7" s="1"/>
  <c r="V16" i="7"/>
  <c r="X16" i="7" s="1"/>
  <c r="V10" i="7"/>
  <c r="X10" i="7" s="1"/>
  <c r="V12" i="7"/>
  <c r="X12" i="7" s="1"/>
  <c r="V8" i="7"/>
  <c r="X8" i="7" s="1"/>
  <c r="V13" i="7"/>
  <c r="X13" i="7" s="1"/>
  <c r="V6" i="7"/>
  <c r="X6" i="7" s="1"/>
  <c r="V15" i="7"/>
  <c r="X15" i="7" s="1"/>
  <c r="AF15" i="7" s="1"/>
  <c r="V18" i="7"/>
  <c r="X18" i="7"/>
  <c r="V11" i="7"/>
  <c r="X11" i="7" s="1"/>
  <c r="D20" i="16" l="1"/>
  <c r="T18" i="16"/>
  <c r="G15" i="10"/>
  <c r="AF12" i="7"/>
  <c r="K19" i="5"/>
  <c r="V18" i="16"/>
  <c r="W18" i="16"/>
  <c r="Y18" i="16"/>
  <c r="Z18" i="16" s="1"/>
  <c r="G4" i="10"/>
  <c r="AF9" i="7"/>
  <c r="G7" i="10"/>
  <c r="AF18" i="7"/>
  <c r="G3" i="10"/>
  <c r="AF13" i="7"/>
  <c r="G14" i="10"/>
  <c r="AF14" i="7"/>
  <c r="G10" i="10"/>
  <c r="AF17" i="7"/>
  <c r="G13" i="10"/>
  <c r="AF7" i="7"/>
  <c r="G8" i="10"/>
  <c r="AF8" i="7"/>
  <c r="G17" i="10"/>
  <c r="AF11" i="7"/>
  <c r="G16" i="10"/>
  <c r="AF6" i="7"/>
  <c r="G12" i="10"/>
  <c r="AF10" i="7"/>
  <c r="G18" i="10"/>
  <c r="AF16" i="7"/>
  <c r="G11" i="10"/>
  <c r="E19" i="5"/>
  <c r="K4" i="5"/>
  <c r="E4" i="5"/>
  <c r="K18" i="5"/>
  <c r="K17" i="5"/>
  <c r="K11" i="5"/>
  <c r="K14" i="5"/>
  <c r="K15" i="5"/>
  <c r="K12" i="5"/>
  <c r="K6" i="5"/>
  <c r="K13" i="5"/>
  <c r="K5" i="5"/>
  <c r="K10" i="5"/>
  <c r="K8" i="5"/>
  <c r="K9" i="5"/>
  <c r="K7" i="5"/>
  <c r="K16" i="5"/>
  <c r="E15" i="5"/>
  <c r="E5" i="5"/>
  <c r="E18" i="5"/>
  <c r="E14" i="5"/>
  <c r="E17" i="5"/>
  <c r="E13" i="5"/>
  <c r="E7" i="5"/>
  <c r="E11" i="5"/>
  <c r="E12" i="5"/>
  <c r="L21" i="3"/>
  <c r="F21" i="3"/>
  <c r="D27" i="5"/>
  <c r="D30" i="5"/>
  <c r="D25" i="5"/>
  <c r="D29" i="5"/>
  <c r="D28" i="5"/>
  <c r="D32" i="5"/>
  <c r="D35" i="5"/>
  <c r="D24" i="5"/>
  <c r="D34" i="5"/>
  <c r="D33" i="5"/>
  <c r="D37" i="5"/>
  <c r="D36" i="5"/>
  <c r="D26" i="5"/>
  <c r="E6" i="5" l="1"/>
  <c r="E9" i="5"/>
  <c r="E10" i="5"/>
  <c r="E8" i="5"/>
  <c r="K19" i="7"/>
  <c r="S19" i="7"/>
  <c r="P19" i="7"/>
  <c r="M19" i="7"/>
  <c r="U19" i="7"/>
  <c r="N19" i="7"/>
  <c r="L19" i="7"/>
  <c r="G19" i="7"/>
  <c r="H19" i="7"/>
  <c r="Q19" i="7"/>
  <c r="R19" i="7"/>
  <c r="O19" i="7"/>
  <c r="I19" i="7"/>
  <c r="J19" i="7"/>
  <c r="T19" i="7"/>
  <c r="V196" i="7"/>
  <c r="X196" i="7" s="1"/>
  <c r="V19" i="7" l="1"/>
  <c r="X19" i="7"/>
  <c r="AF19" i="7" s="1"/>
  <c r="G9" i="10" l="1"/>
  <c r="X22" i="7"/>
  <c r="AB21" i="7" s="1"/>
  <c r="Z21" i="7"/>
  <c r="AB19" i="7"/>
  <c r="AB6" i="7"/>
  <c r="AB18" i="7"/>
  <c r="AB16" i="7"/>
  <c r="AB8" i="7"/>
  <c r="AB15" i="7"/>
  <c r="AB9" i="7"/>
  <c r="AB14" i="7"/>
  <c r="AB5" i="7"/>
  <c r="AB10" i="7"/>
  <c r="AB13" i="7"/>
  <c r="AB7" i="7"/>
  <c r="AB12" i="7"/>
  <c r="Z20" i="7"/>
  <c r="Z8" i="7"/>
  <c r="Z9" i="7"/>
  <c r="Z14" i="7"/>
  <c r="Z6" i="7"/>
  <c r="AB17" i="7"/>
  <c r="Z19" i="7"/>
  <c r="Z12" i="7"/>
  <c r="Z18" i="7"/>
  <c r="Z15" i="7"/>
  <c r="Z17" i="7"/>
  <c r="Z16" i="7"/>
  <c r="Z5" i="7"/>
  <c r="Z10" i="7"/>
  <c r="Z13" i="7"/>
  <c r="Z11" i="7"/>
  <c r="Z7" i="7"/>
  <c r="AB11" i="7"/>
  <c r="D38" i="5"/>
  <c r="E39" i="5" s="1"/>
  <c r="AB20" i="7" l="1"/>
  <c r="E38" i="5"/>
  <c r="E32" i="5"/>
  <c r="E35" i="5"/>
  <c r="E34" i="5"/>
  <c r="E31" i="5"/>
  <c r="E28" i="5"/>
  <c r="E30" i="5"/>
  <c r="E26" i="5"/>
  <c r="E25" i="5"/>
  <c r="E27" i="5"/>
  <c r="E29" i="5"/>
  <c r="E33" i="5"/>
  <c r="E36" i="5"/>
  <c r="E37" i="5"/>
  <c r="E24" i="5"/>
  <c r="L20" i="3"/>
  <c r="AE38" i="1" l="1"/>
  <c r="AE40" i="1" s="1"/>
</calcChain>
</file>

<file path=xl/sharedStrings.xml><?xml version="1.0" encoding="utf-8"?>
<sst xmlns="http://schemas.openxmlformats.org/spreadsheetml/2006/main" count="2196" uniqueCount="250">
  <si>
    <t xml:space="preserve"> Resultat Brutto</t>
  </si>
  <si>
    <t>Poäng</t>
  </si>
  <si>
    <t>För</t>
  </si>
  <si>
    <t>Efter</t>
  </si>
  <si>
    <t>1</t>
  </si>
  <si>
    <t>2</t>
  </si>
  <si>
    <t>3</t>
  </si>
  <si>
    <t>4</t>
  </si>
  <si>
    <t>5</t>
  </si>
  <si>
    <t>6</t>
  </si>
  <si>
    <t>7</t>
  </si>
  <si>
    <t>8</t>
  </si>
  <si>
    <t>92</t>
  </si>
  <si>
    <t>10</t>
  </si>
  <si>
    <t>Sum</t>
  </si>
  <si>
    <t>9</t>
  </si>
  <si>
    <t>Plac</t>
  </si>
  <si>
    <t>Öl</t>
  </si>
  <si>
    <t>HCP</t>
  </si>
  <si>
    <t>Snittscore</t>
  </si>
  <si>
    <t>Stefan</t>
  </si>
  <si>
    <t>Thorvaldsson</t>
  </si>
  <si>
    <t>Peter</t>
  </si>
  <si>
    <t>Nilsson</t>
  </si>
  <si>
    <t>Magnus</t>
  </si>
  <si>
    <t>Bengtsson</t>
  </si>
  <si>
    <t>Börje</t>
  </si>
  <si>
    <t>Johansson</t>
  </si>
  <si>
    <t>Micke</t>
  </si>
  <si>
    <t>Åberg</t>
  </si>
  <si>
    <t>Göran</t>
  </si>
  <si>
    <t>Backe</t>
  </si>
  <si>
    <t>Jörgen</t>
  </si>
  <si>
    <t>Simonsson</t>
  </si>
  <si>
    <t>Källström</t>
  </si>
  <si>
    <t>Thomas</t>
  </si>
  <si>
    <t>Larsson</t>
  </si>
  <si>
    <t>Claes</t>
  </si>
  <si>
    <t>Svensson</t>
  </si>
  <si>
    <t>Niklas</t>
  </si>
  <si>
    <t>Ljung</t>
  </si>
  <si>
    <t>Stranddahl</t>
  </si>
  <si>
    <t>Lalle</t>
  </si>
  <si>
    <t>Jocke</t>
  </si>
  <si>
    <t>Söder</t>
  </si>
  <si>
    <t>PJ</t>
  </si>
  <si>
    <t>Glyssbo</t>
  </si>
  <si>
    <t>Kent</t>
  </si>
  <si>
    <t xml:space="preserve"> </t>
  </si>
  <si>
    <t>Prospect</t>
  </si>
  <si>
    <t>Snitt</t>
  </si>
  <si>
    <t xml:space="preserve"> Resultat Netto</t>
  </si>
  <si>
    <t xml:space="preserve"> Poäng</t>
  </si>
  <si>
    <t>Kolumn1</t>
  </si>
  <si>
    <t>Birdies</t>
  </si>
  <si>
    <t>Netto</t>
  </si>
  <si>
    <t>Öl tid</t>
  </si>
  <si>
    <t>Öl i år</t>
  </si>
  <si>
    <t>Tot</t>
  </si>
  <si>
    <t>Birdie tid</t>
  </si>
  <si>
    <t>Birdie i år</t>
  </si>
  <si>
    <t>Anm</t>
  </si>
  <si>
    <t xml:space="preserve">Niklas </t>
  </si>
  <si>
    <t xml:space="preserve">Stefan </t>
  </si>
  <si>
    <t>Niclas</t>
  </si>
  <si>
    <t xml:space="preserve">PJ </t>
  </si>
  <si>
    <t>Övriga</t>
  </si>
  <si>
    <t>I år</t>
  </si>
  <si>
    <t>Bäst "Ever"</t>
  </si>
  <si>
    <t>Skillnad</t>
  </si>
  <si>
    <t>K Johansson</t>
  </si>
  <si>
    <t>Spelade</t>
  </si>
  <si>
    <t>Banor</t>
  </si>
  <si>
    <t>Bästa res</t>
  </si>
  <si>
    <t>Bana</t>
  </si>
  <si>
    <t>Brutto</t>
  </si>
  <si>
    <t>Antal ggr</t>
  </si>
  <si>
    <t>Dundonald Links</t>
  </si>
  <si>
    <t>La Manga South</t>
  </si>
  <si>
    <t>Twenty Ten</t>
  </si>
  <si>
    <t>Öijared Nya</t>
  </si>
  <si>
    <t>Penna Longa</t>
  </si>
  <si>
    <t>Reftele</t>
  </si>
  <si>
    <t>La Manga North</t>
  </si>
  <si>
    <t>Roman Course</t>
  </si>
  <si>
    <t>Quinta de Marinha</t>
  </si>
  <si>
    <t>St Arild</t>
  </si>
  <si>
    <t>Woodland</t>
  </si>
  <si>
    <t>Lagan</t>
  </si>
  <si>
    <t>Örkelljunga</t>
  </si>
  <si>
    <t>Vittsjö GK</t>
  </si>
  <si>
    <t>Öijared Gamla</t>
  </si>
  <si>
    <t>Hässlegården</t>
  </si>
  <si>
    <t>Vasatorp</t>
  </si>
  <si>
    <t>Båstad Gamla</t>
  </si>
  <si>
    <t>Örestads GK</t>
  </si>
  <si>
    <t>Varberg V</t>
  </si>
  <si>
    <t>Vinberg</t>
  </si>
  <si>
    <t>Båstad Nya</t>
  </si>
  <si>
    <t>Ringenäs</t>
  </si>
  <si>
    <t>98.3</t>
  </si>
  <si>
    <t>Tönnersjö</t>
  </si>
  <si>
    <t>Varberg Ö</t>
  </si>
  <si>
    <t>Haverdal</t>
  </si>
  <si>
    <t>Bäckavattnet</t>
  </si>
  <si>
    <t>Björnhult</t>
  </si>
  <si>
    <t>Isaberg</t>
  </si>
  <si>
    <t>Tylösand Norra</t>
  </si>
  <si>
    <t>Åkagårdens GK</t>
  </si>
  <si>
    <t>Falkenberg</t>
  </si>
  <si>
    <t>Torekov</t>
  </si>
  <si>
    <t>Tylösand S</t>
  </si>
  <si>
    <t>Bjäre GK</t>
  </si>
  <si>
    <t>Skogaby</t>
  </si>
  <si>
    <t>Rydö</t>
  </si>
  <si>
    <t>Ängelholm</t>
  </si>
  <si>
    <t>Flädje</t>
  </si>
  <si>
    <t>Loch Greenwood</t>
  </si>
  <si>
    <t>Laholm</t>
  </si>
  <si>
    <t>Holm</t>
  </si>
  <si>
    <t>Araslöv</t>
  </si>
  <si>
    <t>Strandgrün</t>
  </si>
  <si>
    <t>Bruttoscore</t>
  </si>
  <si>
    <t>Nettoscore</t>
  </si>
  <si>
    <t>Summa</t>
  </si>
  <si>
    <t>Att slå</t>
  </si>
  <si>
    <t>Dreamscore</t>
  </si>
  <si>
    <t>Rank</t>
  </si>
  <si>
    <t>Player</t>
  </si>
  <si>
    <t>Name</t>
  </si>
  <si>
    <t>Bd/P</t>
  </si>
  <si>
    <t>Form-Ind</t>
  </si>
  <si>
    <t>ATP</t>
  </si>
  <si>
    <t>PGA</t>
  </si>
  <si>
    <t>L Johansson</t>
  </si>
  <si>
    <t>B Johansson</t>
  </si>
  <si>
    <t>Här kan du se hur det gått hål för hål</t>
  </si>
  <si>
    <t>Par</t>
  </si>
  <si>
    <t>11</t>
  </si>
  <si>
    <t>12</t>
  </si>
  <si>
    <t>1, 5</t>
  </si>
  <si>
    <t>3, 14, 15 &amp; 18</t>
  </si>
  <si>
    <t>15</t>
  </si>
  <si>
    <t>16</t>
  </si>
  <si>
    <t>17</t>
  </si>
  <si>
    <t>18</t>
  </si>
  <si>
    <t>Score</t>
  </si>
  <si>
    <t>PL</t>
  </si>
  <si>
    <t>Ahead</t>
  </si>
  <si>
    <t>Bästa</t>
  </si>
  <si>
    <t>Morgan</t>
  </si>
  <si>
    <t>Parmlöv</t>
  </si>
  <si>
    <t>Tidigare år</t>
  </si>
  <si>
    <t>Spelare för spelare</t>
  </si>
  <si>
    <t>Här ser ni era scorekort baserade på över och under par</t>
  </si>
  <si>
    <t>Antal</t>
  </si>
  <si>
    <t>Procent</t>
  </si>
  <si>
    <t>Liga riktvärde</t>
  </si>
  <si>
    <t>Liga Procent</t>
  </si>
  <si>
    <t>13</t>
  </si>
  <si>
    <t>14</t>
  </si>
  <si>
    <t>Bogeys</t>
  </si>
  <si>
    <t>Dubbel</t>
  </si>
  <si>
    <t>Trippel</t>
  </si>
  <si>
    <t>Quattro</t>
  </si>
  <si>
    <t>Shit</t>
  </si>
  <si>
    <t>Strandahl</t>
  </si>
  <si>
    <t xml:space="preserve"> B Johansson</t>
  </si>
  <si>
    <t>1 birdie</t>
  </si>
  <si>
    <t>x,Stefan,Peter,Magnus,Borje,Micke,Goran,Simonsson,Kallstrom,Thomas,Claes,Niklas,Strandahl,Jocke,PJ,Lalle</t>
  </si>
  <si>
    <t>string,number,number,number,number,number,number,number,number,number,number,number,number,number,number,number</t>
  </si>
  <si>
    <t>R1,73,76,76,71,72,79,79,81,77,83,89,81,79,97,91</t>
  </si>
  <si>
    <t>R2,,,,,,,,,,,,,,,</t>
  </si>
  <si>
    <t>R3,,,,,,,,,,,,,,,</t>
  </si>
  <si>
    <t>R4,,,,,,,,,,,,,,,</t>
  </si>
  <si>
    <t>R5,,,,,,,,,,,,,,,</t>
  </si>
  <si>
    <t>R6,,,,,,,,,,,,,,,</t>
  </si>
  <si>
    <t>R7,,,,,,,,,,,,,,,</t>
  </si>
  <si>
    <t>R8,,,,,,,,,,,,,,,</t>
  </si>
  <si>
    <t>R9,,,,,,,,,,,,,,,</t>
  </si>
  <si>
    <t>med</t>
  </si>
  <si>
    <t>Nu</t>
  </si>
  <si>
    <t>jmf 20</t>
  </si>
  <si>
    <t>jmf 09-20</t>
  </si>
  <si>
    <t>Med</t>
  </si>
  <si>
    <t>Black Eagles</t>
  </si>
  <si>
    <t>Green Hawks</t>
  </si>
  <si>
    <t>Blue Vultures</t>
  </si>
  <si>
    <t>Purple Ospreys</t>
  </si>
  <si>
    <t>White Albatrows</t>
  </si>
  <si>
    <t>Yellow Olws</t>
  </si>
  <si>
    <t>Red Falcons</t>
  </si>
  <si>
    <t>B Best</t>
  </si>
  <si>
    <t>N Best</t>
  </si>
  <si>
    <t>Ligan 2021</t>
  </si>
  <si>
    <t>Ligan 2020</t>
  </si>
  <si>
    <t>jmf 2020 Netto</t>
  </si>
  <si>
    <t>Jmf 09-20 Netto</t>
  </si>
  <si>
    <t>Jmf 2020 Brutto</t>
  </si>
  <si>
    <t>Jmf 09-20 Brutto</t>
  </si>
  <si>
    <t>Test Dream</t>
  </si>
  <si>
    <t>Wherever we go</t>
  </si>
  <si>
    <t xml:space="preserve"> oktober -2022</t>
  </si>
  <si>
    <t>Spelare</t>
  </si>
  <si>
    <t>Namn</t>
  </si>
  <si>
    <t>Lag</t>
  </si>
  <si>
    <t>Brutto 1</t>
  </si>
  <si>
    <t>Brutto 2</t>
  </si>
  <si>
    <t>Totalt B</t>
  </si>
  <si>
    <t>Lag2</t>
  </si>
  <si>
    <t>Netto 1</t>
  </si>
  <si>
    <t>Netto 2</t>
  </si>
  <si>
    <t>Totalt N</t>
  </si>
  <si>
    <t>Samla Par</t>
  </si>
  <si>
    <t>Samla birdie</t>
  </si>
  <si>
    <t>Prognos</t>
  </si>
  <si>
    <t>Hur gick det</t>
  </si>
  <si>
    <t>Dreamscore Hopp</t>
  </si>
  <si>
    <t>P-J</t>
  </si>
  <si>
    <t>P</t>
  </si>
  <si>
    <t>Bi</t>
  </si>
  <si>
    <t>Bo</t>
  </si>
  <si>
    <t>Db</t>
  </si>
  <si>
    <t>Tb</t>
  </si>
  <si>
    <t>Qb</t>
  </si>
  <si>
    <t>S</t>
  </si>
  <si>
    <t>2023 Vs 2022</t>
  </si>
  <si>
    <t>2023 Vs Snitt</t>
  </si>
  <si>
    <t>Minsta</t>
  </si>
  <si>
    <t>2023 vs minsta</t>
  </si>
  <si>
    <t>Missade rundor</t>
  </si>
  <si>
    <t>Spelare/omg</t>
  </si>
  <si>
    <t>Mölle</t>
  </si>
  <si>
    <t>Kolumn2</t>
  </si>
  <si>
    <t>2009</t>
  </si>
  <si>
    <t>2010</t>
  </si>
  <si>
    <t>2012</t>
  </si>
  <si>
    <t>2013</t>
  </si>
  <si>
    <t>2014</t>
  </si>
  <si>
    <t>2015</t>
  </si>
  <si>
    <t>2016</t>
  </si>
  <si>
    <t>2017</t>
  </si>
  <si>
    <t>2018</t>
  </si>
  <si>
    <t>2019</t>
  </si>
  <si>
    <t>2020</t>
  </si>
  <si>
    <t>2021</t>
  </si>
  <si>
    <t>2022</t>
  </si>
  <si>
    <t>2023</t>
  </si>
  <si>
    <t>Ligan 2022</t>
  </si>
  <si>
    <t>Ligan 2023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</si>
</sst>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0.0"/>
    <numFmt numFmtId="165" formatCode="#,##0\ &quot;kr&quot;"/>
    <numFmt numFmtId="166" formatCode="[$$-409]#,##0"/>
  </numFmts>
  <fonts count="45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8"/>
      <color theme="3"/>
      <name val="Cambria"/>
      <family val="2"/>
      <scheme val="major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65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10"/>
      <name val="Arial"/>
      <family val="2"/>
    </font>
    <font>
      <b/>
      <i/>
      <sz val="10"/>
      <name val="Arial"/>
      <family val="2"/>
    </font>
    <font>
      <sz val="10"/>
      <color theme="0"/>
      <name val="Arial"/>
      <family val="2"/>
    </font>
    <font>
      <b/>
      <sz val="10"/>
      <color theme="0"/>
      <name val="Arial"/>
      <family val="2"/>
    </font>
    <font>
      <sz val="10"/>
      <color rgb="FFFFC000"/>
      <name val="Arial"/>
      <family val="2"/>
    </font>
    <font>
      <b/>
      <sz val="10"/>
      <color rgb="FFFFC000"/>
      <name val="Arial"/>
      <family val="2"/>
    </font>
    <font>
      <sz val="11"/>
      <color rgb="FFFFC000"/>
      <name val="Calibri"/>
      <family val="2"/>
      <scheme val="minor"/>
    </font>
    <font>
      <b/>
      <sz val="11"/>
      <color theme="1" tint="4.9989318521683403E-2"/>
      <name val="Calibri"/>
      <family val="2"/>
      <scheme val="minor"/>
    </font>
    <font>
      <i/>
      <sz val="11"/>
      <color theme="0"/>
      <name val="Calibri"/>
      <family val="2"/>
      <scheme val="minor"/>
    </font>
    <font>
      <sz val="14"/>
      <color theme="0"/>
      <name val="Calibri"/>
      <family val="2"/>
      <scheme val="minor"/>
    </font>
    <font>
      <b/>
      <sz val="10"/>
      <color theme="1" tint="4.9989318521683403E-2"/>
      <name val="Arial"/>
      <family val="2"/>
    </font>
    <font>
      <sz val="11"/>
      <color theme="0" tint="-4.9989318521683403E-2"/>
      <name val="Calibri"/>
      <family val="2"/>
      <scheme val="minor"/>
    </font>
    <font>
      <u/>
      <sz val="11"/>
      <color theme="10"/>
      <name val="Calibri"/>
      <family val="2"/>
      <scheme val="minor"/>
    </font>
    <font>
      <u/>
      <sz val="11"/>
      <color theme="11"/>
      <name val="Calibri"/>
      <family val="2"/>
      <scheme val="minor"/>
    </font>
    <font>
      <sz val="11"/>
      <color theme="1" tint="4.9989318521683403E-2"/>
      <name val="Calibri"/>
      <family val="2"/>
      <scheme val="minor"/>
    </font>
    <font>
      <sz val="18"/>
      <color theme="0"/>
      <name val="Harlow Solid Italic"/>
      <family val="5"/>
    </font>
    <font>
      <b/>
      <sz val="11"/>
      <color rgb="FFFFFF00"/>
      <name val="Calibri"/>
      <family val="2"/>
      <scheme val="minor"/>
    </font>
    <font>
      <b/>
      <sz val="11"/>
      <color rgb="FFFFC000"/>
      <name val="Calibri"/>
      <family val="2"/>
      <scheme val="minor"/>
    </font>
    <font>
      <sz val="8"/>
      <name val="Calibri"/>
      <family val="2"/>
      <scheme val="minor"/>
    </font>
    <font>
      <b/>
      <sz val="10"/>
      <name val="Arial"/>
      <family val="2"/>
    </font>
    <font>
      <b/>
      <sz val="11"/>
      <color rgb="FFFF0000"/>
      <name val="Calibri"/>
      <family val="2"/>
      <scheme val="minor"/>
    </font>
    <font>
      <b/>
      <sz val="11"/>
      <color theme="1" tint="4.9989318521683403E-2"/>
      <name val="Calibri"/>
      <family val="2"/>
      <scheme val="minor"/>
    </font>
    <font>
      <sz val="10"/>
      <color rgb="FF484D5B"/>
      <name val="Open Sans"/>
      <family val="2"/>
    </font>
    <font>
      <sz val="11"/>
      <color rgb="FF000000"/>
      <name val="Inherit"/>
    </font>
    <font>
      <b/>
      <sz val="11"/>
      <color theme="1"/>
      <name val="Calibri"/>
      <scheme val="minor"/>
    </font>
    <font>
      <sz val="10"/>
      <color theme="0"/>
      <name val="Arial"/>
    </font>
    <font>
      <sz val="11"/>
      <color rgb="FFFFFFFF"/>
      <name val="Calibri"/>
      <family val="2"/>
      <scheme val="minor"/>
    </font>
  </fonts>
  <fills count="72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0"/>
        <bgColor indexed="64"/>
      </patternFill>
    </fill>
    <fill>
      <patternFill patternType="solid">
        <fgColor rgb="FFC00000"/>
        <bgColor rgb="FF000000"/>
      </patternFill>
    </fill>
    <fill>
      <patternFill patternType="solid">
        <fgColor rgb="FFC00000"/>
        <bgColor indexed="64"/>
      </patternFill>
    </fill>
    <fill>
      <patternFill patternType="solid">
        <fgColor theme="1"/>
        <bgColor theme="1"/>
      </patternFill>
    </fill>
    <fill>
      <patternFill patternType="solid">
        <fgColor theme="6" tint="-0.249977111117893"/>
        <bgColor theme="6" tint="-0.249977111117893"/>
      </patternFill>
    </fill>
    <fill>
      <patternFill patternType="solid">
        <fgColor theme="1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1" tint="4.9989318521683403E-2"/>
        <bgColor indexed="64"/>
      </patternFill>
    </fill>
    <fill>
      <patternFill patternType="solid">
        <fgColor rgb="FF92D050"/>
        <bgColor rgb="FF000000"/>
      </patternFill>
    </fill>
    <fill>
      <patternFill patternType="solid">
        <fgColor rgb="FF92D050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9" tint="-0.249977111117893"/>
        <bgColor theme="9" tint="-0.249977111117893"/>
      </patternFill>
    </fill>
    <fill>
      <patternFill patternType="solid">
        <fgColor theme="9"/>
        <bgColor theme="9"/>
      </patternFill>
    </fill>
    <fill>
      <patternFill patternType="solid">
        <fgColor theme="1" tint="0.44999542222357858"/>
        <bgColor theme="1" tint="0.44999542222357858"/>
      </patternFill>
    </fill>
    <fill>
      <patternFill patternType="solid">
        <fgColor theme="6" tint="-0.499984740745262"/>
        <bgColor theme="6" tint="-0.499984740745262"/>
      </patternFill>
    </fill>
    <fill>
      <patternFill patternType="solid">
        <fgColor theme="6"/>
        <bgColor theme="6"/>
      </patternFill>
    </fill>
    <fill>
      <patternFill patternType="solid">
        <fgColor rgb="FFA8ED85"/>
        <bgColor indexed="64"/>
      </patternFill>
    </fill>
    <fill>
      <patternFill patternType="solid">
        <fgColor theme="2" tint="-0.89999084444715716"/>
        <bgColor indexed="64"/>
      </patternFill>
    </fill>
    <fill>
      <patternFill patternType="solid">
        <fgColor theme="1" tint="0.249977111117893"/>
        <bgColor theme="1" tint="0.249977111117893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F0F0F0"/>
        <bgColor indexed="64"/>
      </patternFill>
    </fill>
    <fill>
      <patternFill patternType="solid">
        <fgColor rgb="FFFF66CC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2" tint="-0.499984740745262"/>
        <bgColor indexed="64"/>
      </patternFill>
    </fill>
    <fill>
      <patternFill patternType="solid">
        <fgColor rgb="FFF79646"/>
        <bgColor rgb="FFF79646"/>
      </patternFill>
    </fill>
    <fill>
      <patternFill patternType="solid">
        <fgColor rgb="FFE26B0A"/>
        <bgColor rgb="FFE26B0A"/>
      </patternFill>
    </fill>
    <fill>
      <patternFill patternType="solid">
        <fgColor rgb="FF76933C"/>
        <bgColor rgb="FF76933C"/>
      </patternFill>
    </fill>
    <fill>
      <patternFill patternType="solid">
        <fgColor rgb="FF9BBB59"/>
        <bgColor rgb="FF9BBB59"/>
      </patternFill>
    </fill>
  </fills>
  <borders count="76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/>
      <bottom style="medium">
        <color auto="1"/>
      </bottom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/>
      <right style="thin">
        <color auto="1"/>
      </right>
      <top/>
      <bottom style="medium">
        <color auto="1"/>
      </bottom>
      <diagonal/>
    </border>
    <border>
      <left style="thin">
        <color auto="1"/>
      </left>
      <right/>
      <top/>
      <bottom style="medium">
        <color auto="1"/>
      </bottom>
      <diagonal/>
    </border>
    <border>
      <left style="medium">
        <color auto="1"/>
      </left>
      <right style="medium">
        <color auto="1"/>
      </right>
      <top style="thin">
        <color auto="1"/>
      </top>
      <bottom/>
      <diagonal/>
    </border>
    <border>
      <left/>
      <right/>
      <top style="thin">
        <color rgb="FFB2B2B2"/>
      </top>
      <bottom style="thin">
        <color rgb="FFB2B2B2"/>
      </bottom>
      <diagonal/>
    </border>
    <border>
      <left/>
      <right/>
      <top/>
      <bottom style="thin">
        <color rgb="FFB2B2B2"/>
      </bottom>
      <diagonal/>
    </border>
    <border>
      <left/>
      <right style="thin">
        <color auto="1"/>
      </right>
      <top style="thin">
        <color auto="1"/>
      </top>
      <bottom style="medium">
        <color indexed="64"/>
      </bottom>
      <diagonal/>
    </border>
    <border>
      <left/>
      <right style="medium">
        <color indexed="64"/>
      </right>
      <top/>
      <bottom style="thin">
        <color auto="1"/>
      </bottom>
      <diagonal/>
    </border>
    <border>
      <left/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thin">
        <color indexed="64"/>
      </right>
      <top/>
      <bottom/>
      <diagonal/>
    </border>
    <border>
      <left style="thin">
        <color auto="1"/>
      </left>
      <right style="medium">
        <color indexed="64"/>
      </right>
      <top style="thin">
        <color auto="1"/>
      </top>
      <bottom/>
      <diagonal/>
    </border>
    <border>
      <left style="thin">
        <color auto="1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auto="1"/>
      </right>
      <top/>
      <bottom/>
      <diagonal/>
    </border>
    <border>
      <left style="thin">
        <color indexed="64"/>
      </left>
      <right style="medium">
        <color auto="1"/>
      </right>
      <top/>
      <bottom/>
      <diagonal/>
    </border>
    <border>
      <left style="thin">
        <color auto="1"/>
      </left>
      <right/>
      <top style="medium">
        <color auto="1"/>
      </top>
      <bottom/>
      <diagonal/>
    </border>
    <border>
      <left style="thin">
        <color auto="1"/>
      </left>
      <right style="medium">
        <color indexed="64"/>
      </right>
      <top style="medium">
        <color auto="1"/>
      </top>
      <bottom/>
      <diagonal/>
    </border>
    <border>
      <left style="medium">
        <color indexed="64"/>
      </left>
      <right/>
      <top style="thin">
        <color auto="1"/>
      </top>
      <bottom/>
      <diagonal/>
    </border>
    <border>
      <left style="medium">
        <color indexed="64"/>
      </left>
      <right/>
      <top style="thin">
        <color auto="1"/>
      </top>
      <bottom style="medium">
        <color indexed="64"/>
      </bottom>
      <diagonal/>
    </border>
  </borders>
  <cellStyleXfs count="67">
    <xf numFmtId="0" fontId="0" fillId="0" borderId="0"/>
    <xf numFmtId="0" fontId="2" fillId="0" borderId="0" applyNumberFormat="0" applyFill="0" applyBorder="0" applyAlignment="0" applyProtection="0"/>
    <xf numFmtId="0" fontId="3" fillId="0" borderId="1" applyNumberFormat="0" applyFill="0" applyAlignment="0" applyProtection="0"/>
    <xf numFmtId="0" fontId="4" fillId="0" borderId="2" applyNumberFormat="0" applyFill="0" applyAlignment="0" applyProtection="0"/>
    <xf numFmtId="0" fontId="5" fillId="0" borderId="3" applyNumberFormat="0" applyFill="0" applyAlignment="0" applyProtection="0"/>
    <xf numFmtId="0" fontId="5" fillId="0" borderId="0" applyNumberFormat="0" applyFill="0" applyBorder="0" applyAlignment="0" applyProtection="0"/>
    <xf numFmtId="0" fontId="6" fillId="2" borderId="0" applyNumberFormat="0" applyBorder="0" applyAlignment="0" applyProtection="0"/>
    <xf numFmtId="0" fontId="7" fillId="3" borderId="0" applyNumberFormat="0" applyBorder="0" applyAlignment="0" applyProtection="0"/>
    <xf numFmtId="0" fontId="8" fillId="4" borderId="0" applyNumberFormat="0" applyBorder="0" applyAlignment="0" applyProtection="0"/>
    <xf numFmtId="0" fontId="9" fillId="5" borderId="4" applyNumberFormat="0" applyAlignment="0" applyProtection="0"/>
    <xf numFmtId="0" fontId="10" fillId="6" borderId="5" applyNumberFormat="0" applyAlignment="0" applyProtection="0"/>
    <xf numFmtId="0" fontId="11" fillId="6" borderId="4" applyNumberFormat="0" applyAlignment="0" applyProtection="0"/>
    <xf numFmtId="0" fontId="12" fillId="0" borderId="6" applyNumberFormat="0" applyFill="0" applyAlignment="0" applyProtection="0"/>
    <xf numFmtId="0" fontId="13" fillId="7" borderId="7" applyNumberFormat="0" applyAlignment="0" applyProtection="0"/>
    <xf numFmtId="0" fontId="14" fillId="0" borderId="0" applyNumberFormat="0" applyFill="0" applyBorder="0" applyAlignment="0" applyProtection="0"/>
    <xf numFmtId="0" fontId="1" fillId="8" borderId="8" applyNumberFormat="0" applyFont="0" applyAlignment="0" applyProtection="0"/>
    <xf numFmtId="0" fontId="15" fillId="0" borderId="0" applyNumberFormat="0" applyFill="0" applyBorder="0" applyAlignment="0" applyProtection="0"/>
    <xf numFmtId="0" fontId="16" fillId="0" borderId="9" applyNumberFormat="0" applyFill="0" applyAlignment="0" applyProtection="0"/>
    <xf numFmtId="0" fontId="17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1" borderId="0" applyNumberFormat="0" applyBorder="0" applyAlignment="0" applyProtection="0"/>
    <xf numFmtId="0" fontId="17" fillId="12" borderId="0" applyNumberFormat="0" applyBorder="0" applyAlignment="0" applyProtection="0"/>
    <xf numFmtId="0" fontId="17" fillId="13" borderId="0" applyNumberFormat="0" applyBorder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7" fillId="16" borderId="0" applyNumberFormat="0" applyBorder="0" applyAlignment="0" applyProtection="0"/>
    <xf numFmtId="0" fontId="17" fillId="17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7" fillId="20" borderId="0" applyNumberFormat="0" applyBorder="0" applyAlignment="0" applyProtection="0"/>
    <xf numFmtId="0" fontId="17" fillId="21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7" fillId="24" borderId="0" applyNumberFormat="0" applyBorder="0" applyAlignment="0" applyProtection="0"/>
    <xf numFmtId="0" fontId="17" fillId="25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7" fillId="28" borderId="0" applyNumberFormat="0" applyBorder="0" applyAlignment="0" applyProtection="0"/>
    <xf numFmtId="0" fontId="17" fillId="29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7" fillId="32" borderId="0" applyNumberFormat="0" applyBorder="0" applyAlignment="0" applyProtection="0"/>
    <xf numFmtId="0" fontId="18" fillId="0" borderId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</cellStyleXfs>
  <cellXfs count="363">
    <xf numFmtId="0" fontId="0" fillId="0" borderId="0" xfId="0"/>
    <xf numFmtId="0" fontId="18" fillId="34" borderId="0" xfId="0" applyFont="1" applyFill="1" applyAlignment="1">
      <alignment horizontal="center"/>
    </xf>
    <xf numFmtId="0" fontId="18" fillId="34" borderId="0" xfId="0" applyFont="1" applyFill="1"/>
    <xf numFmtId="0" fontId="0" fillId="35" borderId="0" xfId="0" applyFill="1"/>
    <xf numFmtId="0" fontId="18" fillId="0" borderId="14" xfId="42" applyBorder="1"/>
    <xf numFmtId="0" fontId="18" fillId="0" borderId="26" xfId="42" applyBorder="1"/>
    <xf numFmtId="0" fontId="18" fillId="0" borderId="25" xfId="42" applyBorder="1"/>
    <xf numFmtId="0" fontId="18" fillId="0" borderId="39" xfId="42" applyBorder="1"/>
    <xf numFmtId="0" fontId="17" fillId="35" borderId="0" xfId="0" applyFont="1" applyFill="1"/>
    <xf numFmtId="0" fontId="20" fillId="0" borderId="10" xfId="42" applyFont="1" applyBorder="1"/>
    <xf numFmtId="0" fontId="20" fillId="0" borderId="38" xfId="42" applyFont="1" applyBorder="1"/>
    <xf numFmtId="0" fontId="13" fillId="0" borderId="12" xfId="0" applyFont="1" applyBorder="1"/>
    <xf numFmtId="0" fontId="13" fillId="0" borderId="40" xfId="0" applyFont="1" applyBorder="1"/>
    <xf numFmtId="0" fontId="0" fillId="35" borderId="0" xfId="0" applyFill="1" applyAlignment="1">
      <alignment horizontal="center"/>
    </xf>
    <xf numFmtId="0" fontId="13" fillId="36" borderId="17" xfId="0" applyFont="1" applyFill="1" applyBorder="1" applyAlignment="1">
      <alignment horizontal="center"/>
    </xf>
    <xf numFmtId="0" fontId="13" fillId="37" borderId="28" xfId="0" applyFont="1" applyFill="1" applyBorder="1" applyAlignment="1">
      <alignment horizontal="center"/>
    </xf>
    <xf numFmtId="0" fontId="13" fillId="0" borderId="0" xfId="0" applyFont="1" applyAlignment="1">
      <alignment horizontal="center"/>
    </xf>
    <xf numFmtId="0" fontId="13" fillId="0" borderId="45" xfId="0" applyFont="1" applyBorder="1" applyAlignment="1">
      <alignment horizontal="center"/>
    </xf>
    <xf numFmtId="0" fontId="0" fillId="0" borderId="40" xfId="0" applyBorder="1" applyAlignment="1">
      <alignment horizontal="center"/>
    </xf>
    <xf numFmtId="0" fontId="13" fillId="38" borderId="17" xfId="0" applyFont="1" applyFill="1" applyBorder="1" applyAlignment="1">
      <alignment horizontal="center"/>
    </xf>
    <xf numFmtId="0" fontId="16" fillId="0" borderId="11" xfId="0" applyFont="1" applyBorder="1" applyAlignment="1">
      <alignment horizontal="center"/>
    </xf>
    <xf numFmtId="0" fontId="16" fillId="0" borderId="12" xfId="0" applyFont="1" applyBorder="1" applyAlignment="1">
      <alignment horizontal="center"/>
    </xf>
    <xf numFmtId="0" fontId="16" fillId="0" borderId="23" xfId="0" applyFont="1" applyBorder="1" applyAlignment="1">
      <alignment horizontal="center"/>
    </xf>
    <xf numFmtId="0" fontId="13" fillId="36" borderId="46" xfId="0" applyFont="1" applyFill="1" applyBorder="1" applyAlignment="1">
      <alignment horizontal="center"/>
    </xf>
    <xf numFmtId="0" fontId="13" fillId="36" borderId="40" xfId="0" applyFont="1" applyFill="1" applyBorder="1" applyAlignment="1">
      <alignment horizontal="center"/>
    </xf>
    <xf numFmtId="0" fontId="13" fillId="36" borderId="18" xfId="0" applyFont="1" applyFill="1" applyBorder="1" applyAlignment="1">
      <alignment horizontal="center"/>
    </xf>
    <xf numFmtId="0" fontId="17" fillId="0" borderId="11" xfId="0" applyFont="1" applyBorder="1" applyAlignment="1">
      <alignment horizontal="center"/>
    </xf>
    <xf numFmtId="0" fontId="0" fillId="0" borderId="47" xfId="0" applyBorder="1" applyAlignment="1">
      <alignment horizontal="center"/>
    </xf>
    <xf numFmtId="0" fontId="0" fillId="0" borderId="21" xfId="0" applyBorder="1" applyAlignment="1">
      <alignment horizontal="center"/>
    </xf>
    <xf numFmtId="0" fontId="0" fillId="0" borderId="26" xfId="0" applyBorder="1" applyAlignment="1">
      <alignment horizontal="center"/>
    </xf>
    <xf numFmtId="0" fontId="0" fillId="0" borderId="11" xfId="0" applyBorder="1" applyAlignment="1">
      <alignment horizontal="center"/>
    </xf>
    <xf numFmtId="0" fontId="0" fillId="0" borderId="38" xfId="0" applyBorder="1" applyAlignment="1">
      <alignment horizontal="center"/>
    </xf>
    <xf numFmtId="0" fontId="0" fillId="0" borderId="28" xfId="0" applyBorder="1" applyAlignment="1">
      <alignment horizontal="center"/>
    </xf>
    <xf numFmtId="0" fontId="0" fillId="0" borderId="27" xfId="0" applyBorder="1" applyAlignment="1">
      <alignment horizontal="center"/>
    </xf>
    <xf numFmtId="0" fontId="0" fillId="0" borderId="44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48" xfId="0" applyBorder="1" applyAlignment="1">
      <alignment horizontal="center"/>
    </xf>
    <xf numFmtId="0" fontId="0" fillId="0" borderId="22" xfId="0" applyBorder="1" applyAlignment="1">
      <alignment horizontal="center"/>
    </xf>
    <xf numFmtId="0" fontId="0" fillId="0" borderId="43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49" xfId="0" applyBorder="1" applyAlignment="1">
      <alignment horizontal="center"/>
    </xf>
    <xf numFmtId="0" fontId="16" fillId="35" borderId="0" xfId="0" applyFont="1" applyFill="1" applyAlignment="1">
      <alignment horizontal="center"/>
    </xf>
    <xf numFmtId="0" fontId="16" fillId="0" borderId="0" xfId="0" applyFont="1" applyAlignment="1">
      <alignment horizontal="center"/>
    </xf>
    <xf numFmtId="0" fontId="16" fillId="0" borderId="43" xfId="0" applyFont="1" applyBorder="1" applyAlignment="1">
      <alignment horizontal="center"/>
    </xf>
    <xf numFmtId="0" fontId="19" fillId="35" borderId="0" xfId="0" applyFont="1" applyFill="1" applyAlignment="1">
      <alignment horizontal="center"/>
    </xf>
    <xf numFmtId="0" fontId="0" fillId="0" borderId="41" xfId="0" applyBorder="1" applyAlignment="1">
      <alignment horizontal="center"/>
    </xf>
    <xf numFmtId="0" fontId="16" fillId="0" borderId="42" xfId="0" applyFont="1" applyBorder="1" applyAlignment="1">
      <alignment horizontal="center"/>
    </xf>
    <xf numFmtId="0" fontId="16" fillId="0" borderId="32" xfId="0" applyFont="1" applyBorder="1" applyAlignment="1">
      <alignment horizontal="center"/>
    </xf>
    <xf numFmtId="0" fontId="16" fillId="0" borderId="34" xfId="0" applyFont="1" applyBorder="1" applyAlignment="1">
      <alignment horizontal="center"/>
    </xf>
    <xf numFmtId="0" fontId="19" fillId="34" borderId="0" xfId="0" applyFont="1" applyFill="1" applyAlignment="1">
      <alignment horizontal="center"/>
    </xf>
    <xf numFmtId="0" fontId="0" fillId="34" borderId="0" xfId="0" applyFill="1" applyAlignment="1">
      <alignment horizontal="center"/>
    </xf>
    <xf numFmtId="0" fontId="0" fillId="34" borderId="0" xfId="0" applyFill="1"/>
    <xf numFmtId="0" fontId="20" fillId="0" borderId="12" xfId="42" applyFont="1" applyBorder="1" applyAlignment="1">
      <alignment horizontal="center"/>
    </xf>
    <xf numFmtId="0" fontId="23" fillId="0" borderId="31" xfId="42" applyFont="1" applyBorder="1"/>
    <xf numFmtId="0" fontId="20" fillId="0" borderId="32" xfId="42" applyFont="1" applyBorder="1" applyAlignment="1">
      <alignment horizontal="center"/>
    </xf>
    <xf numFmtId="0" fontId="17" fillId="0" borderId="32" xfId="0" applyFont="1" applyBorder="1" applyAlignment="1">
      <alignment horizontal="center"/>
    </xf>
    <xf numFmtId="0" fontId="23" fillId="0" borderId="33" xfId="42" applyFont="1" applyBorder="1"/>
    <xf numFmtId="0" fontId="17" fillId="0" borderId="34" xfId="0" applyFont="1" applyBorder="1" applyAlignment="1">
      <alignment horizontal="center"/>
    </xf>
    <xf numFmtId="0" fontId="22" fillId="34" borderId="0" xfId="0" applyFont="1" applyFill="1" applyAlignment="1">
      <alignment horizontal="center"/>
    </xf>
    <xf numFmtId="0" fontId="24" fillId="35" borderId="0" xfId="0" applyFont="1" applyFill="1" applyAlignment="1">
      <alignment horizontal="center"/>
    </xf>
    <xf numFmtId="0" fontId="24" fillId="35" borderId="0" xfId="0" applyFont="1" applyFill="1"/>
    <xf numFmtId="0" fontId="0" fillId="0" borderId="10" xfId="0" applyBorder="1" applyAlignment="1">
      <alignment horizontal="center"/>
    </xf>
    <xf numFmtId="0" fontId="0" fillId="0" borderId="39" xfId="0" applyBorder="1" applyAlignment="1">
      <alignment horizontal="center"/>
    </xf>
    <xf numFmtId="0" fontId="26" fillId="35" borderId="51" xfId="0" applyFont="1" applyFill="1" applyBorder="1" applyAlignment="1">
      <alignment horizontal="center"/>
    </xf>
    <xf numFmtId="0" fontId="0" fillId="0" borderId="14" xfId="0" applyBorder="1" applyAlignment="1">
      <alignment horizontal="center"/>
    </xf>
    <xf numFmtId="0" fontId="0" fillId="0" borderId="25" xfId="0" applyBorder="1" applyAlignment="1">
      <alignment horizontal="center"/>
    </xf>
    <xf numFmtId="0" fontId="0" fillId="0" borderId="23" xfId="0" applyBorder="1" applyAlignment="1">
      <alignment horizontal="center"/>
    </xf>
    <xf numFmtId="1" fontId="16" fillId="0" borderId="43" xfId="0" applyNumberFormat="1" applyFont="1" applyBorder="1" applyAlignment="1">
      <alignment horizontal="center"/>
    </xf>
    <xf numFmtId="1" fontId="16" fillId="0" borderId="12" xfId="0" applyNumberFormat="1" applyFont="1" applyBorder="1" applyAlignment="1">
      <alignment horizontal="center"/>
    </xf>
    <xf numFmtId="1" fontId="16" fillId="0" borderId="23" xfId="0" applyNumberFormat="1" applyFont="1" applyBorder="1" applyAlignment="1">
      <alignment horizontal="center"/>
    </xf>
    <xf numFmtId="0" fontId="0" fillId="33" borderId="50" xfId="0" applyFill="1" applyBorder="1" applyAlignment="1">
      <alignment horizontal="center"/>
    </xf>
    <xf numFmtId="0" fontId="26" fillId="35" borderId="52" xfId="0" applyFont="1" applyFill="1" applyBorder="1" applyAlignment="1">
      <alignment horizontal="center"/>
    </xf>
    <xf numFmtId="0" fontId="0" fillId="38" borderId="0" xfId="0" applyFill="1"/>
    <xf numFmtId="0" fontId="17" fillId="38" borderId="0" xfId="0" applyFont="1" applyFill="1"/>
    <xf numFmtId="0" fontId="27" fillId="38" borderId="0" xfId="0" applyFont="1" applyFill="1"/>
    <xf numFmtId="0" fontId="17" fillId="38" borderId="12" xfId="0" applyFont="1" applyFill="1" applyBorder="1"/>
    <xf numFmtId="0" fontId="0" fillId="0" borderId="11" xfId="0" applyBorder="1"/>
    <xf numFmtId="0" fontId="0" fillId="0" borderId="12" xfId="0" applyBorder="1"/>
    <xf numFmtId="0" fontId="17" fillId="0" borderId="38" xfId="0" applyFont="1" applyBorder="1"/>
    <xf numFmtId="0" fontId="16" fillId="0" borderId="38" xfId="0" applyFont="1" applyBorder="1"/>
    <xf numFmtId="0" fontId="16" fillId="0" borderId="13" xfId="0" applyFont="1" applyBorder="1"/>
    <xf numFmtId="0" fontId="0" fillId="38" borderId="0" xfId="0" applyFill="1" applyAlignment="1">
      <alignment horizontal="center"/>
    </xf>
    <xf numFmtId="0" fontId="17" fillId="38" borderId="12" xfId="0" applyFont="1" applyFill="1" applyBorder="1" applyAlignment="1">
      <alignment horizontal="center"/>
    </xf>
    <xf numFmtId="0" fontId="24" fillId="38" borderId="0" xfId="0" applyFont="1" applyFill="1" applyAlignment="1">
      <alignment horizontal="center"/>
    </xf>
    <xf numFmtId="0" fontId="0" fillId="41" borderId="12" xfId="0" applyFill="1" applyBorder="1" applyAlignment="1">
      <alignment horizontal="center"/>
    </xf>
    <xf numFmtId="0" fontId="0" fillId="42" borderId="12" xfId="0" applyFill="1" applyBorder="1" applyAlignment="1">
      <alignment horizontal="center"/>
    </xf>
    <xf numFmtId="0" fontId="0" fillId="40" borderId="12" xfId="0" applyFill="1" applyBorder="1" applyAlignment="1">
      <alignment horizontal="center"/>
    </xf>
    <xf numFmtId="0" fontId="0" fillId="39" borderId="12" xfId="0" applyFill="1" applyBorder="1" applyAlignment="1">
      <alignment horizontal="center"/>
    </xf>
    <xf numFmtId="0" fontId="0" fillId="35" borderId="12" xfId="0" applyFill="1" applyBorder="1" applyAlignment="1">
      <alignment horizontal="center"/>
    </xf>
    <xf numFmtId="0" fontId="24" fillId="38" borderId="0" xfId="0" applyFont="1" applyFill="1" applyAlignment="1">
      <alignment horizontal="left"/>
    </xf>
    <xf numFmtId="0" fontId="17" fillId="35" borderId="0" xfId="0" applyFont="1" applyFill="1" applyAlignment="1">
      <alignment horizontal="center"/>
    </xf>
    <xf numFmtId="0" fontId="20" fillId="0" borderId="24" xfId="42" applyFont="1" applyBorder="1"/>
    <xf numFmtId="0" fontId="20" fillId="0" borderId="13" xfId="42" applyFont="1" applyBorder="1"/>
    <xf numFmtId="0" fontId="20" fillId="0" borderId="14" xfId="42" applyFont="1" applyBorder="1"/>
    <xf numFmtId="0" fontId="20" fillId="0" borderId="26" xfId="42" applyFont="1" applyBorder="1"/>
    <xf numFmtId="0" fontId="17" fillId="0" borderId="28" xfId="0" applyFont="1" applyBorder="1" applyAlignment="1">
      <alignment horizontal="center"/>
    </xf>
    <xf numFmtId="0" fontId="13" fillId="0" borderId="38" xfId="0" applyFont="1" applyBorder="1"/>
    <xf numFmtId="0" fontId="17" fillId="0" borderId="27" xfId="0" applyFont="1" applyBorder="1" applyAlignment="1">
      <alignment horizontal="center"/>
    </xf>
    <xf numFmtId="0" fontId="13" fillId="0" borderId="13" xfId="0" applyFont="1" applyBorder="1"/>
    <xf numFmtId="0" fontId="17" fillId="0" borderId="44" xfId="0" applyFont="1" applyBorder="1" applyAlignment="1">
      <alignment horizontal="center"/>
    </xf>
    <xf numFmtId="0" fontId="16" fillId="33" borderId="15" xfId="0" applyFont="1" applyFill="1" applyBorder="1" applyAlignment="1">
      <alignment horizontal="left"/>
    </xf>
    <xf numFmtId="0" fontId="16" fillId="33" borderId="16" xfId="0" applyFont="1" applyFill="1" applyBorder="1" applyAlignment="1">
      <alignment horizontal="left"/>
    </xf>
    <xf numFmtId="0" fontId="16" fillId="33" borderId="17" xfId="0" applyFont="1" applyFill="1" applyBorder="1" applyAlignment="1">
      <alignment horizontal="left"/>
    </xf>
    <xf numFmtId="165" fontId="0" fillId="43" borderId="53" xfId="0" applyNumberFormat="1" applyFill="1" applyBorder="1" applyAlignment="1">
      <alignment horizontal="center"/>
    </xf>
    <xf numFmtId="0" fontId="0" fillId="0" borderId="50" xfId="0" applyBorder="1" applyAlignment="1">
      <alignment horizontal="center"/>
    </xf>
    <xf numFmtId="0" fontId="0" fillId="0" borderId="54" xfId="0" applyBorder="1" applyAlignment="1">
      <alignment horizontal="center"/>
    </xf>
    <xf numFmtId="0" fontId="25" fillId="0" borderId="55" xfId="0" applyFont="1" applyBorder="1" applyAlignment="1">
      <alignment horizontal="center"/>
    </xf>
    <xf numFmtId="0" fontId="25" fillId="0" borderId="56" xfId="0" applyFont="1" applyBorder="1" applyAlignment="1">
      <alignment horizontal="center"/>
    </xf>
    <xf numFmtId="0" fontId="25" fillId="0" borderId="57" xfId="0" applyFont="1" applyBorder="1" applyAlignment="1">
      <alignment horizontal="center"/>
    </xf>
    <xf numFmtId="0" fontId="17" fillId="0" borderId="47" xfId="0" applyFont="1" applyBorder="1" applyAlignment="1">
      <alignment horizontal="center"/>
    </xf>
    <xf numFmtId="0" fontId="20" fillId="44" borderId="0" xfId="42" applyFont="1" applyFill="1"/>
    <xf numFmtId="0" fontId="16" fillId="44" borderId="0" xfId="0" applyFont="1" applyFill="1" applyAlignment="1">
      <alignment horizontal="center"/>
    </xf>
    <xf numFmtId="0" fontId="16" fillId="44" borderId="0" xfId="0" applyFont="1" applyFill="1"/>
    <xf numFmtId="0" fontId="13" fillId="36" borderId="21" xfId="0" applyFont="1" applyFill="1" applyBorder="1" applyAlignment="1">
      <alignment horizontal="center"/>
    </xf>
    <xf numFmtId="0" fontId="18" fillId="0" borderId="50" xfId="42" applyBorder="1"/>
    <xf numFmtId="0" fontId="18" fillId="0" borderId="54" xfId="42" applyBorder="1"/>
    <xf numFmtId="0" fontId="0" fillId="0" borderId="15" xfId="0" applyBorder="1" applyAlignment="1">
      <alignment horizontal="center"/>
    </xf>
    <xf numFmtId="0" fontId="16" fillId="0" borderId="17" xfId="0" applyFont="1" applyBorder="1" applyAlignment="1">
      <alignment horizontal="center"/>
    </xf>
    <xf numFmtId="0" fontId="18" fillId="0" borderId="59" xfId="42" applyBorder="1"/>
    <xf numFmtId="0" fontId="18" fillId="0" borderId="60" xfId="42" applyBorder="1"/>
    <xf numFmtId="0" fontId="13" fillId="0" borderId="41" xfId="0" applyFont="1" applyBorder="1"/>
    <xf numFmtId="0" fontId="0" fillId="0" borderId="46" xfId="0" applyBorder="1" applyAlignment="1">
      <alignment horizontal="center"/>
    </xf>
    <xf numFmtId="0" fontId="16" fillId="0" borderId="45" xfId="0" applyFont="1" applyBorder="1" applyAlignment="1">
      <alignment horizontal="center"/>
    </xf>
    <xf numFmtId="0" fontId="16" fillId="0" borderId="18" xfId="0" applyFont="1" applyBorder="1" applyAlignment="1">
      <alignment horizontal="center"/>
    </xf>
    <xf numFmtId="0" fontId="0" fillId="0" borderId="20" xfId="0" applyBorder="1" applyAlignment="1">
      <alignment horizontal="center"/>
    </xf>
    <xf numFmtId="0" fontId="0" fillId="0" borderId="53" xfId="0" applyBorder="1" applyAlignment="1">
      <alignment horizontal="center"/>
    </xf>
    <xf numFmtId="0" fontId="18" fillId="0" borderId="12" xfId="42" applyBorder="1"/>
    <xf numFmtId="0" fontId="16" fillId="0" borderId="30" xfId="0" applyFont="1" applyBorder="1" applyAlignment="1">
      <alignment horizontal="center"/>
    </xf>
    <xf numFmtId="0" fontId="18" fillId="0" borderId="31" xfId="42" applyBorder="1"/>
    <xf numFmtId="0" fontId="18" fillId="0" borderId="33" xfId="42" applyBorder="1"/>
    <xf numFmtId="0" fontId="18" fillId="0" borderId="58" xfId="42" applyBorder="1"/>
    <xf numFmtId="0" fontId="0" fillId="0" borderId="58" xfId="0" applyBorder="1" applyAlignment="1">
      <alignment horizontal="center"/>
    </xf>
    <xf numFmtId="0" fontId="25" fillId="0" borderId="61" xfId="0" applyFont="1" applyBorder="1" applyAlignment="1">
      <alignment horizontal="center"/>
    </xf>
    <xf numFmtId="0" fontId="17" fillId="0" borderId="12" xfId="42" applyFont="1" applyBorder="1" applyAlignment="1">
      <alignment horizontal="center"/>
    </xf>
    <xf numFmtId="0" fontId="18" fillId="0" borderId="24" xfId="42" applyBorder="1"/>
    <xf numFmtId="0" fontId="18" fillId="0" borderId="13" xfId="42" applyBorder="1"/>
    <xf numFmtId="0" fontId="16" fillId="38" borderId="11" xfId="0" applyFont="1" applyFill="1" applyBorder="1" applyAlignment="1">
      <alignment horizontal="center"/>
    </xf>
    <xf numFmtId="0" fontId="32" fillId="0" borderId="27" xfId="0" applyFont="1" applyBorder="1" applyAlignment="1">
      <alignment horizontal="center"/>
    </xf>
    <xf numFmtId="0" fontId="18" fillId="0" borderId="50" xfId="0" applyFont="1" applyBorder="1"/>
    <xf numFmtId="0" fontId="18" fillId="0" borderId="54" xfId="0" applyFont="1" applyBorder="1"/>
    <xf numFmtId="1" fontId="16" fillId="0" borderId="51" xfId="0" applyNumberFormat="1" applyFont="1" applyBorder="1" applyAlignment="1">
      <alignment horizontal="center"/>
    </xf>
    <xf numFmtId="0" fontId="13" fillId="38" borderId="0" xfId="0" applyFont="1" applyFill="1" applyAlignment="1">
      <alignment horizontal="center"/>
    </xf>
    <xf numFmtId="10" fontId="24" fillId="38" borderId="0" xfId="0" applyNumberFormat="1" applyFont="1" applyFill="1"/>
    <xf numFmtId="0" fontId="13" fillId="38" borderId="0" xfId="0" applyFont="1" applyFill="1"/>
    <xf numFmtId="0" fontId="34" fillId="38" borderId="0" xfId="0" applyFont="1" applyFill="1" applyAlignment="1">
      <alignment horizontal="center"/>
    </xf>
    <xf numFmtId="0" fontId="34" fillId="38" borderId="0" xfId="0" applyFont="1" applyFill="1"/>
    <xf numFmtId="10" fontId="35" fillId="38" borderId="0" xfId="0" applyNumberFormat="1" applyFont="1" applyFill="1"/>
    <xf numFmtId="0" fontId="0" fillId="0" borderId="23" xfId="0" applyBorder="1"/>
    <xf numFmtId="0" fontId="0" fillId="46" borderId="12" xfId="0" applyFill="1" applyBorder="1" applyAlignment="1">
      <alignment horizontal="center"/>
    </xf>
    <xf numFmtId="0" fontId="17" fillId="38" borderId="47" xfId="0" applyFont="1" applyFill="1" applyBorder="1" applyAlignment="1">
      <alignment horizontal="center"/>
    </xf>
    <xf numFmtId="0" fontId="0" fillId="48" borderId="0" xfId="0" applyFill="1"/>
    <xf numFmtId="0" fontId="33" fillId="48" borderId="0" xfId="0" applyFont="1" applyFill="1"/>
    <xf numFmtId="0" fontId="0" fillId="46" borderId="0" xfId="0" applyFill="1"/>
    <xf numFmtId="0" fontId="0" fillId="48" borderId="0" xfId="0" applyFill="1" applyAlignment="1">
      <alignment horizontal="center"/>
    </xf>
    <xf numFmtId="0" fontId="0" fillId="0" borderId="55" xfId="0" applyBorder="1" applyAlignment="1">
      <alignment horizontal="center"/>
    </xf>
    <xf numFmtId="0" fontId="0" fillId="0" borderId="56" xfId="0" applyBorder="1" applyAlignment="1">
      <alignment horizontal="center"/>
    </xf>
    <xf numFmtId="2" fontId="0" fillId="33" borderId="15" xfId="0" applyNumberFormat="1" applyFill="1" applyBorder="1"/>
    <xf numFmtId="2" fontId="0" fillId="33" borderId="16" xfId="0" applyNumberFormat="1" applyFill="1" applyBorder="1"/>
    <xf numFmtId="2" fontId="0" fillId="33" borderId="17" xfId="0" applyNumberFormat="1" applyFill="1" applyBorder="1"/>
    <xf numFmtId="2" fontId="0" fillId="48" borderId="0" xfId="0" applyNumberFormat="1" applyFill="1"/>
    <xf numFmtId="2" fontId="0" fillId="33" borderId="20" xfId="0" applyNumberFormat="1" applyFill="1" applyBorder="1"/>
    <xf numFmtId="0" fontId="0" fillId="0" borderId="63" xfId="15" applyFont="1" applyFill="1" applyBorder="1" applyAlignment="1">
      <alignment horizontal="center"/>
    </xf>
    <xf numFmtId="2" fontId="0" fillId="0" borderId="62" xfId="15" applyNumberFormat="1" applyFont="1" applyFill="1" applyBorder="1" applyAlignment="1">
      <alignment horizontal="center"/>
    </xf>
    <xf numFmtId="2" fontId="0" fillId="0" borderId="0" xfId="0" applyNumberFormat="1" applyAlignment="1">
      <alignment horizontal="center"/>
    </xf>
    <xf numFmtId="0" fontId="0" fillId="50" borderId="0" xfId="0" applyFill="1"/>
    <xf numFmtId="10" fontId="0" fillId="50" borderId="0" xfId="0" applyNumberFormat="1" applyFill="1"/>
    <xf numFmtId="0" fontId="25" fillId="0" borderId="29" xfId="0" applyFont="1" applyBorder="1" applyAlignment="1">
      <alignment horizontal="center"/>
    </xf>
    <xf numFmtId="0" fontId="16" fillId="41" borderId="66" xfId="0" applyFont="1" applyFill="1" applyBorder="1" applyAlignment="1">
      <alignment horizontal="center"/>
    </xf>
    <xf numFmtId="0" fontId="16" fillId="41" borderId="65" xfId="0" applyFont="1" applyFill="1" applyBorder="1" applyAlignment="1">
      <alignment horizontal="center"/>
    </xf>
    <xf numFmtId="0" fontId="20" fillId="0" borderId="33" xfId="0" applyFont="1" applyBorder="1" applyAlignment="1">
      <alignment horizontal="center"/>
    </xf>
    <xf numFmtId="0" fontId="20" fillId="0" borderId="58" xfId="0" applyFont="1" applyBorder="1" applyAlignment="1">
      <alignment horizontal="center"/>
    </xf>
    <xf numFmtId="0" fontId="17" fillId="0" borderId="58" xfId="0" applyFont="1" applyBorder="1" applyAlignment="1">
      <alignment horizontal="center"/>
    </xf>
    <xf numFmtId="0" fontId="16" fillId="41" borderId="18" xfId="0" applyFont="1" applyFill="1" applyBorder="1" applyAlignment="1">
      <alignment horizontal="center"/>
    </xf>
    <xf numFmtId="0" fontId="18" fillId="45" borderId="50" xfId="0" applyFont="1" applyFill="1" applyBorder="1"/>
    <xf numFmtId="0" fontId="20" fillId="0" borderId="50" xfId="0" applyFont="1" applyBorder="1" applyAlignment="1">
      <alignment horizontal="center"/>
    </xf>
    <xf numFmtId="0" fontId="20" fillId="0" borderId="52" xfId="0" applyFont="1" applyBorder="1" applyAlignment="1">
      <alignment horizontal="center"/>
    </xf>
    <xf numFmtId="0" fontId="17" fillId="0" borderId="52" xfId="0" applyFont="1" applyBorder="1" applyAlignment="1">
      <alignment horizontal="center"/>
    </xf>
    <xf numFmtId="0" fontId="17" fillId="0" borderId="51" xfId="0" applyFont="1" applyBorder="1" applyAlignment="1">
      <alignment horizontal="center"/>
    </xf>
    <xf numFmtId="0" fontId="17" fillId="38" borderId="27" xfId="0" applyFont="1" applyFill="1" applyBorder="1" applyAlignment="1">
      <alignment horizontal="center"/>
    </xf>
    <xf numFmtId="0" fontId="0" fillId="51" borderId="0" xfId="0" applyFill="1"/>
    <xf numFmtId="0" fontId="0" fillId="51" borderId="0" xfId="0" applyFill="1" applyAlignment="1">
      <alignment horizontal="center"/>
    </xf>
    <xf numFmtId="0" fontId="17" fillId="51" borderId="0" xfId="0" applyFont="1" applyFill="1"/>
    <xf numFmtId="0" fontId="17" fillId="51" borderId="0" xfId="0" applyFont="1" applyFill="1" applyAlignment="1">
      <alignment horizontal="center"/>
    </xf>
    <xf numFmtId="0" fontId="20" fillId="0" borderId="67" xfId="42" applyFont="1" applyBorder="1"/>
    <xf numFmtId="0" fontId="20" fillId="0" borderId="67" xfId="42" applyFont="1" applyBorder="1" applyAlignment="1">
      <alignment horizontal="center"/>
    </xf>
    <xf numFmtId="0" fontId="25" fillId="0" borderId="30" xfId="0" applyFont="1" applyBorder="1" applyAlignment="1">
      <alignment horizontal="center"/>
    </xf>
    <xf numFmtId="0" fontId="25" fillId="0" borderId="32" xfId="0" applyFont="1" applyBorder="1" applyAlignment="1">
      <alignment horizontal="center"/>
    </xf>
    <xf numFmtId="0" fontId="18" fillId="0" borderId="49" xfId="42" applyBorder="1"/>
    <xf numFmtId="164" fontId="25" fillId="0" borderId="58" xfId="0" applyNumberFormat="1" applyFont="1" applyBorder="1"/>
    <xf numFmtId="0" fontId="25" fillId="0" borderId="34" xfId="0" applyFont="1" applyBorder="1" applyAlignment="1">
      <alignment horizontal="center"/>
    </xf>
    <xf numFmtId="0" fontId="28" fillId="0" borderId="35" xfId="42" applyFont="1" applyBorder="1" applyAlignment="1">
      <alignment horizontal="center"/>
    </xf>
    <xf numFmtId="164" fontId="25" fillId="0" borderId="64" xfId="0" applyNumberFormat="1" applyFont="1" applyBorder="1"/>
    <xf numFmtId="0" fontId="18" fillId="0" borderId="32" xfId="42" applyBorder="1"/>
    <xf numFmtId="0" fontId="18" fillId="0" borderId="68" xfId="42" applyBorder="1"/>
    <xf numFmtId="0" fontId="18" fillId="0" borderId="34" xfId="42" applyBorder="1"/>
    <xf numFmtId="0" fontId="0" fillId="39" borderId="55" xfId="0" applyFill="1" applyBorder="1"/>
    <xf numFmtId="0" fontId="0" fillId="42" borderId="56" xfId="0" applyFill="1" applyBorder="1"/>
    <xf numFmtId="0" fontId="0" fillId="46" borderId="56" xfId="0" applyFill="1" applyBorder="1"/>
    <xf numFmtId="0" fontId="0" fillId="47" borderId="56" xfId="0" applyFill="1" applyBorder="1"/>
    <xf numFmtId="0" fontId="0" fillId="49" borderId="57" xfId="0" applyFill="1" applyBorder="1"/>
    <xf numFmtId="0" fontId="0" fillId="0" borderId="59" xfId="0" applyBorder="1"/>
    <xf numFmtId="0" fontId="0" fillId="0" borderId="69" xfId="0" applyBorder="1"/>
    <xf numFmtId="0" fontId="0" fillId="0" borderId="69" xfId="0" applyBorder="1" applyAlignment="1">
      <alignment horizontal="center"/>
    </xf>
    <xf numFmtId="0" fontId="0" fillId="0" borderId="60" xfId="0" applyBorder="1" applyAlignment="1">
      <alignment horizontal="center"/>
    </xf>
    <xf numFmtId="0" fontId="0" fillId="0" borderId="10" xfId="0" applyBorder="1"/>
    <xf numFmtId="166" fontId="0" fillId="0" borderId="38" xfId="0" applyNumberFormat="1" applyBorder="1" applyAlignment="1">
      <alignment horizontal="center"/>
    </xf>
    <xf numFmtId="0" fontId="0" fillId="0" borderId="14" xfId="0" applyBorder="1"/>
    <xf numFmtId="166" fontId="0" fillId="0" borderId="26" xfId="0" applyNumberFormat="1" applyBorder="1" applyAlignment="1">
      <alignment horizontal="center"/>
    </xf>
    <xf numFmtId="0" fontId="0" fillId="0" borderId="25" xfId="0" applyBorder="1"/>
    <xf numFmtId="166" fontId="0" fillId="0" borderId="39" xfId="0" applyNumberFormat="1" applyBorder="1" applyAlignment="1">
      <alignment horizontal="center"/>
    </xf>
    <xf numFmtId="0" fontId="29" fillId="0" borderId="21" xfId="0" applyFont="1" applyBorder="1" applyAlignment="1">
      <alignment horizontal="center"/>
    </xf>
    <xf numFmtId="0" fontId="29" fillId="38" borderId="20" xfId="0" applyFont="1" applyFill="1" applyBorder="1" applyAlignment="1">
      <alignment horizontal="center"/>
    </xf>
    <xf numFmtId="0" fontId="18" fillId="52" borderId="19" xfId="42" applyFill="1" applyBorder="1"/>
    <xf numFmtId="0" fontId="18" fillId="52" borderId="38" xfId="42" applyFill="1" applyBorder="1"/>
    <xf numFmtId="0" fontId="18" fillId="53" borderId="31" xfId="42" applyFill="1" applyBorder="1"/>
    <xf numFmtId="0" fontId="18" fillId="53" borderId="26" xfId="42" applyFill="1" applyBorder="1"/>
    <xf numFmtId="0" fontId="18" fillId="52" borderId="31" xfId="42" applyFill="1" applyBorder="1"/>
    <xf numFmtId="0" fontId="18" fillId="52" borderId="26" xfId="42" applyFill="1" applyBorder="1"/>
    <xf numFmtId="0" fontId="18" fillId="52" borderId="49" xfId="42" applyFill="1" applyBorder="1"/>
    <xf numFmtId="0" fontId="18" fillId="52" borderId="39" xfId="42" applyFill="1" applyBorder="1"/>
    <xf numFmtId="10" fontId="0" fillId="41" borderId="12" xfId="0" applyNumberFormat="1" applyFill="1" applyBorder="1" applyAlignment="1">
      <alignment horizontal="center"/>
    </xf>
    <xf numFmtId="0" fontId="18" fillId="0" borderId="0" xfId="42"/>
    <xf numFmtId="0" fontId="16" fillId="0" borderId="0" xfId="0" applyFont="1"/>
    <xf numFmtId="164" fontId="0" fillId="0" borderId="0" xfId="0" applyNumberFormat="1"/>
    <xf numFmtId="0" fontId="16" fillId="0" borderId="55" xfId="0" applyFont="1" applyBorder="1" applyAlignment="1">
      <alignment horizontal="center"/>
    </xf>
    <xf numFmtId="0" fontId="16" fillId="0" borderId="56" xfId="0" applyFont="1" applyBorder="1" applyAlignment="1">
      <alignment horizontal="center"/>
    </xf>
    <xf numFmtId="0" fontId="16" fillId="0" borderId="61" xfId="0" applyFont="1" applyBorder="1" applyAlignment="1">
      <alignment horizontal="center"/>
    </xf>
    <xf numFmtId="0" fontId="17" fillId="54" borderId="53" xfId="0" applyFont="1" applyFill="1" applyBorder="1" applyAlignment="1">
      <alignment horizontal="center"/>
    </xf>
    <xf numFmtId="0" fontId="18" fillId="53" borderId="49" xfId="42" applyFill="1" applyBorder="1"/>
    <xf numFmtId="0" fontId="23" fillId="0" borderId="12" xfId="42" applyFont="1" applyBorder="1"/>
    <xf numFmtId="0" fontId="21" fillId="0" borderId="12" xfId="42" applyFont="1" applyBorder="1" applyAlignment="1">
      <alignment horizontal="center"/>
    </xf>
    <xf numFmtId="0" fontId="21" fillId="0" borderId="70" xfId="42" applyFont="1" applyBorder="1"/>
    <xf numFmtId="0" fontId="21" fillId="0" borderId="13" xfId="42" applyFont="1" applyBorder="1"/>
    <xf numFmtId="0" fontId="21" fillId="0" borderId="13" xfId="42" applyFont="1" applyBorder="1" applyAlignment="1">
      <alignment horizontal="center"/>
    </xf>
    <xf numFmtId="0" fontId="21" fillId="0" borderId="67" xfId="42" applyFont="1" applyBorder="1" applyAlignment="1">
      <alignment horizontal="center"/>
    </xf>
    <xf numFmtId="0" fontId="21" fillId="0" borderId="71" xfId="42" applyFont="1" applyBorder="1" applyAlignment="1">
      <alignment horizontal="center"/>
    </xf>
    <xf numFmtId="0" fontId="23" fillId="0" borderId="29" xfId="42" applyFont="1" applyBorder="1"/>
    <xf numFmtId="0" fontId="23" fillId="0" borderId="43" xfId="42" applyFont="1" applyBorder="1"/>
    <xf numFmtId="0" fontId="21" fillId="0" borderId="43" xfId="42" applyFont="1" applyBorder="1" applyAlignment="1">
      <alignment horizontal="center"/>
    </xf>
    <xf numFmtId="0" fontId="20" fillId="0" borderId="30" xfId="42" applyFont="1" applyBorder="1" applyAlignment="1">
      <alignment horizontal="center"/>
    </xf>
    <xf numFmtId="0" fontId="23" fillId="0" borderId="58" xfId="42" applyFont="1" applyBorder="1"/>
    <xf numFmtId="0" fontId="21" fillId="0" borderId="58" xfId="42" applyFont="1" applyBorder="1" applyAlignment="1">
      <alignment horizontal="center"/>
    </xf>
    <xf numFmtId="0" fontId="20" fillId="0" borderId="58" xfId="42" applyFont="1" applyBorder="1" applyAlignment="1">
      <alignment horizontal="center"/>
    </xf>
    <xf numFmtId="0" fontId="17" fillId="0" borderId="34" xfId="42" applyFont="1" applyBorder="1" applyAlignment="1">
      <alignment horizontal="center"/>
    </xf>
    <xf numFmtId="2" fontId="0" fillId="38" borderId="0" xfId="0" applyNumberFormat="1" applyFill="1" applyAlignment="1">
      <alignment horizontal="center"/>
    </xf>
    <xf numFmtId="10" fontId="0" fillId="0" borderId="0" xfId="0" applyNumberFormat="1"/>
    <xf numFmtId="0" fontId="13" fillId="36" borderId="48" xfId="0" applyFont="1" applyFill="1" applyBorder="1"/>
    <xf numFmtId="0" fontId="13" fillId="36" borderId="41" xfId="0" applyFont="1" applyFill="1" applyBorder="1"/>
    <xf numFmtId="0" fontId="13" fillId="36" borderId="42" xfId="0" applyFont="1" applyFill="1" applyBorder="1" applyAlignment="1">
      <alignment horizontal="center"/>
    </xf>
    <xf numFmtId="0" fontId="18" fillId="37" borderId="48" xfId="42" applyFill="1" applyBorder="1"/>
    <xf numFmtId="0" fontId="18" fillId="37" borderId="72" xfId="42" applyFill="1" applyBorder="1"/>
    <xf numFmtId="0" fontId="25" fillId="37" borderId="39" xfId="0" applyFont="1" applyFill="1" applyBorder="1" applyAlignment="1">
      <alignment horizontal="center"/>
    </xf>
    <xf numFmtId="0" fontId="25" fillId="37" borderId="73" xfId="0" applyFont="1" applyFill="1" applyBorder="1" applyAlignment="1">
      <alignment horizontal="center"/>
    </xf>
    <xf numFmtId="0" fontId="18" fillId="56" borderId="74" xfId="42" applyFill="1" applyBorder="1"/>
    <xf numFmtId="0" fontId="18" fillId="56" borderId="39" xfId="42" applyFill="1" applyBorder="1"/>
    <xf numFmtId="0" fontId="25" fillId="56" borderId="39" xfId="0" applyFont="1" applyFill="1" applyBorder="1" applyAlignment="1">
      <alignment horizontal="center"/>
    </xf>
    <xf numFmtId="0" fontId="25" fillId="56" borderId="68" xfId="0" applyFont="1" applyFill="1" applyBorder="1" applyAlignment="1">
      <alignment horizontal="center"/>
    </xf>
    <xf numFmtId="0" fontId="18" fillId="37" borderId="74" xfId="42" applyFill="1" applyBorder="1"/>
    <xf numFmtId="0" fontId="18" fillId="37" borderId="39" xfId="42" applyFill="1" applyBorder="1"/>
    <xf numFmtId="0" fontId="25" fillId="37" borderId="68" xfId="0" applyFont="1" applyFill="1" applyBorder="1" applyAlignment="1">
      <alignment horizontal="center"/>
    </xf>
    <xf numFmtId="0" fontId="18" fillId="37" borderId="22" xfId="42" applyFill="1" applyBorder="1"/>
    <xf numFmtId="0" fontId="18" fillId="37" borderId="0" xfId="42" applyFill="1"/>
    <xf numFmtId="0" fontId="37" fillId="57" borderId="75" xfId="42" applyFont="1" applyFill="1" applyBorder="1"/>
    <xf numFmtId="0" fontId="37" fillId="57" borderId="37" xfId="42" applyFont="1" applyFill="1" applyBorder="1"/>
    <xf numFmtId="0" fontId="34" fillId="58" borderId="0" xfId="0" applyFont="1" applyFill="1" applyAlignment="1">
      <alignment horizontal="center"/>
    </xf>
    <xf numFmtId="2" fontId="0" fillId="0" borderId="0" xfId="0" applyNumberFormat="1"/>
    <xf numFmtId="0" fontId="0" fillId="0" borderId="0" xfId="0" applyAlignment="1">
      <alignment wrapText="1"/>
    </xf>
    <xf numFmtId="0" fontId="17" fillId="0" borderId="43" xfId="42" applyFont="1" applyBorder="1" applyAlignment="1">
      <alignment horizontal="center"/>
    </xf>
    <xf numFmtId="0" fontId="13" fillId="0" borderId="43" xfId="42" applyFont="1" applyBorder="1" applyAlignment="1">
      <alignment horizontal="center"/>
    </xf>
    <xf numFmtId="0" fontId="13" fillId="0" borderId="12" xfId="42" applyFont="1" applyBorder="1" applyAlignment="1">
      <alignment horizontal="center"/>
    </xf>
    <xf numFmtId="0" fontId="23" fillId="59" borderId="29" xfId="42" applyFont="1" applyFill="1" applyBorder="1"/>
    <xf numFmtId="0" fontId="23" fillId="59" borderId="43" xfId="42" applyFont="1" applyFill="1" applyBorder="1"/>
    <xf numFmtId="0" fontId="23" fillId="54" borderId="31" xfId="42" applyFont="1" applyFill="1" applyBorder="1"/>
    <xf numFmtId="0" fontId="23" fillId="54" borderId="12" xfId="42" applyFont="1" applyFill="1" applyBorder="1"/>
    <xf numFmtId="0" fontId="21" fillId="54" borderId="12" xfId="42" applyFont="1" applyFill="1" applyBorder="1" applyAlignment="1">
      <alignment horizontal="center"/>
    </xf>
    <xf numFmtId="0" fontId="23" fillId="59" borderId="31" xfId="42" applyFont="1" applyFill="1" applyBorder="1"/>
    <xf numFmtId="0" fontId="23" fillId="59" borderId="12" xfId="42" applyFont="1" applyFill="1" applyBorder="1"/>
    <xf numFmtId="0" fontId="21" fillId="59" borderId="12" xfId="42" applyFont="1" applyFill="1" applyBorder="1" applyAlignment="1">
      <alignment horizontal="center"/>
    </xf>
    <xf numFmtId="0" fontId="23" fillId="54" borderId="33" xfId="42" applyFont="1" applyFill="1" applyBorder="1"/>
    <xf numFmtId="0" fontId="23" fillId="54" borderId="58" xfId="42" applyFont="1" applyFill="1" applyBorder="1"/>
    <xf numFmtId="0" fontId="21" fillId="54" borderId="58" xfId="42" applyFont="1" applyFill="1" applyBorder="1" applyAlignment="1">
      <alignment horizontal="center"/>
    </xf>
    <xf numFmtId="0" fontId="21" fillId="59" borderId="11" xfId="42" applyFont="1" applyFill="1" applyBorder="1" applyAlignment="1">
      <alignment horizontal="center"/>
    </xf>
    <xf numFmtId="0" fontId="38" fillId="0" borderId="0" xfId="0" applyFont="1"/>
    <xf numFmtId="2" fontId="0" fillId="60" borderId="12" xfId="0" applyNumberFormat="1" applyFill="1" applyBorder="1"/>
    <xf numFmtId="2" fontId="16" fillId="0" borderId="0" xfId="0" applyNumberFormat="1" applyFont="1"/>
    <xf numFmtId="0" fontId="17" fillId="52" borderId="11" xfId="0" applyFont="1" applyFill="1" applyBorder="1" applyAlignment="1">
      <alignment horizontal="center"/>
    </xf>
    <xf numFmtId="0" fontId="17" fillId="53" borderId="11" xfId="0" applyFont="1" applyFill="1" applyBorder="1" applyAlignment="1">
      <alignment horizontal="center"/>
    </xf>
    <xf numFmtId="0" fontId="17" fillId="52" borderId="13" xfId="0" applyFont="1" applyFill="1" applyBorder="1" applyAlignment="1">
      <alignment horizontal="center"/>
    </xf>
    <xf numFmtId="0" fontId="17" fillId="53" borderId="13" xfId="0" applyFont="1" applyFill="1" applyBorder="1" applyAlignment="1">
      <alignment horizontal="center"/>
    </xf>
    <xf numFmtId="0" fontId="17" fillId="0" borderId="0" xfId="0" applyFont="1" applyAlignment="1">
      <alignment horizontal="center"/>
    </xf>
    <xf numFmtId="0" fontId="23" fillId="55" borderId="37" xfId="0" applyFont="1" applyFill="1" applyBorder="1"/>
    <xf numFmtId="164" fontId="23" fillId="55" borderId="58" xfId="0" applyNumberFormat="1" applyFont="1" applyFill="1" applyBorder="1" applyAlignment="1">
      <alignment horizontal="center"/>
    </xf>
    <xf numFmtId="0" fontId="18" fillId="0" borderId="29" xfId="42" applyBorder="1"/>
    <xf numFmtId="0" fontId="18" fillId="0" borderId="30" xfId="42" applyBorder="1"/>
    <xf numFmtId="0" fontId="18" fillId="0" borderId="35" xfId="42" applyBorder="1"/>
    <xf numFmtId="0" fontId="18" fillId="0" borderId="36" xfId="42" applyBorder="1"/>
    <xf numFmtId="0" fontId="18" fillId="0" borderId="25" xfId="0" applyFont="1" applyBorder="1"/>
    <xf numFmtId="0" fontId="18" fillId="0" borderId="39" xfId="0" applyFont="1" applyBorder="1"/>
    <xf numFmtId="0" fontId="18" fillId="0" borderId="43" xfId="42" applyBorder="1"/>
    <xf numFmtId="0" fontId="18" fillId="0" borderId="10" xfId="42" applyBorder="1"/>
    <xf numFmtId="0" fontId="18" fillId="0" borderId="38" xfId="42" applyBorder="1"/>
    <xf numFmtId="0" fontId="32" fillId="38" borderId="44" xfId="0" applyFont="1" applyFill="1" applyBorder="1" applyAlignment="1">
      <alignment horizontal="center"/>
    </xf>
    <xf numFmtId="0" fontId="13" fillId="0" borderId="28" xfId="0" applyFont="1" applyBorder="1"/>
    <xf numFmtId="0" fontId="20" fillId="38" borderId="10" xfId="42" applyFont="1" applyFill="1" applyBorder="1"/>
    <xf numFmtId="0" fontId="20" fillId="38" borderId="38" xfId="42" applyFont="1" applyFill="1" applyBorder="1"/>
    <xf numFmtId="0" fontId="13" fillId="38" borderId="28" xfId="0" applyFont="1" applyFill="1" applyBorder="1"/>
    <xf numFmtId="0" fontId="39" fillId="0" borderId="61" xfId="0" applyFont="1" applyBorder="1" applyAlignment="1">
      <alignment horizontal="center"/>
    </xf>
    <xf numFmtId="0" fontId="29" fillId="38" borderId="0" xfId="0" applyFont="1" applyFill="1"/>
    <xf numFmtId="0" fontId="0" fillId="61" borderId="0" xfId="0" applyFill="1"/>
    <xf numFmtId="0" fontId="0" fillId="61" borderId="0" xfId="0" applyFill="1" applyAlignment="1">
      <alignment horizontal="center"/>
    </xf>
    <xf numFmtId="0" fontId="23" fillId="59" borderId="11" xfId="42" applyFont="1" applyFill="1" applyBorder="1"/>
    <xf numFmtId="0" fontId="40" fillId="0" borderId="0" xfId="0" applyFont="1"/>
    <xf numFmtId="0" fontId="41" fillId="62" borderId="0" xfId="0" applyFont="1" applyFill="1" applyAlignment="1">
      <alignment vertical="center" wrapText="1"/>
    </xf>
    <xf numFmtId="0" fontId="41" fillId="62" borderId="0" xfId="0" applyFont="1" applyFill="1" applyAlignment="1">
      <alignment horizontal="center" vertical="center" wrapText="1"/>
    </xf>
    <xf numFmtId="0" fontId="41" fillId="63" borderId="0" xfId="0" applyFont="1" applyFill="1" applyAlignment="1">
      <alignment vertical="center" wrapText="1"/>
    </xf>
    <xf numFmtId="0" fontId="41" fillId="63" borderId="0" xfId="0" applyFont="1" applyFill="1" applyAlignment="1">
      <alignment horizontal="center" vertical="center" wrapText="1"/>
    </xf>
    <xf numFmtId="2" fontId="16" fillId="51" borderId="12" xfId="0" applyNumberFormat="1" applyFont="1" applyFill="1" applyBorder="1" applyAlignment="1">
      <alignment horizontal="center"/>
    </xf>
    <xf numFmtId="0" fontId="16" fillId="51" borderId="12" xfId="0" applyFont="1" applyFill="1" applyBorder="1" applyAlignment="1">
      <alignment horizontal="center"/>
    </xf>
    <xf numFmtId="0" fontId="0" fillId="51" borderId="12" xfId="0" applyFill="1" applyBorder="1" applyAlignment="1">
      <alignment horizontal="center"/>
    </xf>
    <xf numFmtId="0" fontId="42" fillId="0" borderId="67" xfId="0" applyFont="1" applyBorder="1" applyAlignment="1">
      <alignment horizontal="center"/>
    </xf>
    <xf numFmtId="0" fontId="43" fillId="0" borderId="24" xfId="42" applyFont="1" applyBorder="1"/>
    <xf numFmtId="0" fontId="43" fillId="0" borderId="67" xfId="42" applyFont="1" applyBorder="1"/>
    <xf numFmtId="0" fontId="42" fillId="0" borderId="0" xfId="0" applyFont="1"/>
    <xf numFmtId="0" fontId="16" fillId="64" borderId="11" xfId="0" applyFont="1" applyFill="1" applyBorder="1" applyAlignment="1">
      <alignment horizontal="center"/>
    </xf>
    <xf numFmtId="0" fontId="18" fillId="53" borderId="39" xfId="42" applyFill="1" applyBorder="1"/>
    <xf numFmtId="0" fontId="0" fillId="60" borderId="0" xfId="0" applyFill="1"/>
    <xf numFmtId="0" fontId="0" fillId="65" borderId="0" xfId="0" applyFill="1"/>
    <xf numFmtId="0" fontId="0" fillId="66" borderId="0" xfId="0" applyFill="1"/>
    <xf numFmtId="0" fontId="0" fillId="67" borderId="0" xfId="0" applyFill="1"/>
    <xf numFmtId="0" fontId="0" fillId="0" borderId="24" xfId="0" applyBorder="1"/>
    <xf numFmtId="0" fontId="0" fillId="0" borderId="67" xfId="0" applyBorder="1"/>
    <xf numFmtId="0" fontId="0" fillId="0" borderId="29" xfId="0" applyBorder="1"/>
    <xf numFmtId="0" fontId="0" fillId="0" borderId="43" xfId="0" applyBorder="1"/>
    <xf numFmtId="0" fontId="0" fillId="0" borderId="30" xfId="0" applyBorder="1" applyAlignment="1">
      <alignment horizontal="center"/>
    </xf>
    <xf numFmtId="0" fontId="0" fillId="0" borderId="31" xfId="0" applyBorder="1"/>
    <xf numFmtId="0" fontId="0" fillId="0" borderId="32" xfId="0" applyBorder="1" applyAlignment="1">
      <alignment horizontal="center"/>
    </xf>
    <xf numFmtId="0" fontId="0" fillId="0" borderId="33" xfId="0" applyBorder="1"/>
    <xf numFmtId="0" fontId="0" fillId="0" borderId="58" xfId="0" applyBorder="1"/>
    <xf numFmtId="0" fontId="0" fillId="0" borderId="34" xfId="0" applyBorder="1" applyAlignment="1">
      <alignment horizontal="center"/>
    </xf>
    <xf numFmtId="14" fontId="0" fillId="0" borderId="67" xfId="0" applyNumberFormat="1" applyBorder="1"/>
    <xf numFmtId="14" fontId="0" fillId="0" borderId="13" xfId="0" applyNumberFormat="1" applyBorder="1"/>
    <xf numFmtId="14" fontId="0" fillId="0" borderId="11" xfId="0" applyNumberFormat="1" applyBorder="1"/>
    <xf numFmtId="0" fontId="25" fillId="42" borderId="29" xfId="0" applyFont="1" applyFill="1" applyBorder="1" applyAlignment="1">
      <alignment horizontal="center"/>
    </xf>
    <xf numFmtId="0" fontId="17" fillId="37" borderId="0" xfId="0" applyFont="1" applyFill="1" applyAlignment="1">
      <alignment horizontal="center"/>
    </xf>
    <xf numFmtId="0" fontId="17" fillId="56" borderId="0" xfId="0" applyFont="1" applyFill="1" applyAlignment="1">
      <alignment horizontal="center"/>
    </xf>
    <xf numFmtId="0" fontId="44" fillId="68" borderId="21" xfId="0" applyFont="1" applyFill="1" applyBorder="1" applyAlignment="1">
      <alignment horizontal="center"/>
    </xf>
    <xf numFmtId="0" fontId="44" fillId="69" borderId="21" xfId="0" applyFont="1" applyFill="1" applyBorder="1" applyAlignment="1">
      <alignment horizontal="center"/>
    </xf>
    <xf numFmtId="0" fontId="44" fillId="68" borderId="53" xfId="0" applyFont="1" applyFill="1" applyBorder="1" applyAlignment="1">
      <alignment horizontal="center"/>
    </xf>
    <xf numFmtId="0" fontId="44" fillId="70" borderId="21" xfId="0" applyFont="1" applyFill="1" applyBorder="1" applyAlignment="1">
      <alignment horizontal="center"/>
    </xf>
    <xf numFmtId="0" fontId="44" fillId="71" borderId="21" xfId="0" applyFont="1" applyFill="1" applyBorder="1" applyAlignment="1">
      <alignment horizontal="center"/>
    </xf>
    <xf numFmtId="164" fontId="0" fillId="42" borderId="0" xfId="0" applyNumberFormat="1" applyFill="1"/>
    <xf numFmtId="2" fontId="0" fillId="42" borderId="0" xfId="0" applyNumberFormat="1" applyFill="1" applyAlignment="1">
      <alignment horizontal="center"/>
    </xf>
    <xf numFmtId="0" fontId="16" fillId="33" borderId="15" xfId="0" applyFont="1" applyFill="1" applyBorder="1" applyAlignment="1">
      <alignment horizontal="left"/>
    </xf>
    <xf numFmtId="0" fontId="16" fillId="33" borderId="16" xfId="0" applyFont="1" applyFill="1" applyBorder="1" applyAlignment="1">
      <alignment horizontal="left"/>
    </xf>
    <xf numFmtId="0" fontId="16" fillId="33" borderId="17" xfId="0" applyFont="1" applyFill="1" applyBorder="1" applyAlignment="1">
      <alignment horizontal="left"/>
    </xf>
    <xf numFmtId="0" fontId="16" fillId="33" borderId="15" xfId="0" applyFont="1" applyFill="1" applyBorder="1" applyAlignment="1">
      <alignment horizontal="center"/>
    </xf>
    <xf numFmtId="0" fontId="16" fillId="33" borderId="16" xfId="0" applyFont="1" applyFill="1" applyBorder="1" applyAlignment="1">
      <alignment horizontal="center"/>
    </xf>
    <xf numFmtId="0" fontId="16" fillId="33" borderId="17" xfId="0" applyFont="1" applyFill="1" applyBorder="1" applyAlignment="1">
      <alignment horizontal="center"/>
    </xf>
    <xf numFmtId="0" fontId="19" fillId="35" borderId="0" xfId="0" applyFont="1" applyFill="1" applyAlignment="1">
      <alignment horizontal="center"/>
    </xf>
    <xf numFmtId="0" fontId="19" fillId="34" borderId="0" xfId="0" applyFont="1" applyFill="1" applyAlignment="1">
      <alignment horizontal="center"/>
    </xf>
    <xf numFmtId="0" fontId="16" fillId="33" borderId="15" xfId="0" applyFont="1" applyFill="1" applyBorder="1"/>
    <xf numFmtId="0" fontId="16" fillId="0" borderId="16" xfId="0" applyFont="1" applyBorder="1"/>
    <xf numFmtId="0" fontId="16" fillId="0" borderId="17" xfId="0" applyFont="1" applyBorder="1"/>
  </cellXfs>
  <cellStyles count="67">
    <cellStyle name="20 % - Dekorfärg1" xfId="19" builtinId="30" customBuiltin="1"/>
    <cellStyle name="20 % - Dekorfärg2" xfId="23" builtinId="34" customBuiltin="1"/>
    <cellStyle name="20 % - Dekorfärg3" xfId="27" builtinId="38" customBuiltin="1"/>
    <cellStyle name="20 % - Dekorfärg4" xfId="31" builtinId="42" customBuiltin="1"/>
    <cellStyle name="20 % - Dekorfärg5" xfId="35" builtinId="46" customBuiltin="1"/>
    <cellStyle name="20 % - Dekorfärg6" xfId="39" builtinId="50" customBuiltin="1"/>
    <cellStyle name="40 % - Dekorfärg1" xfId="20" builtinId="31" customBuiltin="1"/>
    <cellStyle name="40 % - Dekorfärg2" xfId="24" builtinId="35" customBuiltin="1"/>
    <cellStyle name="40 % - Dekorfärg3" xfId="28" builtinId="39" customBuiltin="1"/>
    <cellStyle name="40 % - Dekorfärg4" xfId="32" builtinId="43" customBuiltin="1"/>
    <cellStyle name="40 % - Dekorfärg5" xfId="36" builtinId="47" customBuiltin="1"/>
    <cellStyle name="40 % - Dekorfärg6" xfId="40" builtinId="51" customBuiltin="1"/>
    <cellStyle name="60 % - Dekorfärg1" xfId="21" builtinId="32" customBuiltin="1"/>
    <cellStyle name="60 % - Dekorfärg2" xfId="25" builtinId="36" customBuiltin="1"/>
    <cellStyle name="60 % - Dekorfärg3" xfId="29" builtinId="40" customBuiltin="1"/>
    <cellStyle name="60 % - Dekorfärg4" xfId="33" builtinId="44" customBuiltin="1"/>
    <cellStyle name="60 % - Dekorfärg5" xfId="37" builtinId="48" customBuiltin="1"/>
    <cellStyle name="60 % - Dekorfärg6" xfId="41" builtinId="52" customBuiltin="1"/>
    <cellStyle name="Anteckning" xfId="15" builtinId="10" customBuiltin="1"/>
    <cellStyle name="Beräkning" xfId="11" builtinId="22" customBuiltin="1"/>
    <cellStyle name="Bra" xfId="6" builtinId="26" customBuiltin="1"/>
    <cellStyle name="Dekorfärg1" xfId="18" builtinId="29" customBuiltin="1"/>
    <cellStyle name="Dekorfärg2" xfId="22" builtinId="33" customBuiltin="1"/>
    <cellStyle name="Dekorfärg3" xfId="26" builtinId="37" customBuiltin="1"/>
    <cellStyle name="Dekorfärg4" xfId="30" builtinId="41" customBuiltin="1"/>
    <cellStyle name="Dekorfärg5" xfId="34" builtinId="45" customBuiltin="1"/>
    <cellStyle name="Dekorfärg6" xfId="38" builtinId="49" customBuiltin="1"/>
    <cellStyle name="Dålig" xfId="7" builtinId="27" customBuiltin="1"/>
    <cellStyle name="Följd hyperlänk" xfId="64" builtinId="9" hidden="1"/>
    <cellStyle name="Följd hyperlänk" xfId="66" builtinId="9" hidden="1"/>
    <cellStyle name="Följd hyperlänk" xfId="62" builtinId="9" hidden="1"/>
    <cellStyle name="Följd hyperlänk" xfId="52" builtinId="9" hidden="1"/>
    <cellStyle name="Följd hyperlänk" xfId="54" builtinId="9" hidden="1"/>
    <cellStyle name="Följd hyperlänk" xfId="56" builtinId="9" hidden="1"/>
    <cellStyle name="Följd hyperlänk" xfId="58" builtinId="9" hidden="1"/>
    <cellStyle name="Följd hyperlänk" xfId="60" builtinId="9" hidden="1"/>
    <cellStyle name="Följd hyperlänk" xfId="48" builtinId="9" hidden="1"/>
    <cellStyle name="Följd hyperlänk" xfId="50" builtinId="9" hidden="1"/>
    <cellStyle name="Följd hyperlänk" xfId="46" builtinId="9" hidden="1"/>
    <cellStyle name="Följd hyperlänk" xfId="44" builtinId="9" hidden="1"/>
    <cellStyle name="Förklarande text" xfId="16" builtinId="53" customBuiltin="1"/>
    <cellStyle name="Hyperlänk" xfId="55" builtinId="8" hidden="1"/>
    <cellStyle name="Hyperlänk" xfId="57" builtinId="8" hidden="1"/>
    <cellStyle name="Hyperlänk" xfId="59" builtinId="8" hidden="1"/>
    <cellStyle name="Hyperlänk" xfId="61" builtinId="8" hidden="1"/>
    <cellStyle name="Hyperlänk" xfId="63" builtinId="8" hidden="1"/>
    <cellStyle name="Hyperlänk" xfId="65" builtinId="8" hidden="1"/>
    <cellStyle name="Hyperlänk" xfId="47" builtinId="8" hidden="1"/>
    <cellStyle name="Hyperlänk" xfId="51" builtinId="8" hidden="1"/>
    <cellStyle name="Hyperlänk" xfId="53" builtinId="8" hidden="1"/>
    <cellStyle name="Hyperlänk" xfId="49" builtinId="8" hidden="1"/>
    <cellStyle name="Hyperlänk" xfId="45" builtinId="8" hidden="1"/>
    <cellStyle name="Hyperlänk" xfId="43" builtinId="8" hidden="1"/>
    <cellStyle name="Indata" xfId="9" builtinId="20" customBuiltin="1"/>
    <cellStyle name="Kontrollcell" xfId="13" builtinId="23" customBuiltin="1"/>
    <cellStyle name="Länkad cell" xfId="12" builtinId="24" customBuiltin="1"/>
    <cellStyle name="Neutral" xfId="8" builtinId="28" customBuiltin="1"/>
    <cellStyle name="Normal" xfId="0" builtinId="0"/>
    <cellStyle name="Normal 2" xfId="42" xr:uid="{00000000-0005-0000-0000-00003A000000}"/>
    <cellStyle name="Rubrik" xfId="1" builtinId="15" customBuiltin="1"/>
    <cellStyle name="Rubrik 1" xfId="2" builtinId="16" customBuiltin="1"/>
    <cellStyle name="Rubrik 2" xfId="3" builtinId="17" customBuiltin="1"/>
    <cellStyle name="Rubrik 3" xfId="4" builtinId="18" customBuiltin="1"/>
    <cellStyle name="Rubrik 4" xfId="5" builtinId="19" customBuiltin="1"/>
    <cellStyle name="Summa" xfId="17" builtinId="25" customBuiltin="1"/>
    <cellStyle name="Utdata" xfId="10" builtinId="21" customBuiltin="1"/>
    <cellStyle name="Varningstext" xfId="14" builtinId="11" customBuiltin="1"/>
  </cellStyles>
  <dxfs count="849">
    <dxf>
      <font>
        <color theme="1"/>
      </font>
      <fill>
        <patternFill>
          <bgColor rgb="FFFFC000"/>
        </patternFill>
      </fill>
    </dxf>
    <dxf>
      <font>
        <color theme="1"/>
      </font>
      <fill>
        <patternFill>
          <bgColor rgb="FFFFFF00"/>
        </patternFill>
      </fill>
    </dxf>
    <dxf>
      <font>
        <color theme="1"/>
      </font>
      <fill>
        <patternFill>
          <bgColor rgb="FF00B050"/>
        </patternFill>
      </fill>
    </dxf>
    <dxf>
      <font>
        <color theme="1"/>
      </font>
      <fill>
        <patternFill>
          <bgColor rgb="FFFF0000"/>
        </patternFill>
      </fill>
    </dxf>
    <dxf>
      <font>
        <color theme="0"/>
      </font>
      <fill>
        <patternFill>
          <bgColor rgb="FFC00000"/>
        </patternFill>
      </fill>
    </dxf>
    <dxf>
      <font>
        <color theme="0"/>
      </font>
      <fill>
        <patternFill>
          <bgColor rgb="FFC00000"/>
        </patternFill>
      </fill>
    </dxf>
    <dxf>
      <font>
        <color theme="1"/>
      </font>
      <fill>
        <patternFill>
          <bgColor rgb="FFFFC000"/>
        </patternFill>
      </fill>
    </dxf>
    <dxf>
      <font>
        <color theme="1"/>
      </font>
      <fill>
        <patternFill>
          <bgColor rgb="FFFFFF00"/>
        </patternFill>
      </fill>
    </dxf>
    <dxf>
      <font>
        <color theme="1"/>
      </font>
      <fill>
        <patternFill>
          <bgColor rgb="FF00B050"/>
        </patternFill>
      </fill>
    </dxf>
    <dxf>
      <font>
        <color theme="1"/>
      </font>
      <fill>
        <patternFill>
          <bgColor rgb="FFFF0000"/>
        </patternFill>
      </fill>
    </dxf>
    <dxf>
      <font>
        <color theme="0"/>
      </font>
      <fill>
        <patternFill>
          <bgColor rgb="FFC00000"/>
        </patternFill>
      </fill>
    </dxf>
    <dxf>
      <font>
        <color theme="0"/>
      </font>
      <fill>
        <patternFill>
          <bgColor rgb="FFC0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ont>
        <color theme="0"/>
      </font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color theme="0"/>
      </font>
      <fill>
        <patternFill>
          <bgColor rgb="FFC00000"/>
        </patternFill>
      </fill>
    </dxf>
    <dxf>
      <font>
        <color theme="0"/>
      </font>
      <fill>
        <patternFill>
          <bgColor rgb="FFC00000"/>
        </patternFill>
      </fill>
    </dxf>
    <dxf>
      <font>
        <color theme="1"/>
      </font>
      <fill>
        <patternFill>
          <bgColor rgb="FFFF0000"/>
        </patternFill>
      </fill>
    </dxf>
    <dxf>
      <font>
        <color theme="1"/>
      </font>
      <fill>
        <patternFill>
          <bgColor rgb="FF00B050"/>
        </patternFill>
      </fill>
    </dxf>
    <dxf>
      <font>
        <color theme="1"/>
      </font>
      <fill>
        <patternFill>
          <bgColor rgb="FFFFFF00"/>
        </patternFill>
      </fill>
    </dxf>
    <dxf>
      <font>
        <color theme="1"/>
      </font>
      <fill>
        <patternFill>
          <bgColor rgb="FFFFC000"/>
        </patternFill>
      </fill>
    </dxf>
    <dxf>
      <numFmt numFmtId="2" formatCode="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border diagonalUp="0" diagonalDown="0">
        <left style="medium">
          <color indexed="64"/>
        </left>
        <right style="medium">
          <color indexed="64"/>
        </right>
        <top style="medium">
          <color indexed="64"/>
        </top>
        <bottom style="medium">
          <color indexed="64"/>
        </bottom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numFmt numFmtId="2" formatCode="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rgb="FFB2B2B2"/>
        </top>
        <bottom style="thin">
          <color rgb="FFB2B2B2"/>
        </bottom>
      </border>
    </dxf>
    <dxf>
      <border>
        <top style="thin">
          <color rgb="FFB2B2B2"/>
        </top>
      </border>
    </dxf>
    <dxf>
      <border diagonalUp="0" diagonalDown="0">
        <left style="medium">
          <color indexed="64"/>
        </left>
        <right style="medium">
          <color indexed="64"/>
        </right>
        <top style="medium">
          <color indexed="64"/>
        </top>
        <bottom style="medium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border>
        <bottom style="thin">
          <color rgb="FFB2B2B2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border diagonalUp="0" diagonalDown="0">
        <left style="medium">
          <color indexed="64"/>
        </left>
        <right style="medium">
          <color indexed="64"/>
        </right>
        <top style="medium">
          <color indexed="64"/>
        </top>
        <bottom style="medium">
          <color indexed="64"/>
        </bottom>
      </border>
    </dxf>
    <dxf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/>
        <right/>
        <top style="thin">
          <color auto="1"/>
        </top>
        <bottom style="thin">
          <color auto="1"/>
        </bottom>
        <vertical/>
        <horizontal/>
      </border>
    </dxf>
    <dxf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medium">
          <color indexed="64"/>
        </left>
        <right style="medium">
          <color indexed="64"/>
        </right>
        <top style="thin">
          <color auto="1"/>
        </top>
        <bottom style="thin">
          <color auto="1"/>
        </bottom>
        <vertical/>
        <horizontal style="thin">
          <color auto="1"/>
        </horizontal>
      </border>
    </dxf>
    <dxf>
      <border>
        <top style="thin">
          <color auto="1"/>
        </top>
      </border>
    </dxf>
    <dxf>
      <border diagonalUp="0" diagonalDown="0">
        <left style="medium">
          <color indexed="64"/>
        </left>
        <right style="medium">
          <color indexed="64"/>
        </right>
        <top style="medium">
          <color indexed="64"/>
        </top>
        <bottom style="medium">
          <color indexed="64"/>
        </bottom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border>
        <bottom style="thin">
          <color auto="1"/>
        </bottom>
      </border>
    </dxf>
    <dxf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/>
        <vertical style="thin">
          <color indexed="64"/>
        </vertical>
        <horizontal style="thin">
          <color indexed="64"/>
        </horizontal>
      </border>
    </dxf>
    <dxf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>
        <left/>
        <right/>
        <top style="thin">
          <color auto="1"/>
        </top>
        <bottom style="thin">
          <color auto="1"/>
        </bottom>
        <vertical/>
        <horizontal style="thin">
          <color auto="1"/>
        </horizontal>
      </border>
    </dxf>
    <dxf>
      <border>
        <top style="thin">
          <color auto="1"/>
        </top>
      </border>
    </dxf>
    <dxf>
      <border diagonalUp="0" diagonalDown="0">
        <left style="medium">
          <color indexed="64"/>
        </left>
        <right style="medium">
          <color indexed="64"/>
        </right>
        <top style="medium">
          <color indexed="64"/>
        </top>
        <bottom style="medium">
          <color indexed="64"/>
        </bottom>
      </border>
    </dxf>
    <dxf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border>
        <bottom style="thin">
          <color auto="1"/>
        </bottom>
      </border>
    </dxf>
    <dxf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/>
        <vertical style="thin">
          <color indexed="64"/>
        </vertical>
        <horizontal style="thin">
          <color indexed="64"/>
        </horizontal>
      </border>
    </dxf>
    <dxf>
      <fill>
        <patternFill patternType="none">
          <fgColor indexed="64"/>
          <bgColor auto="1"/>
        </patternFill>
      </fill>
    </dxf>
    <dxf>
      <numFmt numFmtId="0" formatCode="General"/>
      <fill>
        <patternFill patternType="none">
          <fgColor indexed="64"/>
          <bgColor auto="1"/>
        </patternFill>
      </fill>
    </dxf>
    <dxf>
      <numFmt numFmtId="0" formatCode="General"/>
      <fill>
        <patternFill patternType="none">
          <fgColor indexed="64"/>
          <bgColor auto="1"/>
        </patternFill>
      </fill>
    </dxf>
    <dxf>
      <fill>
        <patternFill patternType="none">
          <fgColor indexed="64"/>
          <bgColor auto="1"/>
        </patternFill>
      </fill>
    </dxf>
    <dxf>
      <fill>
        <patternFill patternType="none">
          <fgColor indexed="64"/>
          <bgColor auto="1"/>
        </patternFill>
      </fill>
    </dxf>
    <dxf>
      <numFmt numFmtId="0" formatCode="General"/>
      <fill>
        <patternFill patternType="none">
          <fgColor indexed="64"/>
          <bgColor auto="1"/>
        </patternFill>
      </fill>
    </dxf>
    <dxf>
      <numFmt numFmtId="0" formatCode="General"/>
      <fill>
        <patternFill patternType="none">
          <fgColor indexed="64"/>
          <bgColor auto="1"/>
        </patternFill>
      </fill>
    </dxf>
    <dxf>
      <fill>
        <patternFill patternType="none">
          <fgColor indexed="64"/>
          <bgColor auto="1"/>
        </patternFill>
      </fill>
    </dxf>
    <dxf>
      <fill>
        <patternFill patternType="none">
          <fgColor indexed="64"/>
          <bgColor auto="1"/>
        </patternFill>
      </fill>
    </dxf>
    <dxf>
      <fill>
        <patternFill patternType="none">
          <fgColor indexed="64"/>
          <bgColor auto="1"/>
        </patternFill>
      </fill>
    </dxf>
    <dxf>
      <border diagonalUp="0" diagonalDown="0">
        <left style="medium">
          <color indexed="64"/>
        </left>
        <right style="medium">
          <color indexed="64"/>
        </right>
        <top style="medium">
          <color indexed="64"/>
        </top>
        <bottom style="medium">
          <color indexed="64"/>
        </bottom>
      </border>
    </dxf>
    <dxf>
      <fill>
        <patternFill patternType="none">
          <fgColor indexed="64"/>
          <bgColor auto="1"/>
        </patternFill>
      </fill>
    </dxf>
    <dxf>
      <fill>
        <patternFill patternType="none">
          <fgColor indexed="64"/>
          <bgColor auto="1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family val="2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auto="1"/>
        </top>
        <bottom/>
      </border>
    </dxf>
    <dxf>
      <font>
        <strike val="0"/>
        <outline val="0"/>
        <shadow val="0"/>
        <u val="none"/>
        <vertAlign val="baseline"/>
        <color theme="0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>
        <left/>
        <right/>
        <top style="thin">
          <color indexed="64"/>
        </top>
        <bottom style="thin">
          <color indexed="64"/>
        </bottom>
      </border>
    </dxf>
    <dxf>
      <border>
        <top style="thin">
          <color indexed="64"/>
        </top>
        <vertical/>
        <horizontal/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color theme="0"/>
      </font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 outline="0"/>
    </dxf>
    <dxf>
      <border>
        <bottom style="thin">
          <color indexed="64"/>
        </bottom>
        <vertical/>
        <horizontal/>
      </border>
    </dxf>
    <dxf>
      <font>
        <strike val="0"/>
        <outline val="0"/>
        <shadow val="0"/>
        <u val="none"/>
        <vertAlign val="baseline"/>
        <color theme="0"/>
      </font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border diagonalUp="0" diagonalDown="0" outline="0">
        <left/>
        <right/>
        <top/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/>
        <right style="thin">
          <color indexed="64"/>
        </right>
        <top/>
        <bottom style="thin">
          <color indexed="64"/>
        </bottom>
      </border>
    </dxf>
    <dxf>
      <border outline="0">
        <left style="medium">
          <color indexed="64"/>
        </left>
        <right style="thin">
          <color indexed="64"/>
        </right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border diagonalUp="0" diagonalDown="0" outline="0">
        <top/>
      </border>
    </dxf>
    <dxf>
      <border outline="0"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family val="2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auto="1"/>
        </top>
        <bottom/>
      </border>
    </dxf>
    <dxf>
      <font>
        <strike val="0"/>
        <outline val="0"/>
        <shadow val="0"/>
        <u val="none"/>
        <vertAlign val="baseline"/>
        <color theme="0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>
        <left/>
        <right/>
        <top style="thin">
          <color indexed="64"/>
        </top>
        <bottom style="thin">
          <color indexed="64"/>
        </bottom>
      </border>
    </dxf>
    <dxf>
      <border>
        <top style="thin">
          <color indexed="64"/>
        </top>
        <vertical/>
        <horizontal/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color theme="0"/>
      </font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 outline="0"/>
    </dxf>
    <dxf>
      <border>
        <bottom style="thin">
          <color indexed="64"/>
        </bottom>
        <vertical/>
        <horizontal/>
      </border>
    </dxf>
    <dxf>
      <font>
        <strike val="0"/>
        <outline val="0"/>
        <shadow val="0"/>
        <u val="none"/>
        <vertAlign val="baseline"/>
        <color theme="0"/>
      </font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border diagonalUp="0" diagonalDown="0" outline="0">
        <left/>
        <right/>
        <top/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/>
        <right style="thin">
          <color indexed="64"/>
        </right>
        <top/>
        <bottom style="thin">
          <color indexed="64"/>
        </bottom>
      </border>
    </dxf>
    <dxf>
      <border outline="0">
        <left style="medium">
          <color indexed="64"/>
        </left>
        <right style="thin">
          <color indexed="64"/>
        </right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border diagonalUp="0" diagonalDown="0" outline="0">
        <top/>
      </border>
    </dxf>
    <dxf>
      <border outline="0"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>
        <left/>
        <right/>
        <top style="thin">
          <color indexed="64"/>
        </top>
        <bottom style="thin">
          <color indexed="64"/>
        </bottom>
      </border>
    </dxf>
    <dxf>
      <border>
        <top style="thin">
          <color indexed="64"/>
        </top>
        <vertical/>
        <horizontal/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</dxf>
    <dxf>
      <border>
        <bottom style="thin">
          <color indexed="64"/>
        </bottom>
        <vertical/>
        <horizontal/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/>
      </border>
    </dxf>
    <dxf>
      <font>
        <b/>
        <strike val="0"/>
        <outline val="0"/>
        <shadow val="0"/>
        <u val="none"/>
        <vertAlign val="baseline"/>
        <sz val="11"/>
        <color theme="1" tint="4.9989318521683403E-2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 style="medium">
          <color indexed="64"/>
        </left>
        <right style="medium">
          <color indexed="64"/>
        </right>
        <top style="thin">
          <color indexed="64"/>
        </top>
        <bottom style="thin">
          <color indexed="64"/>
        </bottom>
      </border>
    </dxf>
    <dxf>
      <font>
        <b/>
        <strike val="0"/>
        <outline val="0"/>
        <shadow val="0"/>
        <u val="none"/>
        <vertAlign val="baseline"/>
        <sz val="11"/>
        <color theme="1" tint="4.9989318521683403E-2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ill>
        <patternFill patternType="none">
          <fgColor indexed="64"/>
          <bgColor indexed="65"/>
        </patternFill>
      </fill>
    </dxf>
    <dxf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numFmt numFmtId="0" formatCode="General"/>
      <fill>
        <patternFill patternType="solid">
          <fgColor indexed="64"/>
          <bgColor theme="1"/>
        </patternFill>
      </fill>
      <alignment horizontal="center" vertical="bottom" textRotation="0" wrapText="0" indent="0" justifyLastLine="0" shrinkToFit="0" readingOrder="0"/>
    </dxf>
    <dxf>
      <fill>
        <patternFill patternType="solid">
          <fgColor indexed="64"/>
          <bgColor theme="1"/>
        </patternFill>
      </fill>
      <alignment horizontal="center" vertical="bottom" textRotation="0" wrapText="0" indent="0" justifyLastLine="0" shrinkToFit="0" readingOrder="0"/>
    </dxf>
    <dxf>
      <fill>
        <patternFill patternType="solid">
          <fgColor indexed="64"/>
          <bgColor theme="1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color theme="0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>
        <left/>
        <right/>
        <top style="thin">
          <color indexed="64"/>
        </top>
        <bottom style="thin">
          <color indexed="64"/>
        </bottom>
      </border>
    </dxf>
    <dxf>
      <border>
        <top style="thin">
          <color indexed="64"/>
        </top>
        <vertical/>
        <horizontal/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color theme="0"/>
      </font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 outline="0"/>
    </dxf>
    <dxf>
      <border>
        <bottom style="thin">
          <color indexed="64"/>
        </bottom>
        <vertical/>
        <horizontal/>
      </border>
    </dxf>
    <dxf>
      <font>
        <strike val="0"/>
        <outline val="0"/>
        <shadow val="0"/>
        <u val="none"/>
        <vertAlign val="baseline"/>
        <color theme="0"/>
      </font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ont>
        <strike val="0"/>
        <outline val="0"/>
        <shadow val="0"/>
        <u val="none"/>
        <vertAlign val="baseline"/>
        <color theme="0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>
        <left/>
        <right/>
        <top style="thin">
          <color indexed="64"/>
        </top>
        <bottom style="thin">
          <color indexed="64"/>
        </bottom>
      </border>
    </dxf>
    <dxf>
      <border>
        <top style="thin">
          <color indexed="64"/>
        </top>
        <vertical/>
        <horizontal/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color theme="0"/>
      </font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 outline="0"/>
    </dxf>
    <dxf>
      <border>
        <bottom style="thin">
          <color indexed="64"/>
        </bottom>
        <vertical/>
        <horizontal/>
      </border>
    </dxf>
    <dxf>
      <font>
        <strike val="0"/>
        <outline val="0"/>
        <shadow val="0"/>
        <u val="none"/>
        <vertAlign val="baseline"/>
        <color theme="0"/>
      </font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ont>
        <strike val="0"/>
        <outline val="0"/>
        <shadow val="0"/>
        <u val="none"/>
        <vertAlign val="baseline"/>
        <color theme="0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>
        <left/>
        <right/>
        <top style="thin">
          <color indexed="64"/>
        </top>
        <bottom style="thin">
          <color indexed="64"/>
        </bottom>
      </border>
    </dxf>
    <dxf>
      <border>
        <top style="thin">
          <color indexed="64"/>
        </top>
        <vertical/>
        <horizontal/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color theme="0"/>
      </font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 outline="0"/>
    </dxf>
    <dxf>
      <border>
        <bottom style="thin">
          <color indexed="64"/>
        </bottom>
        <vertical/>
        <horizontal/>
      </border>
    </dxf>
    <dxf>
      <font>
        <strike val="0"/>
        <outline val="0"/>
        <shadow val="0"/>
        <u val="none"/>
        <vertAlign val="baseline"/>
        <color theme="0"/>
      </font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ont>
        <strike val="0"/>
        <outline val="0"/>
        <shadow val="0"/>
        <u val="none"/>
        <vertAlign val="baseline"/>
        <color theme="0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 outline="0">
        <left/>
        <right/>
        <top style="thin">
          <color indexed="64"/>
        </top>
        <bottom style="thin">
          <color indexed="64"/>
        </bottom>
      </border>
    </dxf>
    <dxf>
      <border>
        <top style="thin">
          <color indexed="64"/>
        </top>
        <vertical/>
        <horizontal/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color theme="0"/>
      </font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 outline="0"/>
    </dxf>
    <dxf>
      <border>
        <bottom style="thin">
          <color indexed="64"/>
        </bottom>
        <vertical/>
        <horizontal/>
      </border>
    </dxf>
    <dxf>
      <font>
        <strike val="0"/>
        <outline val="0"/>
        <shadow val="0"/>
        <u val="none"/>
        <vertAlign val="baseline"/>
        <color theme="0"/>
      </font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>
        <left/>
        <right/>
        <top style="thin">
          <color indexed="64"/>
        </top>
        <bottom style="thin">
          <color indexed="64"/>
        </bottom>
      </border>
    </dxf>
    <dxf>
      <border>
        <top style="thin">
          <color indexed="64"/>
        </top>
        <vertical/>
        <horizontal/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</dxf>
    <dxf>
      <border>
        <bottom style="thin">
          <color indexed="64"/>
        </bottom>
        <vertical/>
        <horizontal/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/>
      </border>
    </dxf>
    <dxf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>
        <left/>
        <right/>
        <top style="thin">
          <color indexed="64"/>
        </top>
        <bottom style="thin">
          <color indexed="64"/>
        </bottom>
      </border>
    </dxf>
    <dxf>
      <border>
        <top style="thin">
          <color indexed="64"/>
        </top>
        <vertical/>
        <horizontal/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</dxf>
    <dxf>
      <border>
        <bottom style="thin">
          <color indexed="64"/>
        </bottom>
        <vertical/>
        <horizontal/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/>
      </border>
    </dxf>
    <dxf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 outline="0">
        <left/>
        <right/>
        <top style="thin">
          <color indexed="64"/>
        </top>
        <bottom style="thin">
          <color indexed="64"/>
        </bottom>
      </border>
    </dxf>
    <dxf>
      <border>
        <top style="thin">
          <color indexed="64"/>
        </top>
        <vertical/>
        <horizontal/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</dxf>
    <dxf>
      <border>
        <bottom style="thin">
          <color indexed="64"/>
        </bottom>
        <vertical/>
        <horizontal/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/>
      </border>
    </dxf>
    <dxf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 outline="0">
        <left/>
        <right/>
        <top style="thin">
          <color indexed="64"/>
        </top>
        <bottom style="thin">
          <color indexed="64"/>
        </bottom>
      </border>
    </dxf>
    <dxf>
      <border>
        <top style="thin">
          <color indexed="64"/>
        </top>
        <vertical/>
        <horizontal/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</dxf>
    <dxf>
      <border>
        <bottom style="thin">
          <color indexed="64"/>
        </bottom>
        <vertical/>
        <horizontal/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/>
      </border>
    </dxf>
    <dxf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 outline="0">
        <left/>
        <right/>
        <top style="thin">
          <color indexed="64"/>
        </top>
        <bottom style="thin">
          <color indexed="64"/>
        </bottom>
      </border>
    </dxf>
    <dxf>
      <border>
        <top style="thin">
          <color indexed="64"/>
        </top>
        <vertical/>
        <horizontal/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</dxf>
    <dxf>
      <border>
        <bottom style="thin">
          <color indexed="64"/>
        </bottom>
        <vertical/>
        <horizontal/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/>
      </border>
    </dxf>
    <dxf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 outline="0">
        <left/>
        <right/>
        <top style="thin">
          <color indexed="64"/>
        </top>
        <bottom style="thin">
          <color indexed="64"/>
        </bottom>
      </border>
    </dxf>
    <dxf>
      <border>
        <top style="thin">
          <color indexed="64"/>
        </top>
        <vertical/>
        <horizontal/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</dxf>
    <dxf>
      <border>
        <bottom style="thin">
          <color indexed="64"/>
        </bottom>
        <vertical/>
        <horizontal/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/>
      </border>
    </dxf>
    <dxf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 outline="0">
        <left/>
        <right/>
        <top style="thin">
          <color indexed="64"/>
        </top>
        <bottom style="thin">
          <color indexed="64"/>
        </bottom>
      </border>
    </dxf>
    <dxf>
      <border>
        <top style="thin">
          <color indexed="64"/>
        </top>
        <vertical/>
        <horizontal/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</dxf>
    <dxf>
      <border>
        <bottom style="thin">
          <color indexed="64"/>
        </bottom>
        <vertical/>
        <horizontal/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/>
      </border>
    </dxf>
    <dxf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>
        <left/>
        <right/>
        <top style="thin">
          <color indexed="64"/>
        </top>
        <bottom style="thin">
          <color indexed="64"/>
        </bottom>
      </border>
    </dxf>
    <dxf>
      <border>
        <top style="thin">
          <color indexed="64"/>
        </top>
        <vertical/>
        <horizontal/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</dxf>
    <dxf>
      <border>
        <bottom style="thin">
          <color indexed="64"/>
        </bottom>
        <vertical/>
        <horizontal/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/>
      </border>
    </dxf>
    <dxf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>
        <left/>
        <right/>
        <top style="thin">
          <color indexed="64"/>
        </top>
        <bottom style="thin">
          <color indexed="64"/>
        </bottom>
      </border>
    </dxf>
    <dxf>
      <border>
        <top style="thin">
          <color indexed="64"/>
        </top>
        <vertical/>
        <horizontal/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</dxf>
    <dxf>
      <border>
        <bottom style="thin">
          <color indexed="64"/>
        </bottom>
        <vertical/>
        <horizontal/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/>
      </border>
    </dxf>
    <dxf>
      <fill>
        <patternFill patternType="solid">
          <fgColor indexed="64"/>
          <bgColor theme="1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1"/>
        <color theme="1" tint="4.9989318521683403E-2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 style="thin">
          <color indexed="64"/>
        </bottom>
      </border>
    </dxf>
    <dxf>
      <border>
        <top style="thin">
          <color indexed="64"/>
        </top>
        <vertical/>
        <horizontal/>
      </border>
    </dxf>
    <dxf>
      <fill>
        <patternFill patternType="solid">
          <fgColor indexed="64"/>
          <bgColor theme="1"/>
        </patternFill>
      </fill>
      <alignment horizontal="center" vertical="bottom" textRotation="0" wrapText="0" indent="0" justifyLastLine="0" shrinkToFit="0" readingOrder="0"/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1"/>
        <color theme="1" tint="4.9989318521683403E-2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</border>
    </dxf>
    <dxf>
      <border>
        <bottom style="thin">
          <color indexed="64"/>
        </bottom>
        <vertical/>
        <horizontal/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border diagonalUp="0" diagonalDown="0" outline="0">
        <left/>
        <right/>
        <top/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/>
        <right style="thin">
          <color indexed="64"/>
        </right>
        <top/>
        <bottom style="thin">
          <color indexed="64"/>
        </bottom>
      </border>
    </dxf>
    <dxf>
      <border outline="0">
        <left style="medium">
          <color indexed="64"/>
        </left>
        <right style="thin">
          <color indexed="64"/>
        </right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border diagonalUp="0" diagonalDown="0" outline="0">
        <top/>
      </border>
    </dxf>
    <dxf>
      <border outline="0"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border diagonalUp="0" diagonalDown="0" outline="0">
        <left/>
        <right/>
        <top/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/>
        <right style="thin">
          <color indexed="64"/>
        </right>
        <top/>
        <bottom style="thin">
          <color indexed="64"/>
        </bottom>
      </border>
    </dxf>
    <dxf>
      <border outline="0">
        <left style="medium">
          <color indexed="64"/>
        </left>
        <right style="thin">
          <color indexed="64"/>
        </right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border diagonalUp="0" diagonalDown="0" outline="0">
        <top/>
      </border>
    </dxf>
    <dxf>
      <border outline="0"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border diagonalUp="0" diagonalDown="0" outline="0">
        <left/>
        <right/>
        <top/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/>
        <right style="thin">
          <color indexed="64"/>
        </right>
        <top/>
        <bottom style="thin">
          <color indexed="64"/>
        </bottom>
      </border>
    </dxf>
    <dxf>
      <border outline="0">
        <left style="medium">
          <color indexed="64"/>
        </left>
        <right style="thin">
          <color indexed="64"/>
        </right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border diagonalUp="0" diagonalDown="0" outline="0">
        <top/>
      </border>
    </dxf>
    <dxf>
      <border outline="0"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border diagonalUp="0" diagonalDown="0">
        <left/>
        <right/>
        <top/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/>
        <right style="thin">
          <color indexed="64"/>
        </right>
        <top/>
        <bottom style="thin">
          <color indexed="64"/>
        </bottom>
      </border>
    </dxf>
    <dxf>
      <border outline="0">
        <left style="medium">
          <color indexed="64"/>
        </left>
        <right style="thin">
          <color indexed="64"/>
        </right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border diagonalUp="0" diagonalDown="0" outline="0">
        <top/>
      </border>
    </dxf>
    <dxf>
      <border outline="0"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border diagonalUp="0" diagonalDown="0" outline="0">
        <left/>
        <right/>
        <top/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/>
        <right style="thin">
          <color indexed="64"/>
        </right>
        <top/>
        <bottom style="thin">
          <color indexed="64"/>
        </bottom>
      </border>
    </dxf>
    <dxf>
      <border outline="0">
        <left style="medium">
          <color indexed="64"/>
        </left>
        <right style="thin">
          <color indexed="64"/>
        </right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border diagonalUp="0" diagonalDown="0" outline="0">
        <top/>
      </border>
    </dxf>
    <dxf>
      <border outline="0"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border diagonalUp="0" diagonalDown="0" outline="0">
        <left/>
        <right/>
        <top/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/>
        <right style="thin">
          <color indexed="64"/>
        </right>
        <top/>
        <bottom style="thin">
          <color indexed="64"/>
        </bottom>
      </border>
    </dxf>
    <dxf>
      <border outline="0">
        <left style="medium">
          <color indexed="64"/>
        </left>
        <right style="thin">
          <color indexed="64"/>
        </right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border diagonalUp="0" diagonalDown="0" outline="0">
        <top/>
      </border>
    </dxf>
    <dxf>
      <border outline="0"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border diagonalUp="0" diagonalDown="0" outline="0">
        <left/>
        <right/>
        <top/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/>
        <right style="thin">
          <color indexed="64"/>
        </right>
        <top/>
        <bottom style="thin">
          <color indexed="64"/>
        </bottom>
      </border>
    </dxf>
    <dxf>
      <border outline="0">
        <left style="medium">
          <color indexed="64"/>
        </left>
        <right style="thin">
          <color indexed="64"/>
        </right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border diagonalUp="0" diagonalDown="0" outline="0">
        <top/>
      </border>
    </dxf>
    <dxf>
      <border outline="0"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border diagonalUp="0" diagonalDown="0" outline="0">
        <left/>
        <right/>
        <top/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/>
        <right style="thin">
          <color indexed="64"/>
        </right>
        <top/>
        <bottom style="thin">
          <color indexed="64"/>
        </bottom>
      </border>
    </dxf>
    <dxf>
      <border outline="0">
        <left style="medium">
          <color indexed="64"/>
        </left>
        <right style="thin">
          <color indexed="64"/>
        </right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border diagonalUp="0" diagonalDown="0" outline="0">
        <top/>
      </border>
    </dxf>
    <dxf>
      <border outline="0"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border diagonalUp="0" diagonalDown="0" outline="0">
        <left/>
        <right/>
        <top/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/>
        <right style="thin">
          <color indexed="64"/>
        </right>
        <top/>
        <bottom style="thin">
          <color indexed="64"/>
        </bottom>
      </border>
    </dxf>
    <dxf>
      <border outline="0">
        <left style="medium">
          <color indexed="64"/>
        </left>
        <right style="thin">
          <color indexed="64"/>
        </right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border diagonalUp="0" diagonalDown="0" outline="0">
        <top/>
      </border>
    </dxf>
    <dxf>
      <border outline="0"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border diagonalUp="0" diagonalDown="0">
        <left/>
        <right/>
        <top/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/>
        <right style="thin">
          <color indexed="64"/>
        </right>
        <top/>
        <bottom style="thin">
          <color indexed="64"/>
        </bottom>
      </border>
    </dxf>
    <dxf>
      <border outline="0">
        <left style="medium">
          <color indexed="64"/>
        </left>
        <right style="thin">
          <color indexed="64"/>
        </right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border diagonalUp="0" diagonalDown="0" outline="0">
        <top/>
      </border>
    </dxf>
    <dxf>
      <border outline="0"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border diagonalUp="0" diagonalDown="0">
        <left/>
        <right/>
        <top/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/>
        <right style="thin">
          <color indexed="64"/>
        </right>
        <top/>
        <bottom style="thin">
          <color indexed="64"/>
        </bottom>
      </border>
    </dxf>
    <dxf>
      <border outline="0">
        <left style="medium">
          <color indexed="64"/>
        </left>
        <right style="thin">
          <color indexed="64"/>
        </right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border diagonalUp="0" diagonalDown="0" outline="0">
        <top/>
      </border>
    </dxf>
    <dxf>
      <border outline="0"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border diagonalUp="0" diagonalDown="0" outline="0">
        <left/>
        <right/>
        <top/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/>
        <right style="thin">
          <color indexed="64"/>
        </right>
        <top/>
        <bottom style="thin">
          <color indexed="64"/>
        </bottom>
      </border>
    </dxf>
    <dxf>
      <border outline="0">
        <left style="medium">
          <color indexed="64"/>
        </left>
        <right style="thin">
          <color indexed="64"/>
        </right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border diagonalUp="0" diagonalDown="0" outline="0">
        <top/>
      </border>
    </dxf>
    <dxf>
      <border outline="0"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border diagonalUp="0" diagonalDown="0" outline="0">
        <left/>
        <right/>
        <top/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 style="thin">
          <color indexed="64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/>
        <right style="thin">
          <color indexed="64"/>
        </right>
        <top/>
        <bottom style="thin">
          <color indexed="64"/>
        </bottom>
      </border>
    </dxf>
    <dxf>
      <border outline="0">
        <left style="medium">
          <color indexed="64"/>
        </left>
        <right style="thin">
          <color indexed="64"/>
        </right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border diagonalUp="0" diagonalDown="0" outline="0">
        <top/>
      </border>
    </dxf>
    <dxf>
      <border outline="0"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border diagonalUp="0" diagonalDown="0" outline="0">
        <left style="thin">
          <color auto="1"/>
        </left>
        <right/>
        <top/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auto="1"/>
        </left>
        <right style="thin">
          <color indexed="64"/>
        </right>
        <top/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/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/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/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/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/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/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/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/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/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/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/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/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/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/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/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/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auto="1"/>
        </right>
        <top/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auto="1"/>
        </right>
        <top/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/>
        <right style="thin">
          <color indexed="64"/>
        </right>
        <top/>
        <bottom style="thin">
          <color indexed="64"/>
        </bottom>
      </border>
    </dxf>
    <dxf>
      <border outline="0">
        <left style="medium">
          <color indexed="64"/>
        </left>
        <right style="thin">
          <color indexed="64"/>
        </right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border diagonalUp="0" diagonalDown="0" outline="0">
        <top/>
      </border>
    </dxf>
    <dxf>
      <border outline="0"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numFmt numFmtId="0" formatCode="General"/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/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scheme val="none"/>
      </font>
      <fill>
        <patternFill patternType="none">
          <fgColor indexed="64"/>
          <bgColor indexed="65"/>
        </patternFill>
      </fill>
      <border diagonalUp="0" diagonalDown="0">
        <left/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</dxf>
    <dxf>
      <border outline="0">
        <left style="medium">
          <color indexed="64"/>
        </left>
      </border>
    </dxf>
    <dxf>
      <fill>
        <patternFill patternType="solid">
          <fgColor indexed="64"/>
          <bgColor theme="1"/>
        </patternFill>
      </fill>
    </dxf>
    <dxf>
      <border>
        <bottom style="thin">
          <color indexed="64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solid">
          <fgColor indexed="64"/>
          <bgColor theme="1"/>
        </patternFill>
      </fill>
      <border diagonalUp="0" diagonalDown="0">
        <left style="thin">
          <color indexed="64"/>
        </left>
        <right style="thin">
          <color indexed="64"/>
        </right>
        <top/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auto="1"/>
        </left>
        <right style="medium">
          <color indexed="64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none">
          <fgColor indexed="64"/>
          <bgColor indexed="65"/>
        </patternFill>
      </fill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none">
          <fgColor indexed="64"/>
          <bgColor indexed="65"/>
        </patternFill>
      </fill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none">
          <fgColor indexed="64"/>
          <bgColor indexed="65"/>
        </patternFill>
      </fill>
      <border diagonalUp="0" diagonalDown="0">
        <left style="medium">
          <color indexed="64"/>
        </left>
        <right style="thin">
          <color auto="1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family val="2"/>
        <scheme val="none"/>
      </font>
      <numFmt numFmtId="0" formatCode="General"/>
      <fill>
        <patternFill patternType="none">
          <fgColor indexed="64"/>
          <bgColor auto="1"/>
        </patternFill>
      </fill>
      <alignment horizontal="general" vertical="bottom" textRotation="0" wrapText="0" indent="0" justifyLastLine="0" shrinkToFit="0" readingOrder="0"/>
      <border diagonalUp="0" diagonalDown="0">
        <left style="thin">
          <color auto="1"/>
        </left>
        <right style="medium">
          <color indexed="64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family val="2"/>
        <scheme val="none"/>
      </font>
      <numFmt numFmtId="0" formatCode="General"/>
      <fill>
        <patternFill patternType="none">
          <fgColor indexed="64"/>
          <bgColor auto="1"/>
        </patternFill>
      </fill>
      <alignment horizontal="general" vertical="bottom" textRotation="0" wrapText="0" indent="0" justifyLastLine="0" shrinkToFit="0" readingOrder="0"/>
      <border diagonalUp="0" diagonalDown="0">
        <left style="medium">
          <color indexed="64"/>
        </left>
        <right style="thin">
          <color auto="1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border>
        <top style="thin">
          <color auto="1"/>
        </top>
      </border>
    </dxf>
    <dxf>
      <border diagonalUp="0" diagonalDown="0">
        <left style="medium">
          <color indexed="64"/>
        </left>
        <right style="medium">
          <color indexed="64"/>
        </right>
        <top style="medium">
          <color indexed="64"/>
        </top>
        <bottom style="medium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border>
        <bottom style="thin">
          <color auto="1"/>
        </bottom>
      </border>
    </dxf>
    <dxf>
      <border diagonalUp="0" diagonalDown="0">
        <left style="thin">
          <color auto="1"/>
        </left>
        <right style="thin">
          <color auto="1"/>
        </right>
        <top/>
        <bottom/>
        <vertical style="thin">
          <color auto="1"/>
        </vertical>
        <horizontal style="thin">
          <color auto="1"/>
        </horizontal>
      </border>
    </dxf>
    <dxf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auto="1"/>
        </top>
        <bottom style="thin">
          <color auto="1"/>
        </bottom>
      </border>
    </dxf>
    <dxf>
      <border>
        <top style="thin">
          <color auto="1"/>
        </top>
      </border>
    </dxf>
    <dxf>
      <border diagonalUp="0" diagonalDown="0">
        <left style="medium">
          <color indexed="64"/>
        </left>
        <right style="medium">
          <color indexed="64"/>
        </right>
        <top style="medium">
          <color indexed="64"/>
        </top>
        <bottom style="medium">
          <color indexed="64"/>
        </bottom>
      </border>
    </dxf>
    <dxf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border>
        <bottom style="medium">
          <color indexed="64"/>
        </bottom>
      </border>
    </dxf>
    <dxf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numFmt numFmtId="166" formatCode="[$$-409]#,##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auto="1"/>
        </left>
        <right/>
        <top style="thin">
          <color auto="1"/>
        </top>
        <bottom style="thin">
          <color auto="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numFmt numFmtId="0" formatCode="General"/>
      <fill>
        <patternFill patternType="none">
          <fgColor indexed="64"/>
          <bgColor indexed="65"/>
        </patternFill>
      </fill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/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none">
          <fgColor indexed="64"/>
          <bgColor auto="1"/>
        </patternFill>
      </fill>
      <border diagonalUp="0" diagonalDown="0" outline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none">
          <fgColor indexed="64"/>
          <bgColor auto="1"/>
        </patternFill>
      </fill>
      <border diagonalUp="0" diagonalDown="0" outline="0">
        <left/>
        <right style="thin">
          <color auto="1"/>
        </right>
        <top style="thin">
          <color auto="1"/>
        </top>
        <bottom style="thin">
          <color auto="1"/>
        </bottom>
      </border>
    </dxf>
    <dxf>
      <border diagonalUp="0" diagonalDown="0">
        <left style="medium">
          <color indexed="64"/>
        </left>
        <right style="medium">
          <color indexed="64"/>
        </right>
        <top style="medium">
          <color indexed="64"/>
        </top>
        <bottom style="medium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border>
        <bottom style="medium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/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 style="medium">
          <color indexed="64"/>
        </right>
        <top style="thin">
          <color auto="1"/>
        </top>
        <bottom style="thin">
          <color auto="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auto="1"/>
        </left>
        <right/>
        <top style="thin">
          <color auto="1"/>
        </top>
        <bottom style="thin">
          <color auto="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FFC00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FFC00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>
        <left style="medium">
          <color indexed="64"/>
        </left>
        <right style="thin">
          <color auto="1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border outline="0">
        <top style="thin">
          <color indexed="64"/>
        </top>
      </border>
    </dxf>
    <dxf>
      <border outline="0">
        <left style="medium">
          <color indexed="64"/>
        </left>
        <right style="thin">
          <color indexed="64"/>
        </right>
        <top style="medium">
          <color indexed="64"/>
        </top>
        <bottom style="medium">
          <color indexed="64"/>
        </bottom>
      </border>
    </dxf>
    <dxf>
      <fill>
        <patternFill patternType="none">
          <fgColor indexed="64"/>
          <bgColor auto="1"/>
        </patternFill>
      </fill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auto="1"/>
        </left>
        <right style="medium">
          <color indexed="64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FFC00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FFC00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>
        <left style="medium">
          <color indexed="64"/>
        </left>
        <right style="thin">
          <color auto="1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border outline="0">
        <top style="thin">
          <color indexed="64"/>
        </top>
      </border>
    </dxf>
    <dxf>
      <border outline="0">
        <left style="medium">
          <color indexed="64"/>
        </left>
        <right style="thin">
          <color indexed="64"/>
        </right>
        <top style="medium">
          <color indexed="64"/>
        </top>
        <bottom style="medium">
          <color indexed="64"/>
        </bottom>
      </border>
    </dxf>
    <dxf>
      <fill>
        <patternFill patternType="none">
          <fgColor indexed="64"/>
          <bgColor auto="1"/>
        </patternFill>
      </fill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auto="1"/>
        </left>
        <right style="medium">
          <color indexed="64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FFC00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FFC00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>
        <left style="medium">
          <color indexed="64"/>
        </left>
        <right style="thin">
          <color auto="1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border outline="0">
        <top style="thin">
          <color indexed="64"/>
        </top>
      </border>
    </dxf>
    <dxf>
      <border outline="0">
        <left style="medium">
          <color indexed="64"/>
        </left>
        <right style="thin">
          <color indexed="64"/>
        </right>
        <top style="medium">
          <color indexed="64"/>
        </top>
        <bottom style="medium">
          <color indexed="64"/>
        </bottom>
      </border>
    </dxf>
    <dxf>
      <fill>
        <patternFill patternType="none">
          <fgColor indexed="64"/>
          <bgColor auto="1"/>
        </patternFill>
      </fill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alignment horizontal="center" vertical="bottom" textRotation="0" wrapText="0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 style="thin">
          <color auto="1"/>
        </top>
        <bottom/>
      </border>
    </dxf>
    <dxf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alignment horizontal="center" vertical="bottom" textRotation="0" wrapText="0" indent="0" justifyLastLine="0" shrinkToFit="0" readingOrder="0"/>
      <border diagonalUp="0" diagonalDown="0" outline="0">
        <left style="thin">
          <color auto="1"/>
        </left>
        <right/>
        <top style="thin">
          <color auto="1"/>
        </top>
        <bottom/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/>
        <top style="thin">
          <color indexed="64"/>
        </top>
        <bottom style="thin">
          <color indexed="64"/>
        </bottom>
      </border>
    </dxf>
    <dxf>
      <alignment horizontal="center" vertical="bottom" textRotation="0" wrapText="0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 style="thin">
          <color auto="1"/>
        </top>
        <bottom/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alignment horizontal="center" vertical="bottom" textRotation="0" wrapText="0" indent="0" justifyLastLine="0" shrinkToFit="0" readingOrder="0"/>
      <border diagonalUp="0" diagonalDown="0" outline="0">
        <left/>
        <right style="thin">
          <color auto="1"/>
        </right>
        <top style="thin">
          <color auto="1"/>
        </top>
        <bottom/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>
        <top style="thin">
          <color indexed="64"/>
        </top>
        <vertical/>
        <horizontal/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auto="1"/>
        </patternFill>
      </fill>
    </dxf>
    <dxf>
      <border>
        <bottom style="thin">
          <color indexed="64"/>
        </bottom>
        <vertical/>
        <horizontal/>
      </border>
    </dxf>
    <dxf>
      <fill>
        <patternFill patternType="none">
          <fgColor indexed="64"/>
          <bgColor auto="1"/>
        </patternFill>
      </fill>
      <border diagonalUp="0" diagonalDown="0">
        <left style="thin">
          <color indexed="64"/>
        </left>
        <right style="thin">
          <color indexed="64"/>
        </right>
        <top/>
        <bottom/>
      </border>
    </dxf>
    <dxf>
      <font>
        <b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medium">
          <color indexed="64"/>
        </left>
        <right style="medium">
          <color indexed="64"/>
        </right>
        <top/>
        <bottom/>
        <vertical/>
        <horizontal/>
      </border>
    </dxf>
    <dxf>
      <border outline="0">
        <left style="thin">
          <color indexed="64"/>
        </left>
      </border>
    </dxf>
    <dxf>
      <font>
        <b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medium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scheme val="none"/>
      </font>
      <fill>
        <patternFill patternType="none">
          <fgColor indexed="64"/>
          <bgColor indexed="65"/>
        </patternFill>
      </fill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scheme val="none"/>
      </font>
      <fill>
        <patternFill patternType="none">
          <fgColor indexed="64"/>
          <bgColor indexed="65"/>
        </patternFill>
      </fill>
      <border diagonalUp="0" diagonalDown="0">
        <left style="medium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 outline="0">
        <left style="medium">
          <color indexed="64"/>
        </left>
      </border>
    </dxf>
    <dxf>
      <font>
        <b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border outline="0">
        <left style="thin">
          <color indexed="64"/>
        </left>
      </border>
    </dxf>
    <dxf>
      <font>
        <b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medium">
          <color indexed="64"/>
        </left>
        <right style="medium">
          <color indexed="64"/>
        </right>
        <top style="medium">
          <color auto="1"/>
        </top>
        <bottom style="medium">
          <color auto="1"/>
        </bottom>
        <vertical/>
        <horizontal style="medium">
          <color auto="1"/>
        </horizontal>
      </border>
    </dxf>
    <dxf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 style="medium">
          <color indexed="64"/>
        </left>
        <right/>
        <top/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scheme val="none"/>
      </font>
      <fill>
        <patternFill patternType="none">
          <fgColor indexed="64"/>
          <bgColor indexed="65"/>
        </patternFill>
      </fill>
      <border diagonalUp="0" diagonalDown="0">
        <left style="thin">
          <color indexed="64"/>
        </left>
        <right/>
        <top style="thin">
          <color indexed="64"/>
        </top>
        <bottom style="thin">
          <color indexed="64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scheme val="none"/>
      </font>
      <fill>
        <patternFill patternType="none">
          <fgColor indexed="64"/>
          <bgColor indexed="65"/>
        </patternFill>
      </fill>
      <border diagonalUp="0" diagonalDown="0">
        <left/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</dxf>
    <dxf>
      <border outline="0">
        <left style="medium">
          <color indexed="64"/>
        </left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border diagonalUp="0" diagonalDown="0">
        <left style="medium">
          <color indexed="64"/>
        </left>
        <right style="medium">
          <color indexed="64"/>
        </right>
        <top style="medium">
          <color indexed="64"/>
        </top>
        <bottom style="medium">
          <color indexed="64"/>
        </bottom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ill>
        <patternFill patternType="none">
          <fgColor indexed="64"/>
          <bgColor indexed="65"/>
        </patternFill>
      </fill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alignment horizontal="center" vertical="bottom" textRotation="0" wrapText="0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 style="thin">
          <color auto="1"/>
        </top>
        <bottom/>
      </border>
    </dxf>
    <dxf>
      <font>
        <b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alignment horizontal="center" vertical="bottom" textRotation="0" wrapText="0" indent="0" justifyLastLine="0" shrinkToFit="0" readingOrder="0"/>
      <border diagonalUp="0" diagonalDown="0" outline="0">
        <left style="medium">
          <color auto="1"/>
        </left>
        <right style="thin">
          <color auto="1"/>
        </right>
        <top style="thin">
          <color auto="1"/>
        </top>
        <bottom/>
      </border>
    </dxf>
    <dxf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auto="1"/>
        </left>
        <right style="thin">
          <color auto="1"/>
        </right>
        <top style="medium">
          <color auto="1"/>
        </top>
        <bottom style="thin">
          <color auto="1"/>
        </bottom>
        <vertical/>
        <horizontal/>
      </border>
    </dxf>
    <dxf>
      <alignment horizontal="center" vertical="bottom" textRotation="0" wrapText="0" indent="0" justifyLastLine="0" shrinkToFit="0" readingOrder="0"/>
      <border diagonalUp="0" diagonalDown="0" outline="0">
        <left style="medium">
          <color auto="1"/>
        </left>
        <right style="thin">
          <color auto="1"/>
        </right>
        <top style="thin">
          <color auto="1"/>
        </top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family val="2"/>
        <scheme val="none"/>
      </font>
      <border diagonalUp="0" diagonalDown="0" outline="0">
        <left style="thin">
          <color auto="1"/>
        </left>
        <right/>
        <top style="thin">
          <color auto="1"/>
        </top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scheme val="none"/>
      </font>
      <fill>
        <patternFill patternType="none">
          <fgColor indexed="64"/>
          <bgColor indexed="65"/>
        </patternFill>
      </fill>
      <border diagonalUp="0" diagonalDown="0">
        <left style="thin">
          <color indexed="64"/>
        </left>
        <right/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family val="2"/>
        <scheme val="none"/>
      </font>
      <border diagonalUp="0" diagonalDown="0" outline="0">
        <left/>
        <right style="thin">
          <color auto="1"/>
        </right>
        <top style="thin">
          <color auto="1"/>
        </top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scheme val="none"/>
      </font>
      <fill>
        <patternFill patternType="none">
          <fgColor indexed="64"/>
          <bgColor indexed="65"/>
        </patternFill>
      </fill>
      <border diagonalUp="0" diagonalDown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 diagonalUp="0" diagonalDown="0">
        <left style="medium">
          <color indexed="64"/>
        </left>
        <right style="medium">
          <color indexed="64"/>
        </right>
        <top style="medium">
          <color indexed="64"/>
        </top>
        <bottom style="medium">
          <color indexed="64"/>
        </bottom>
      </border>
    </dxf>
    <dxf>
      <fill>
        <patternFill patternType="none">
          <fgColor indexed="64"/>
          <bgColor indexed="65"/>
        </patternFill>
      </fill>
    </dxf>
    <dxf>
      <fill>
        <patternFill patternType="none">
          <fgColor indexed="64"/>
          <bgColor indexed="65"/>
        </patternFill>
      </fill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numFmt numFmtId="1" formatCode="0"/>
      <alignment horizontal="center" vertical="bottom" textRotation="0" wrapText="0" indent="0" justifyLastLine="0" shrinkToFit="0" readingOrder="0"/>
      <border diagonalUp="0" diagonalDown="0" outline="0">
        <left style="thin">
          <color auto="1"/>
        </left>
        <right style="medium">
          <color auto="1"/>
        </right>
        <top style="medium">
          <color auto="1"/>
        </top>
        <bottom style="medium">
          <color auto="1"/>
        </bottom>
      </border>
    </dxf>
    <dxf>
      <font>
        <b/>
      </font>
      <numFmt numFmtId="1" formatCode="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alignment horizontal="center" vertical="bottom" textRotation="0" wrapText="0" indent="0" justifyLastLine="0" shrinkToFit="0" readingOrder="0"/>
      <border diagonalUp="0" diagonalDown="0" outline="0">
        <left style="thin">
          <color auto="1"/>
        </left>
        <right/>
        <top style="medium">
          <color auto="1"/>
        </top>
        <bottom style="medium">
          <color auto="1"/>
        </bottom>
      </border>
    </dxf>
    <dxf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/>
        <top style="thin">
          <color indexed="64"/>
        </top>
        <bottom style="thin">
          <color indexed="64"/>
        </bottom>
      </border>
    </dxf>
    <dxf>
      <alignment horizontal="center" vertical="bottom" textRotation="0" wrapText="0" indent="0" justifyLastLine="0" shrinkToFit="0" readingOrder="0"/>
      <border diagonalUp="0" diagonalDown="0" outline="0">
        <left style="medium">
          <color auto="1"/>
        </left>
        <right style="thin">
          <color auto="1"/>
        </right>
        <top style="medium">
          <color auto="1"/>
        </top>
        <bottom style="medium">
          <color auto="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family val="2"/>
        <scheme val="none"/>
      </font>
      <border diagonalUp="0" diagonalDown="0" outline="0">
        <left style="thin">
          <color auto="1"/>
        </left>
        <right/>
        <top style="medium">
          <color auto="1"/>
        </top>
        <bottom style="medium">
          <color auto="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scheme val="none"/>
      </font>
      <fill>
        <patternFill patternType="none">
          <fgColor indexed="64"/>
          <bgColor indexed="65"/>
        </patternFill>
      </fill>
      <border diagonalUp="0" diagonalDown="0">
        <left style="thin">
          <color indexed="64"/>
        </left>
        <right/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family val="2"/>
        <scheme val="none"/>
      </font>
      <border diagonalUp="0" diagonalDown="0" outline="0">
        <left style="medium">
          <color auto="1"/>
        </left>
        <right style="thin">
          <color auto="1"/>
        </right>
        <top style="medium">
          <color auto="1"/>
        </top>
        <bottom style="medium">
          <color auto="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scheme val="none"/>
      </font>
      <fill>
        <patternFill patternType="none">
          <fgColor indexed="64"/>
          <bgColor indexed="65"/>
        </patternFill>
      </fill>
      <border diagonalUp="0" diagonalDown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>
        <top style="medium">
          <color indexed="64"/>
        </top>
        <vertical/>
        <horizontal/>
      </border>
    </dxf>
    <dxf>
      <border diagonalUp="0" diagonalDown="0">
        <left style="thin">
          <color auto="1"/>
        </left>
        <right style="thin">
          <color auto="1"/>
        </right>
        <top/>
        <bottom/>
        <vertical style="thin">
          <color auto="1"/>
        </vertical>
        <horizontal/>
      </border>
    </dxf>
    <dxf>
      <border diagonalUp="0" diagonalDown="0">
        <left style="medium">
          <color indexed="64"/>
        </left>
        <right style="medium">
          <color indexed="64"/>
        </right>
        <top style="medium">
          <color indexed="64"/>
        </top>
        <bottom style="medium">
          <color indexed="64"/>
        </bottom>
      </border>
    </dxf>
    <dxf>
      <fill>
        <patternFill patternType="none">
          <fgColor indexed="64"/>
          <bgColor indexed="65"/>
        </patternFill>
      </fill>
    </dxf>
    <dxf>
      <fill>
        <patternFill patternType="none">
          <fgColor indexed="64"/>
          <bgColor indexed="65"/>
        </patternFill>
      </fill>
    </dxf>
    <dxf>
      <fill>
        <patternFill patternType="solid">
          <fgColor indexed="64"/>
          <bgColor rgb="FF92D050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</dxf>
    <dxf>
      <border>
        <top style="thin">
          <color indexed="64"/>
        </top>
      </border>
    </dxf>
    <dxf>
      <fill>
        <patternFill patternType="solid">
          <fgColor indexed="64"/>
          <bgColor rgb="FF92D050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/>
        <vertical style="thin">
          <color indexed="64"/>
        </vertical>
        <horizontal style="thin">
          <color indexed="64"/>
        </horizontal>
      </border>
    </dxf>
    <dxf>
      <border outline="0">
        <top style="medium">
          <color indexed="64"/>
        </top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solid">
          <fgColor theme="1"/>
          <bgColor theme="1"/>
        </patternFill>
      </fill>
      <alignment horizontal="center" vertical="bottom" textRotation="0" wrapText="0" relativeIndent="0" justifyLastLine="0" shrinkToFit="0" readingOrder="0"/>
    </dxf>
    <dxf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auto="1"/>
        </top>
        <bottom/>
      </border>
    </dxf>
    <dxf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/>
        <right/>
        <top style="thin">
          <color indexed="64"/>
        </top>
        <bottom style="thin">
          <color indexed="64"/>
        </bottom>
      </border>
    </dxf>
    <dxf>
      <border outline="0">
        <top style="thin">
          <color indexed="64"/>
        </top>
      </border>
    </dxf>
    <dxf>
      <border outline="0">
        <left style="medium">
          <color indexed="64"/>
        </left>
        <right style="medium">
          <color indexed="64"/>
        </right>
        <top style="medium">
          <color indexed="64"/>
        </top>
        <bottom style="medium">
          <color indexed="64"/>
        </bottom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border outline="0">
        <bottom style="thin">
          <color indexed="64"/>
        </bottom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auto="1"/>
        </top>
        <bottom/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>
        <left/>
        <right/>
        <top style="thin">
          <color indexed="64"/>
        </top>
        <bottom style="thin">
          <color indexed="64"/>
        </bottom>
      </border>
    </dxf>
    <dxf>
      <border>
        <top style="thin">
          <color indexed="64"/>
        </top>
        <vertical/>
        <horizontal/>
      </border>
    </dxf>
    <dxf>
      <border diagonalUp="0" diagonalDown="0">
        <left style="medium">
          <color indexed="64"/>
        </left>
        <right style="medium">
          <color indexed="64"/>
        </right>
        <top style="medium">
          <color indexed="64"/>
        </top>
        <bottom style="medium">
          <color indexed="64"/>
        </bottom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</dxf>
    <dxf>
      <border>
        <bottom style="thin">
          <color indexed="64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/>
      </border>
    </dxf>
    <dxf>
      <font>
        <b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medium">
          <color indexed="64"/>
        </left>
        <right style="medium">
          <color indexed="64"/>
        </right>
        <top style="thin">
          <color indexed="64"/>
        </top>
        <bottom style="thin">
          <color indexed="64"/>
        </bottom>
        <vertical/>
      </border>
    </dxf>
    <dxf>
      <border>
        <top style="thin">
          <color indexed="64"/>
        </top>
        <vertical/>
        <horizontal/>
      </border>
    </dxf>
    <dxf>
      <border diagonalUp="0" diagonalDown="0">
        <left style="medium">
          <color indexed="64"/>
        </left>
        <right style="medium">
          <color indexed="64"/>
        </right>
        <top style="medium">
          <color indexed="64"/>
        </top>
        <bottom style="medium">
          <color indexed="64"/>
        </bottom>
      </border>
    </dxf>
    <dxf>
      <font>
        <b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border>
        <bottom style="thin">
          <color indexed="64"/>
        </bottom>
        <vertical/>
        <horizontal/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family val="2"/>
        <scheme val="minor"/>
      </font>
      <fill>
        <patternFill patternType="solid">
          <fgColor theme="1" tint="0.44999542222357858"/>
          <bgColor theme="1" tint="0.44999542222357858"/>
        </patternFill>
      </fill>
      <alignment horizontal="center" vertical="bottom" textRotation="0" wrapText="0" indent="0" justifyLastLine="0" shrinkToFit="0" readingOrder="0"/>
      <border diagonalUp="0" diagonalDown="0" outline="0">
        <left style="medium">
          <color auto="1"/>
        </left>
        <right style="medium">
          <color auto="1"/>
        </right>
        <top/>
        <bottom style="medium">
          <color auto="1"/>
        </bottom>
      </border>
    </dxf>
    <dxf>
      <fill>
        <patternFill patternType="solid">
          <fgColor indexed="64"/>
          <bgColor rgb="FFC00000"/>
        </patternFill>
      </fill>
      <alignment horizontal="center" vertical="bottom" textRotation="0" wrapText="0" indent="0" justifyLastLine="0" shrinkToFit="0" readingOrder="0"/>
      <border diagonalUp="0" diagonalDown="0">
        <left style="medium">
          <color indexed="64"/>
        </left>
        <right style="medium">
          <color indexed="64"/>
        </right>
        <top/>
        <bottom/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family val="2"/>
        <scheme val="minor"/>
      </font>
      <fill>
        <patternFill patternType="solid">
          <fgColor theme="1" tint="0.44999542222357858"/>
          <bgColor theme="1" tint="0.44999542222357858"/>
        </patternFill>
      </fill>
      <alignment horizontal="center" vertical="bottom" textRotation="0" wrapText="0" indent="0" justifyLastLine="0" shrinkToFit="0" readingOrder="0"/>
    </dxf>
    <dxf>
      <fill>
        <patternFill patternType="solid">
          <fgColor indexed="64"/>
          <bgColor rgb="FFC00000"/>
        </patternFill>
      </fill>
      <alignment horizontal="center" vertical="bottom" textRotation="0" wrapText="0" indent="0" justifyLastLine="0" shrinkToFit="0" readingOrder="0"/>
    </dxf>
    <dxf>
      <fill>
        <patternFill patternType="solid">
          <fgColor indexed="64"/>
          <bgColor rgb="FFC00000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relativeIndent="0" justifyLastLine="0" shrinkToFit="0" readingOrder="0"/>
      <border diagonalUp="0" diagonalDown="0" outline="0">
        <left style="thin">
          <color auto="1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relativeIndent="0" justifyLastLine="0" shrinkToFit="0" readingOrder="0"/>
      <border diagonalUp="0" diagonalDown="0" outline="0">
        <left style="thin">
          <color auto="1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relative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relative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relative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relative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auto="1"/>
        </patternFill>
      </fill>
      <alignment horizontal="center" vertical="bottom" textRotation="0" wrapText="0" relative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auto="1"/>
        </patternFill>
      </fill>
      <alignment horizontal="center" vertical="bottom" textRotation="0" wrapText="0" relative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auto="1"/>
        </patternFill>
      </fill>
      <alignment horizontal="center" vertical="bottom" textRotation="0" wrapText="0" relative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auto="1"/>
        </patternFill>
      </fill>
      <alignment horizontal="center" vertical="bottom" textRotation="0" wrapText="0" relativeIndent="0" justifyLastLine="0" shrinkToFit="0" readingOrder="0"/>
      <border diagonalUp="0" diagonalDown="0" outline="0">
        <left style="thin">
          <color indexed="64"/>
        </left>
        <right style="thin">
          <color auto="1"/>
        </right>
        <top style="thin">
          <color indexed="64"/>
        </top>
        <bottom style="thin">
          <color indexed="64"/>
        </bottom>
      </border>
    </dxf>
    <dxf>
      <border outline="0">
        <top style="medium">
          <color indexed="64"/>
        </top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relativeIndent="0" justifyLastLine="0" shrinkToFit="0" readingOrder="0"/>
    </dxf>
    <dxf>
      <border outline="0">
        <bottom style="medium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solid">
          <fgColor theme="1"/>
          <bgColor theme="1"/>
        </patternFill>
      </fill>
      <alignment horizontal="center" vertical="bottom" textRotation="0" wrapText="0" relativeIndent="0" justifyLastLine="0" shrinkToFit="0" readingOrder="0"/>
    </dxf>
    <dxf>
      <font>
        <b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 outline="0">
        <bottom style="thin">
          <color indexed="64"/>
        </bottom>
      </border>
    </dxf>
    <dxf>
      <font>
        <b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/>
    </dxf>
    <dxf>
      <border>
        <bottom style="medium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solid">
          <fgColor indexed="64"/>
          <bgColor theme="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 style="thin">
          <color auto="1"/>
        </top>
        <bottom/>
      </border>
    </dxf>
    <dxf>
      <font>
        <b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 outline="0">
        <bottom style="thin">
          <color indexed="64"/>
        </bottom>
      </border>
    </dxf>
    <dxf>
      <font>
        <b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/>
    </dxf>
    <dxf>
      <border>
        <bottom style="medium">
          <color indexed="64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solid">
          <fgColor indexed="64"/>
          <bgColor theme="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numFmt numFmtId="0" formatCode="General"/>
      <fill>
        <patternFill patternType="solid">
          <fgColor indexed="64"/>
          <bgColor rgb="FFFFC000"/>
        </patternFill>
      </fill>
      <alignment horizontal="center" vertical="bottom" textRotation="0" wrapText="0" indent="0" justifyLastLine="0" shrinkToFit="0" readingOrder="0"/>
      <border diagonalUp="0" diagonalDown="0">
        <left/>
        <right/>
        <top/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auto="1"/>
        </left>
        <right style="medium">
          <color indexed="64"/>
        </right>
        <top style="thin">
          <color indexed="64"/>
        </top>
        <bottom style="thin">
          <color indexed="64"/>
        </bottom>
        <vertical style="thin">
          <color auto="1"/>
        </vertic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relativeIndent="0" justifyLastLine="0" shrinkToFit="0" readingOrder="0"/>
      <border diagonalUp="0" diagonalDown="0">
        <left style="thin">
          <color auto="1"/>
        </left>
        <right style="thin">
          <color auto="1"/>
        </right>
        <top style="thin">
          <color indexed="64"/>
        </top>
        <bottom style="thin">
          <color indexed="64"/>
        </bottom>
        <vertical style="thin">
          <color auto="1"/>
        </vertical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auto="1"/>
        </left>
        <right style="thin">
          <color auto="1"/>
        </right>
        <top style="thin">
          <color indexed="64"/>
        </top>
        <bottom style="thin">
          <color indexed="64"/>
        </bottom>
        <vertical style="thin">
          <color auto="1"/>
        </vertic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auto="1"/>
        </left>
        <right style="thin">
          <color auto="1"/>
        </right>
        <top style="thin">
          <color indexed="64"/>
        </top>
        <bottom style="thin">
          <color indexed="64"/>
        </bottom>
        <vertical style="thin">
          <color auto="1"/>
        </vertic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auto="1"/>
        </left>
        <right style="thin">
          <color auto="1"/>
        </right>
        <top style="thin">
          <color indexed="64"/>
        </top>
        <bottom style="thin">
          <color indexed="64"/>
        </bottom>
        <vertical style="thin">
          <color auto="1"/>
        </vertic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auto="1"/>
        </left>
        <right style="thin">
          <color auto="1"/>
        </right>
        <top style="thin">
          <color indexed="64"/>
        </top>
        <bottom style="thin">
          <color indexed="64"/>
        </bottom>
        <vertical style="thin">
          <color auto="1"/>
        </vertic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auto="1"/>
        </left>
        <right style="thin">
          <color auto="1"/>
        </right>
        <top style="thin">
          <color indexed="64"/>
        </top>
        <bottom style="thin">
          <color indexed="64"/>
        </bottom>
        <vertical style="thin">
          <color auto="1"/>
        </vertic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auto="1"/>
        </left>
        <right style="thin">
          <color auto="1"/>
        </right>
        <top style="thin">
          <color indexed="64"/>
        </top>
        <bottom style="thin">
          <color indexed="64"/>
        </bottom>
        <vertical style="thin">
          <color auto="1"/>
        </vertic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auto="1"/>
        </left>
        <right style="thin">
          <color auto="1"/>
        </right>
        <top style="thin">
          <color indexed="64"/>
        </top>
        <bottom style="thin">
          <color indexed="64"/>
        </bottom>
        <vertical style="thin">
          <color auto="1"/>
        </vertic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medium">
          <color indexed="64"/>
        </left>
        <right style="thin">
          <color auto="1"/>
        </right>
        <top style="thin">
          <color indexed="64"/>
        </top>
        <bottom style="thin">
          <color indexed="64"/>
        </bottom>
        <vertical style="thin">
          <color auto="1"/>
        </vertical>
      </border>
    </dxf>
    <dxf>
      <border outline="0">
        <right style="medium">
          <color indexed="64"/>
        </right>
        <top style="medium">
          <color indexed="64"/>
        </top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 style="medium">
          <color indexed="64"/>
        </left>
        <right style="medium">
          <color indexed="64"/>
        </right>
        <top/>
        <bottom/>
      </border>
    </dxf>
    <dxf>
      <fill>
        <patternFill patternType="solid">
          <fgColor indexed="64"/>
          <bgColor rgb="FFC00000"/>
        </patternFill>
      </fill>
    </dxf>
    <dxf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ill>
        <patternFill patternType="none">
          <fgColor indexed="64"/>
          <bgColor indexed="65"/>
        </patternFill>
      </fill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</dxf>
    <dxf>
      <fill>
        <patternFill patternType="none">
          <fgColor indexed="64"/>
          <bgColor indexed="65"/>
        </patternFill>
      </fill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indexed="65"/>
        </patternFill>
      </fill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indexed="65"/>
        </patternFill>
      </fill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indexed="65"/>
        </patternFill>
      </fill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indexed="65"/>
        </patternFill>
      </fill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numFmt numFmtId="0" formatCode="General"/>
      <fill>
        <patternFill patternType="none">
          <fgColor indexed="64"/>
          <bgColor auto="1"/>
        </patternFill>
      </fill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auto="1"/>
        </patternFill>
      </fill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auto="1"/>
        </patternFill>
      </fill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/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 outline="0">
        <top style="thin">
          <color indexed="64"/>
        </top>
      </border>
    </dxf>
    <dxf>
      <border outline="0">
        <left style="medium">
          <color indexed="64"/>
        </left>
        <right style="medium">
          <color indexed="64"/>
        </right>
        <top style="medium">
          <color indexed="64"/>
        </top>
        <bottom style="medium">
          <color indexed="64"/>
        </bottom>
      </border>
    </dxf>
    <dxf>
      <fill>
        <patternFill patternType="none">
          <fgColor indexed="64"/>
          <bgColor auto="1"/>
        </patternFill>
      </fill>
    </dxf>
    <dxf>
      <border outline="0"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scheme val="none"/>
      </font>
      <fill>
        <patternFill patternType="none">
          <fgColor indexed="64"/>
          <bgColor indexed="65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/>
      </border>
    </dxf>
  </dxfs>
  <tableStyles count="0" defaultTableStyle="TableStyleMedium9" defaultPivotStyle="PivotStyleLight16"/>
  <colors>
    <mruColors>
      <color rgb="FFFF66CC"/>
      <color rgb="FFA8ED85"/>
      <color rgb="FFCC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jpg"/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11.xml.rels><?xml version="1.0" encoding="UTF-8" standalone="yes"?>
<Relationships xmlns="http://schemas.openxmlformats.org/package/2006/relationships"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12.xml.rels><?xml version="1.0" encoding="UTF-8" standalone="yes"?>
<Relationships xmlns="http://schemas.openxmlformats.org/package/2006/relationships"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13.xml.rels><?xml version="1.0" encoding="UTF-8" standalone="yes"?>
<Relationships xmlns="http://schemas.openxmlformats.org/package/2006/relationships"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14.xml.rels><?xml version="1.0" encoding="UTF-8" standalone="yes"?>
<Relationships xmlns="http://schemas.openxmlformats.org/package/2006/relationships"><Relationship Id="rId2" Type="http://schemas.microsoft.com/office/2011/relationships/chartColorStyle" Target="colors14.xml"/><Relationship Id="rId1" Type="http://schemas.microsoft.com/office/2011/relationships/chartStyle" Target="style14.xml"/></Relationships>
</file>

<file path=xl/charts/_rels/chart15.xml.rels><?xml version="1.0" encoding="UTF-8" standalone="yes"?>
<Relationships xmlns="http://schemas.openxmlformats.org/package/2006/relationships"><Relationship Id="rId2" Type="http://schemas.microsoft.com/office/2011/relationships/chartColorStyle" Target="colors15.xml"/><Relationship Id="rId1" Type="http://schemas.microsoft.com/office/2011/relationships/chartStyle" Target="style15.xml"/></Relationships>
</file>

<file path=xl/charts/_rels/chart16.xml.rels><?xml version="1.0" encoding="UTF-8" standalone="yes"?>
<Relationships xmlns="http://schemas.openxmlformats.org/package/2006/relationships"><Relationship Id="rId2" Type="http://schemas.microsoft.com/office/2011/relationships/chartColorStyle" Target="colors16.xml"/><Relationship Id="rId1" Type="http://schemas.microsoft.com/office/2011/relationships/chartStyle" Target="style16.xml"/></Relationships>
</file>

<file path=xl/charts/_rels/chart17.xml.rels><?xml version="1.0" encoding="UTF-8" standalone="yes"?>
<Relationships xmlns="http://schemas.openxmlformats.org/package/2006/relationships"><Relationship Id="rId2" Type="http://schemas.microsoft.com/office/2011/relationships/chartColorStyle" Target="colors17.xml"/><Relationship Id="rId1" Type="http://schemas.microsoft.com/office/2011/relationships/chartStyle" Target="style17.xml"/></Relationships>
</file>

<file path=xl/charts/_rels/chart18.xml.rels><?xml version="1.0" encoding="UTF-8" standalone="yes"?>
<Relationships xmlns="http://schemas.openxmlformats.org/package/2006/relationships"><Relationship Id="rId2" Type="http://schemas.microsoft.com/office/2011/relationships/chartColorStyle" Target="colors18.xml"/><Relationship Id="rId1" Type="http://schemas.microsoft.com/office/2011/relationships/chartStyle" Target="style18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v-S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800" b="1" i="0" u="none" strike="noStrike" kern="1200" baseline="0">
                <a:solidFill>
                  <a:schemeClr val="dk1">
                    <a:lumMod val="75000"/>
                    <a:lumOff val="2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sv-SE"/>
              <a:t>Bruttoavvikelse</a:t>
            </a:r>
            <a:r>
              <a:rPr lang="sv-SE" baseline="0"/>
              <a:t> 2023</a:t>
            </a:r>
            <a:endParaRPr lang="sv-SE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dk1">
                  <a:lumMod val="75000"/>
                  <a:lumOff val="25000"/>
                </a:schemeClr>
              </a:solidFill>
              <a:latin typeface="+mn-lt"/>
              <a:ea typeface="+mn-ea"/>
              <a:cs typeface="+mn-cs"/>
            </a:defRPr>
          </a:pPr>
          <a:endParaRPr lang="sv-SE"/>
        </a:p>
      </c:txPr>
    </c:title>
    <c:autoTitleDeleted val="0"/>
    <c:plotArea>
      <c:layout/>
      <c:lineChart>
        <c:grouping val="standard"/>
        <c:varyColors val="0"/>
        <c:ser>
          <c:idx val="0"/>
          <c:order val="0"/>
          <c:spPr>
            <a:ln w="317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1"/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'Bästa Brutto &amp; Netto'!$C$4:$C$19</c:f>
              <c:strCache>
                <c:ptCount val="16"/>
                <c:pt idx="0">
                  <c:v>Thorvaldsson</c:v>
                </c:pt>
                <c:pt idx="1">
                  <c:v>Nilsson</c:v>
                </c:pt>
                <c:pt idx="2">
                  <c:v>Bengtsson</c:v>
                </c:pt>
                <c:pt idx="3">
                  <c:v>B Johansson</c:v>
                </c:pt>
                <c:pt idx="4">
                  <c:v>Åberg</c:v>
                </c:pt>
                <c:pt idx="5">
                  <c:v>Backe</c:v>
                </c:pt>
                <c:pt idx="6">
                  <c:v>Simonsson</c:v>
                </c:pt>
                <c:pt idx="7">
                  <c:v>Källström</c:v>
                </c:pt>
                <c:pt idx="8">
                  <c:v>Larsson</c:v>
                </c:pt>
                <c:pt idx="9">
                  <c:v>Svensson</c:v>
                </c:pt>
                <c:pt idx="10">
                  <c:v>Ljung</c:v>
                </c:pt>
                <c:pt idx="11">
                  <c:v>Stranddahl</c:v>
                </c:pt>
                <c:pt idx="12">
                  <c:v>L Johansson</c:v>
                </c:pt>
                <c:pt idx="13">
                  <c:v>Söder</c:v>
                </c:pt>
                <c:pt idx="14">
                  <c:v>Glyssbo</c:v>
                </c:pt>
                <c:pt idx="15">
                  <c:v>K Johansson</c:v>
                </c:pt>
              </c:strCache>
            </c:strRef>
          </c:cat>
          <c:val>
            <c:numRef>
              <c:f>'Bästa Brutto &amp; Netto'!$D$4:$D$19</c:f>
              <c:numCache>
                <c:formatCode>General</c:formatCode>
                <c:ptCount val="16"/>
                <c:pt idx="0">
                  <c:v>86</c:v>
                </c:pt>
                <c:pt idx="1">
                  <c:v>91</c:v>
                </c:pt>
                <c:pt idx="2">
                  <c:v>107</c:v>
                </c:pt>
                <c:pt idx="3">
                  <c:v>86</c:v>
                </c:pt>
                <c:pt idx="4">
                  <c:v>91</c:v>
                </c:pt>
                <c:pt idx="5">
                  <c:v>97</c:v>
                </c:pt>
                <c:pt idx="6">
                  <c:v>98</c:v>
                </c:pt>
                <c:pt idx="7">
                  <c:v>89</c:v>
                </c:pt>
                <c:pt idx="8">
                  <c:v>100</c:v>
                </c:pt>
                <c:pt idx="9">
                  <c:v>109</c:v>
                </c:pt>
                <c:pt idx="10">
                  <c:v>94</c:v>
                </c:pt>
                <c:pt idx="11">
                  <c:v>106</c:v>
                </c:pt>
                <c:pt idx="12">
                  <c:v>101</c:v>
                </c:pt>
                <c:pt idx="13">
                  <c:v>91</c:v>
                </c:pt>
                <c:pt idx="14">
                  <c:v>88</c:v>
                </c:pt>
                <c:pt idx="15">
                  <c:v>101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85B8-496C-868F-D4E6D27C094C}"/>
            </c:ext>
          </c:extLst>
        </c:ser>
        <c:ser>
          <c:idx val="1"/>
          <c:order val="1"/>
          <c:spPr>
            <a:ln w="317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2"/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'Bästa Brutto &amp; Netto'!$C$4:$C$19</c:f>
              <c:strCache>
                <c:ptCount val="16"/>
                <c:pt idx="0">
                  <c:v>Thorvaldsson</c:v>
                </c:pt>
                <c:pt idx="1">
                  <c:v>Nilsson</c:v>
                </c:pt>
                <c:pt idx="2">
                  <c:v>Bengtsson</c:v>
                </c:pt>
                <c:pt idx="3">
                  <c:v>B Johansson</c:v>
                </c:pt>
                <c:pt idx="4">
                  <c:v>Åberg</c:v>
                </c:pt>
                <c:pt idx="5">
                  <c:v>Backe</c:v>
                </c:pt>
                <c:pt idx="6">
                  <c:v>Simonsson</c:v>
                </c:pt>
                <c:pt idx="7">
                  <c:v>Källström</c:v>
                </c:pt>
                <c:pt idx="8">
                  <c:v>Larsson</c:v>
                </c:pt>
                <c:pt idx="9">
                  <c:v>Svensson</c:v>
                </c:pt>
                <c:pt idx="10">
                  <c:v>Ljung</c:v>
                </c:pt>
                <c:pt idx="11">
                  <c:v>Stranddahl</c:v>
                </c:pt>
                <c:pt idx="12">
                  <c:v>L Johansson</c:v>
                </c:pt>
                <c:pt idx="13">
                  <c:v>Söder</c:v>
                </c:pt>
                <c:pt idx="14">
                  <c:v>Glyssbo</c:v>
                </c:pt>
                <c:pt idx="15">
                  <c:v>K Johansson</c:v>
                </c:pt>
              </c:strCache>
            </c:strRef>
          </c:cat>
          <c:val>
            <c:numRef>
              <c:f>'Bästa Brutto &amp; Netto'!$E$4:$E$19</c:f>
              <c:numCache>
                <c:formatCode>General</c:formatCode>
                <c:ptCount val="16"/>
                <c:pt idx="0">
                  <c:v>80</c:v>
                </c:pt>
                <c:pt idx="1">
                  <c:v>81</c:v>
                </c:pt>
                <c:pt idx="2">
                  <c:v>90</c:v>
                </c:pt>
                <c:pt idx="3">
                  <c:v>86</c:v>
                </c:pt>
                <c:pt idx="4">
                  <c:v>84</c:v>
                </c:pt>
                <c:pt idx="5">
                  <c:v>89</c:v>
                </c:pt>
                <c:pt idx="6">
                  <c:v>88</c:v>
                </c:pt>
                <c:pt idx="7">
                  <c:v>92</c:v>
                </c:pt>
                <c:pt idx="8">
                  <c:v>92</c:v>
                </c:pt>
                <c:pt idx="9">
                  <c:v>85</c:v>
                </c:pt>
                <c:pt idx="10">
                  <c:v>88</c:v>
                </c:pt>
                <c:pt idx="11">
                  <c:v>98</c:v>
                </c:pt>
                <c:pt idx="12">
                  <c:v>95</c:v>
                </c:pt>
                <c:pt idx="13">
                  <c:v>85</c:v>
                </c:pt>
                <c:pt idx="14">
                  <c:v>84</c:v>
                </c:pt>
                <c:pt idx="15">
                  <c:v>110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85B8-496C-868F-D4E6D27C094C}"/>
            </c:ext>
          </c:extLst>
        </c:ser>
        <c:ser>
          <c:idx val="2"/>
          <c:order val="2"/>
          <c:spPr>
            <a:ln w="317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3"/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'Bästa Brutto &amp; Netto'!$C$4:$C$19</c:f>
              <c:strCache>
                <c:ptCount val="16"/>
                <c:pt idx="0">
                  <c:v>Thorvaldsson</c:v>
                </c:pt>
                <c:pt idx="1">
                  <c:v>Nilsson</c:v>
                </c:pt>
                <c:pt idx="2">
                  <c:v>Bengtsson</c:v>
                </c:pt>
                <c:pt idx="3">
                  <c:v>B Johansson</c:v>
                </c:pt>
                <c:pt idx="4">
                  <c:v>Åberg</c:v>
                </c:pt>
                <c:pt idx="5">
                  <c:v>Backe</c:v>
                </c:pt>
                <c:pt idx="6">
                  <c:v>Simonsson</c:v>
                </c:pt>
                <c:pt idx="7">
                  <c:v>Källström</c:v>
                </c:pt>
                <c:pt idx="8">
                  <c:v>Larsson</c:v>
                </c:pt>
                <c:pt idx="9">
                  <c:v>Svensson</c:v>
                </c:pt>
                <c:pt idx="10">
                  <c:v>Ljung</c:v>
                </c:pt>
                <c:pt idx="11">
                  <c:v>Stranddahl</c:v>
                </c:pt>
                <c:pt idx="12">
                  <c:v>L Johansson</c:v>
                </c:pt>
                <c:pt idx="13">
                  <c:v>Söder</c:v>
                </c:pt>
                <c:pt idx="14">
                  <c:v>Glyssbo</c:v>
                </c:pt>
                <c:pt idx="15">
                  <c:v>K Johansson</c:v>
                </c:pt>
              </c:strCache>
            </c:strRef>
          </c:cat>
          <c:val>
            <c:numRef>
              <c:f>'Bästa Brutto &amp; Netto'!$F$4:$F$19</c:f>
              <c:numCache>
                <c:formatCode>General</c:formatCode>
                <c:ptCount val="16"/>
                <c:pt idx="0">
                  <c:v>6</c:v>
                </c:pt>
                <c:pt idx="1">
                  <c:v>10</c:v>
                </c:pt>
                <c:pt idx="2">
                  <c:v>17</c:v>
                </c:pt>
                <c:pt idx="3">
                  <c:v>0</c:v>
                </c:pt>
                <c:pt idx="4">
                  <c:v>7</c:v>
                </c:pt>
                <c:pt idx="5">
                  <c:v>8</c:v>
                </c:pt>
                <c:pt idx="6">
                  <c:v>10</c:v>
                </c:pt>
                <c:pt idx="7">
                  <c:v>-3</c:v>
                </c:pt>
                <c:pt idx="8">
                  <c:v>8</c:v>
                </c:pt>
                <c:pt idx="9">
                  <c:v>24</c:v>
                </c:pt>
                <c:pt idx="10">
                  <c:v>6</c:v>
                </c:pt>
                <c:pt idx="11">
                  <c:v>8</c:v>
                </c:pt>
                <c:pt idx="12">
                  <c:v>6</c:v>
                </c:pt>
                <c:pt idx="13">
                  <c:v>6</c:v>
                </c:pt>
                <c:pt idx="14">
                  <c:v>4</c:v>
                </c:pt>
                <c:pt idx="15">
                  <c:v>-9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85B8-496C-868F-D4E6D27C094C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marker val="1"/>
        <c:smooth val="0"/>
        <c:axId val="1187520968"/>
        <c:axId val="1187523128"/>
      </c:lineChart>
      <c:catAx>
        <c:axId val="118752096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900" b="1" i="0" u="none" strike="noStrike" kern="1200" baseline="0">
                    <a:solidFill>
                      <a:schemeClr val="dk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v-SE"/>
                  <a:t>Golfare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900" b="1" i="0" u="none" strike="noStrike" kern="1200" baseline="0">
                  <a:solidFill>
                    <a:schemeClr val="dk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v-SE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19050" cap="flat" cmpd="sng" algn="ctr">
            <a:solidFill>
              <a:schemeClr val="dk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cap="all" baseline="0">
                <a:solidFill>
                  <a:schemeClr val="dk1">
                    <a:lumMod val="75000"/>
                    <a:lumOff val="2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SE"/>
          </a:p>
        </c:txPr>
        <c:crossAx val="1187523128"/>
        <c:crosses val="autoZero"/>
        <c:auto val="1"/>
        <c:lblAlgn val="ctr"/>
        <c:lblOffset val="100"/>
        <c:noMultiLvlLbl val="0"/>
      </c:catAx>
      <c:valAx>
        <c:axId val="1187523128"/>
        <c:scaling>
          <c:orientation val="minMax"/>
        </c:scaling>
        <c:delete val="1"/>
        <c:axPos val="l"/>
        <c:majorGridlines>
          <c:spPr>
            <a:ln w="9525" cap="flat" cmpd="sng" algn="ctr">
              <a:gradFill>
                <a:gsLst>
                  <a:gs pos="100000">
                    <a:schemeClr val="dk1">
                      <a:lumMod val="95000"/>
                      <a:lumOff val="5000"/>
                      <a:alpha val="42000"/>
                    </a:schemeClr>
                  </a:gs>
                  <a:gs pos="0">
                    <a:schemeClr val="lt1">
                      <a:lumMod val="75000"/>
                      <a:alpha val="36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900" b="1" i="0" u="none" strike="noStrike" kern="1200" baseline="0">
                    <a:solidFill>
                      <a:schemeClr val="dk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v-SE"/>
                  <a:t>Brutto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900" b="1" i="0" u="none" strike="noStrike" kern="1200" baseline="0">
                  <a:solidFill>
                    <a:schemeClr val="dk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v-SE"/>
            </a:p>
          </c:txPr>
        </c:title>
        <c:numFmt formatCode="General" sourceLinked="1"/>
        <c:majorTickMark val="none"/>
        <c:minorTickMark val="none"/>
        <c:tickLblPos val="nextTo"/>
        <c:crossAx val="11875209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solidFill>
          <a:schemeClr val="lt1">
            <a:lumMod val="95000"/>
            <a:alpha val="39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dk1">
                  <a:lumMod val="75000"/>
                  <a:lumOff val="25000"/>
                </a:schemeClr>
              </a:solidFill>
              <a:latin typeface="+mn-lt"/>
              <a:ea typeface="+mn-ea"/>
              <a:cs typeface="+mn-cs"/>
            </a:defRPr>
          </a:pPr>
          <a:endParaRPr lang="sv-SE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lt1"/>
        </a:gs>
        <a:gs pos="39000">
          <a:schemeClr val="lt1"/>
        </a:gs>
        <a:gs pos="100000">
          <a:schemeClr val="lt1">
            <a:lumMod val="75000"/>
          </a:schemeClr>
        </a:gs>
      </a:gsLst>
      <a:path path="circle">
        <a:fillToRect l="50000" t="-80000" r="50000" b="180000"/>
      </a:path>
      <a:tileRect/>
    </a:gradFill>
    <a:ln w="9525" cap="flat" cmpd="sng" algn="ctr">
      <a:solidFill>
        <a:schemeClr val="dk1">
          <a:lumMod val="25000"/>
          <a:lumOff val="75000"/>
        </a:schemeClr>
      </a:solidFill>
      <a:round/>
    </a:ln>
    <a:effectLst/>
  </c:spPr>
  <c:txPr>
    <a:bodyPr/>
    <a:lstStyle/>
    <a:p>
      <a:pPr>
        <a:defRPr/>
      </a:pPr>
      <a:endParaRPr lang="sv-SE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v-S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800" b="1" i="0" u="none" strike="noStrike" kern="1200" baseline="0">
                <a:solidFill>
                  <a:schemeClr val="dk1">
                    <a:lumMod val="75000"/>
                    <a:lumOff val="2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sv-SE"/>
              <a:t>Nettoavvikelse 2023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dk1">
                  <a:lumMod val="75000"/>
                  <a:lumOff val="25000"/>
                </a:schemeClr>
              </a:solidFill>
              <a:latin typeface="+mn-lt"/>
              <a:ea typeface="+mn-ea"/>
              <a:cs typeface="+mn-cs"/>
            </a:defRPr>
          </a:pPr>
          <a:endParaRPr lang="sv-SE"/>
        </a:p>
      </c:txPr>
    </c:title>
    <c:autoTitleDeleted val="0"/>
    <c:plotArea>
      <c:layout/>
      <c:lineChart>
        <c:grouping val="standard"/>
        <c:varyColors val="0"/>
        <c:ser>
          <c:idx val="0"/>
          <c:order val="0"/>
          <c:spPr>
            <a:ln w="317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1"/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'Bästa Brutto &amp; Netto'!$I$4:$I$19</c:f>
              <c:strCache>
                <c:ptCount val="16"/>
                <c:pt idx="0">
                  <c:v>Thorvaldsson</c:v>
                </c:pt>
                <c:pt idx="1">
                  <c:v>Nilsson</c:v>
                </c:pt>
                <c:pt idx="2">
                  <c:v>Bengtsson</c:v>
                </c:pt>
                <c:pt idx="3">
                  <c:v>B Johansson</c:v>
                </c:pt>
                <c:pt idx="4">
                  <c:v>Åberg</c:v>
                </c:pt>
                <c:pt idx="5">
                  <c:v>Backe</c:v>
                </c:pt>
                <c:pt idx="6">
                  <c:v>Simonsson</c:v>
                </c:pt>
                <c:pt idx="7">
                  <c:v>Källström</c:v>
                </c:pt>
                <c:pt idx="8">
                  <c:v>Larsson</c:v>
                </c:pt>
                <c:pt idx="9">
                  <c:v>Svensson</c:v>
                </c:pt>
                <c:pt idx="10">
                  <c:v>Ljung</c:v>
                </c:pt>
                <c:pt idx="11">
                  <c:v>Stranddahl</c:v>
                </c:pt>
                <c:pt idx="12">
                  <c:v>L Johansson</c:v>
                </c:pt>
                <c:pt idx="13">
                  <c:v>Söder</c:v>
                </c:pt>
                <c:pt idx="14">
                  <c:v>Glyssbo</c:v>
                </c:pt>
                <c:pt idx="15">
                  <c:v>K Johansson</c:v>
                </c:pt>
              </c:strCache>
            </c:strRef>
          </c:cat>
          <c:val>
            <c:numRef>
              <c:f>'Bästa Brutto &amp; Netto'!$J$4:$J$19</c:f>
              <c:numCache>
                <c:formatCode>General</c:formatCode>
                <c:ptCount val="16"/>
                <c:pt idx="0">
                  <c:v>71</c:v>
                </c:pt>
                <c:pt idx="1">
                  <c:v>73</c:v>
                </c:pt>
                <c:pt idx="2">
                  <c:v>82</c:v>
                </c:pt>
                <c:pt idx="3">
                  <c:v>70</c:v>
                </c:pt>
                <c:pt idx="4">
                  <c:v>70</c:v>
                </c:pt>
                <c:pt idx="5">
                  <c:v>66</c:v>
                </c:pt>
                <c:pt idx="6">
                  <c:v>75</c:v>
                </c:pt>
                <c:pt idx="7">
                  <c:v>68</c:v>
                </c:pt>
                <c:pt idx="8">
                  <c:v>71</c:v>
                </c:pt>
                <c:pt idx="9">
                  <c:v>80</c:v>
                </c:pt>
                <c:pt idx="10">
                  <c:v>69</c:v>
                </c:pt>
                <c:pt idx="11">
                  <c:v>73</c:v>
                </c:pt>
                <c:pt idx="12">
                  <c:v>75</c:v>
                </c:pt>
                <c:pt idx="13">
                  <c:v>71</c:v>
                </c:pt>
                <c:pt idx="14">
                  <c:v>71</c:v>
                </c:pt>
                <c:pt idx="15">
                  <c:v>68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2993-4883-AEF8-1EA3A73D87C5}"/>
            </c:ext>
          </c:extLst>
        </c:ser>
        <c:ser>
          <c:idx val="1"/>
          <c:order val="1"/>
          <c:spPr>
            <a:ln w="317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2"/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'Bästa Brutto &amp; Netto'!$I$4:$I$19</c:f>
              <c:strCache>
                <c:ptCount val="16"/>
                <c:pt idx="0">
                  <c:v>Thorvaldsson</c:v>
                </c:pt>
                <c:pt idx="1">
                  <c:v>Nilsson</c:v>
                </c:pt>
                <c:pt idx="2">
                  <c:v>Bengtsson</c:v>
                </c:pt>
                <c:pt idx="3">
                  <c:v>B Johansson</c:v>
                </c:pt>
                <c:pt idx="4">
                  <c:v>Åberg</c:v>
                </c:pt>
                <c:pt idx="5">
                  <c:v>Backe</c:v>
                </c:pt>
                <c:pt idx="6">
                  <c:v>Simonsson</c:v>
                </c:pt>
                <c:pt idx="7">
                  <c:v>Källström</c:v>
                </c:pt>
                <c:pt idx="8">
                  <c:v>Larsson</c:v>
                </c:pt>
                <c:pt idx="9">
                  <c:v>Svensson</c:v>
                </c:pt>
                <c:pt idx="10">
                  <c:v>Ljung</c:v>
                </c:pt>
                <c:pt idx="11">
                  <c:v>Stranddahl</c:v>
                </c:pt>
                <c:pt idx="12">
                  <c:v>L Johansson</c:v>
                </c:pt>
                <c:pt idx="13">
                  <c:v>Söder</c:v>
                </c:pt>
                <c:pt idx="14">
                  <c:v>Glyssbo</c:v>
                </c:pt>
                <c:pt idx="15">
                  <c:v>K Johansson</c:v>
                </c:pt>
              </c:strCache>
            </c:strRef>
          </c:cat>
          <c:val>
            <c:numRef>
              <c:f>'Bästa Brutto &amp; Netto'!$K$4:$K$19</c:f>
              <c:numCache>
                <c:formatCode>General</c:formatCode>
                <c:ptCount val="16"/>
                <c:pt idx="0">
                  <c:v>61</c:v>
                </c:pt>
                <c:pt idx="1">
                  <c:v>67</c:v>
                </c:pt>
                <c:pt idx="2">
                  <c:v>66</c:v>
                </c:pt>
                <c:pt idx="3">
                  <c:v>70</c:v>
                </c:pt>
                <c:pt idx="4">
                  <c:v>64</c:v>
                </c:pt>
                <c:pt idx="5">
                  <c:v>66</c:v>
                </c:pt>
                <c:pt idx="6">
                  <c:v>66</c:v>
                </c:pt>
                <c:pt idx="7">
                  <c:v>69</c:v>
                </c:pt>
                <c:pt idx="8">
                  <c:v>63</c:v>
                </c:pt>
                <c:pt idx="9">
                  <c:v>69</c:v>
                </c:pt>
                <c:pt idx="10">
                  <c:v>73</c:v>
                </c:pt>
                <c:pt idx="11">
                  <c:v>66</c:v>
                </c:pt>
                <c:pt idx="12">
                  <c:v>63</c:v>
                </c:pt>
                <c:pt idx="13">
                  <c:v>65</c:v>
                </c:pt>
                <c:pt idx="14">
                  <c:v>70</c:v>
                </c:pt>
                <c:pt idx="15">
                  <c:v>80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2993-4883-AEF8-1EA3A73D87C5}"/>
            </c:ext>
          </c:extLst>
        </c:ser>
        <c:ser>
          <c:idx val="2"/>
          <c:order val="2"/>
          <c:spPr>
            <a:ln w="317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3"/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'Bästa Brutto &amp; Netto'!$I$4:$I$19</c:f>
              <c:strCache>
                <c:ptCount val="16"/>
                <c:pt idx="0">
                  <c:v>Thorvaldsson</c:v>
                </c:pt>
                <c:pt idx="1">
                  <c:v>Nilsson</c:v>
                </c:pt>
                <c:pt idx="2">
                  <c:v>Bengtsson</c:v>
                </c:pt>
                <c:pt idx="3">
                  <c:v>B Johansson</c:v>
                </c:pt>
                <c:pt idx="4">
                  <c:v>Åberg</c:v>
                </c:pt>
                <c:pt idx="5">
                  <c:v>Backe</c:v>
                </c:pt>
                <c:pt idx="6">
                  <c:v>Simonsson</c:v>
                </c:pt>
                <c:pt idx="7">
                  <c:v>Källström</c:v>
                </c:pt>
                <c:pt idx="8">
                  <c:v>Larsson</c:v>
                </c:pt>
                <c:pt idx="9">
                  <c:v>Svensson</c:v>
                </c:pt>
                <c:pt idx="10">
                  <c:v>Ljung</c:v>
                </c:pt>
                <c:pt idx="11">
                  <c:v>Stranddahl</c:v>
                </c:pt>
                <c:pt idx="12">
                  <c:v>L Johansson</c:v>
                </c:pt>
                <c:pt idx="13">
                  <c:v>Söder</c:v>
                </c:pt>
                <c:pt idx="14">
                  <c:v>Glyssbo</c:v>
                </c:pt>
                <c:pt idx="15">
                  <c:v>K Johansson</c:v>
                </c:pt>
              </c:strCache>
            </c:strRef>
          </c:cat>
          <c:val>
            <c:numRef>
              <c:f>'Bästa Brutto &amp; Netto'!$L$4:$L$19</c:f>
              <c:numCache>
                <c:formatCode>General</c:formatCode>
                <c:ptCount val="16"/>
                <c:pt idx="0">
                  <c:v>10</c:v>
                </c:pt>
                <c:pt idx="1">
                  <c:v>6</c:v>
                </c:pt>
                <c:pt idx="2">
                  <c:v>16</c:v>
                </c:pt>
                <c:pt idx="3">
                  <c:v>0</c:v>
                </c:pt>
                <c:pt idx="4">
                  <c:v>6</c:v>
                </c:pt>
                <c:pt idx="5">
                  <c:v>0</c:v>
                </c:pt>
                <c:pt idx="6">
                  <c:v>9</c:v>
                </c:pt>
                <c:pt idx="7">
                  <c:v>-1</c:v>
                </c:pt>
                <c:pt idx="8">
                  <c:v>8</c:v>
                </c:pt>
                <c:pt idx="9">
                  <c:v>11</c:v>
                </c:pt>
                <c:pt idx="10">
                  <c:v>-4</c:v>
                </c:pt>
                <c:pt idx="11">
                  <c:v>7</c:v>
                </c:pt>
                <c:pt idx="12">
                  <c:v>12</c:v>
                </c:pt>
                <c:pt idx="13">
                  <c:v>6</c:v>
                </c:pt>
                <c:pt idx="14">
                  <c:v>1</c:v>
                </c:pt>
                <c:pt idx="15">
                  <c:v>-12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2993-4883-AEF8-1EA3A73D87C5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marker val="1"/>
        <c:smooth val="0"/>
        <c:axId val="1328579408"/>
        <c:axId val="1328572928"/>
      </c:lineChart>
      <c:catAx>
        <c:axId val="132857940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900" b="1" i="0" u="none" strike="noStrike" kern="1200" baseline="0">
                    <a:solidFill>
                      <a:schemeClr val="dk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v-SE"/>
                  <a:t>Golfare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900" b="1" i="0" u="none" strike="noStrike" kern="1200" baseline="0">
                  <a:solidFill>
                    <a:schemeClr val="dk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v-SE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19050" cap="flat" cmpd="sng" algn="ctr">
            <a:solidFill>
              <a:schemeClr val="dk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cap="all" baseline="0">
                <a:solidFill>
                  <a:schemeClr val="dk1">
                    <a:lumMod val="75000"/>
                    <a:lumOff val="2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SE"/>
          </a:p>
        </c:txPr>
        <c:crossAx val="1328572928"/>
        <c:crosses val="autoZero"/>
        <c:auto val="1"/>
        <c:lblAlgn val="ctr"/>
        <c:lblOffset val="100"/>
        <c:noMultiLvlLbl val="0"/>
      </c:catAx>
      <c:valAx>
        <c:axId val="1328572928"/>
        <c:scaling>
          <c:orientation val="minMax"/>
        </c:scaling>
        <c:delete val="1"/>
        <c:axPos val="l"/>
        <c:majorGridlines>
          <c:spPr>
            <a:ln w="9525" cap="flat" cmpd="sng" algn="ctr">
              <a:gradFill>
                <a:gsLst>
                  <a:gs pos="100000">
                    <a:schemeClr val="dk1">
                      <a:lumMod val="95000"/>
                      <a:lumOff val="5000"/>
                      <a:alpha val="42000"/>
                    </a:schemeClr>
                  </a:gs>
                  <a:gs pos="0">
                    <a:schemeClr val="lt1">
                      <a:lumMod val="75000"/>
                      <a:alpha val="36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900" b="1" i="0" u="none" strike="noStrike" kern="1200" baseline="0">
                    <a:solidFill>
                      <a:schemeClr val="dk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v-SE"/>
                  <a:t>Nettoresultat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900" b="1" i="0" u="none" strike="noStrike" kern="1200" baseline="0">
                  <a:solidFill>
                    <a:schemeClr val="dk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v-SE"/>
            </a:p>
          </c:txPr>
        </c:title>
        <c:numFmt formatCode="General" sourceLinked="1"/>
        <c:majorTickMark val="none"/>
        <c:minorTickMark val="none"/>
        <c:tickLblPos val="nextTo"/>
        <c:crossAx val="13285794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solidFill>
          <a:schemeClr val="lt1">
            <a:lumMod val="95000"/>
            <a:alpha val="39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dk1">
                  <a:lumMod val="75000"/>
                  <a:lumOff val="25000"/>
                </a:schemeClr>
              </a:solidFill>
              <a:latin typeface="+mn-lt"/>
              <a:ea typeface="+mn-ea"/>
              <a:cs typeface="+mn-cs"/>
            </a:defRPr>
          </a:pPr>
          <a:endParaRPr lang="sv-SE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lt1"/>
        </a:gs>
        <a:gs pos="39000">
          <a:schemeClr val="lt1"/>
        </a:gs>
        <a:gs pos="100000">
          <a:schemeClr val="lt1">
            <a:lumMod val="75000"/>
          </a:schemeClr>
        </a:gs>
      </a:gsLst>
      <a:path path="circle">
        <a:fillToRect l="50000" t="-80000" r="50000" b="180000"/>
      </a:path>
      <a:tileRect/>
    </a:gradFill>
    <a:ln w="9525" cap="flat" cmpd="sng" algn="ctr">
      <a:solidFill>
        <a:schemeClr val="dk1">
          <a:lumMod val="25000"/>
          <a:lumOff val="75000"/>
        </a:schemeClr>
      </a:solidFill>
      <a:round/>
    </a:ln>
    <a:effectLst/>
  </c:spPr>
  <c:txPr>
    <a:bodyPr/>
    <a:lstStyle/>
    <a:p>
      <a:pPr>
        <a:defRPr/>
      </a:pPr>
      <a:endParaRPr lang="sv-SE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v-S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800" b="1" i="0" u="none" strike="noStrike" kern="1200" baseline="0">
                <a:solidFill>
                  <a:schemeClr val="dk1">
                    <a:lumMod val="75000"/>
                    <a:lumOff val="2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sv-SE"/>
              <a:t>Sämsta bästa-resultaten för bana</a:t>
            </a:r>
          </a:p>
        </c:rich>
      </c:tx>
      <c:layout>
        <c:manualLayout>
          <c:xMode val="edge"/>
          <c:yMode val="edge"/>
          <c:x val="0.18534820031298904"/>
          <c:y val="2.2675736961451247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dk1">
                  <a:lumMod val="75000"/>
                  <a:lumOff val="25000"/>
                </a:schemeClr>
              </a:solidFill>
              <a:latin typeface="+mn-lt"/>
              <a:ea typeface="+mn-ea"/>
              <a:cs typeface="+mn-cs"/>
            </a:defRPr>
          </a:pPr>
          <a:endParaRPr lang="sv-SE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Brutto</c:v>
          </c:tx>
          <c:spPr>
            <a:solidFill>
              <a:schemeClr val="accent1">
                <a:alpha val="85000"/>
              </a:schemeClr>
            </a:solidFill>
            <a:ln w="9525" cap="flat" cmpd="sng" algn="ctr">
              <a:solidFill>
                <a:schemeClr val="lt1">
                  <a:alpha val="50000"/>
                </a:schemeClr>
              </a:solidFill>
              <a:round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bg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Ligastats!$C$5:$C$17</c:f>
              <c:strCache>
                <c:ptCount val="13"/>
                <c:pt idx="0">
                  <c:v>Skogaby</c:v>
                </c:pt>
                <c:pt idx="1">
                  <c:v>Holm</c:v>
                </c:pt>
                <c:pt idx="2">
                  <c:v>Haverdal</c:v>
                </c:pt>
                <c:pt idx="3">
                  <c:v>Laholm</c:v>
                </c:pt>
                <c:pt idx="4">
                  <c:v>Falkenberg</c:v>
                </c:pt>
                <c:pt idx="5">
                  <c:v>Tönnersjö</c:v>
                </c:pt>
                <c:pt idx="6">
                  <c:v>Rydö</c:v>
                </c:pt>
                <c:pt idx="7">
                  <c:v>Bäckavattnet</c:v>
                </c:pt>
                <c:pt idx="8">
                  <c:v>Ringenäs</c:v>
                </c:pt>
                <c:pt idx="9">
                  <c:v>Isaberg</c:v>
                </c:pt>
                <c:pt idx="10">
                  <c:v>Björnhult</c:v>
                </c:pt>
                <c:pt idx="11">
                  <c:v>Tylösand S</c:v>
                </c:pt>
                <c:pt idx="12">
                  <c:v>Bjäre GK</c:v>
                </c:pt>
              </c:strCache>
            </c:strRef>
          </c:cat>
          <c:val>
            <c:numRef>
              <c:f>Ligastats!$D$5:$D$17</c:f>
              <c:numCache>
                <c:formatCode>General</c:formatCode>
                <c:ptCount val="13"/>
                <c:pt idx="0">
                  <c:v>97</c:v>
                </c:pt>
                <c:pt idx="1">
                  <c:v>91.6</c:v>
                </c:pt>
                <c:pt idx="2">
                  <c:v>100.2</c:v>
                </c:pt>
                <c:pt idx="3">
                  <c:v>95</c:v>
                </c:pt>
                <c:pt idx="4">
                  <c:v>98.6</c:v>
                </c:pt>
                <c:pt idx="5">
                  <c:v>103</c:v>
                </c:pt>
                <c:pt idx="6">
                  <c:v>97.5</c:v>
                </c:pt>
                <c:pt idx="7">
                  <c:v>102.83</c:v>
                </c:pt>
                <c:pt idx="8">
                  <c:v>0</c:v>
                </c:pt>
                <c:pt idx="9">
                  <c:v>100.6</c:v>
                </c:pt>
                <c:pt idx="10">
                  <c:v>100</c:v>
                </c:pt>
                <c:pt idx="11">
                  <c:v>99.4</c:v>
                </c:pt>
                <c:pt idx="12">
                  <c:v>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AF4-4ECA-9449-DBFD17DFCCEF}"/>
            </c:ext>
          </c:extLst>
        </c:ser>
        <c:ser>
          <c:idx val="1"/>
          <c:order val="1"/>
          <c:tx>
            <c:v>Netto</c:v>
          </c:tx>
          <c:spPr>
            <a:solidFill>
              <a:schemeClr val="accent2">
                <a:alpha val="85000"/>
              </a:schemeClr>
            </a:solidFill>
            <a:ln w="9525" cap="flat" cmpd="sng" algn="ctr">
              <a:solidFill>
                <a:schemeClr val="lt1">
                  <a:alpha val="50000"/>
                </a:schemeClr>
              </a:solidFill>
              <a:round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Ligastats!$C$5:$C$17</c:f>
              <c:strCache>
                <c:ptCount val="13"/>
                <c:pt idx="0">
                  <c:v>Skogaby</c:v>
                </c:pt>
                <c:pt idx="1">
                  <c:v>Holm</c:v>
                </c:pt>
                <c:pt idx="2">
                  <c:v>Haverdal</c:v>
                </c:pt>
                <c:pt idx="3">
                  <c:v>Laholm</c:v>
                </c:pt>
                <c:pt idx="4">
                  <c:v>Falkenberg</c:v>
                </c:pt>
                <c:pt idx="5">
                  <c:v>Tönnersjö</c:v>
                </c:pt>
                <c:pt idx="6">
                  <c:v>Rydö</c:v>
                </c:pt>
                <c:pt idx="7">
                  <c:v>Bäckavattnet</c:v>
                </c:pt>
                <c:pt idx="8">
                  <c:v>Ringenäs</c:v>
                </c:pt>
                <c:pt idx="9">
                  <c:v>Isaberg</c:v>
                </c:pt>
                <c:pt idx="10">
                  <c:v>Björnhult</c:v>
                </c:pt>
                <c:pt idx="11">
                  <c:v>Tylösand S</c:v>
                </c:pt>
                <c:pt idx="12">
                  <c:v>Bjäre GK</c:v>
                </c:pt>
              </c:strCache>
            </c:strRef>
          </c:cat>
          <c:val>
            <c:numRef>
              <c:f>Ligastats!$E$5:$E$17</c:f>
              <c:numCache>
                <c:formatCode>General</c:formatCode>
                <c:ptCount val="13"/>
                <c:pt idx="0">
                  <c:v>76.2</c:v>
                </c:pt>
                <c:pt idx="1">
                  <c:v>72.8</c:v>
                </c:pt>
                <c:pt idx="2">
                  <c:v>79.400000000000006</c:v>
                </c:pt>
                <c:pt idx="3">
                  <c:v>74</c:v>
                </c:pt>
                <c:pt idx="4">
                  <c:v>77.5</c:v>
                </c:pt>
                <c:pt idx="5">
                  <c:v>80</c:v>
                </c:pt>
                <c:pt idx="6">
                  <c:v>75.8</c:v>
                </c:pt>
                <c:pt idx="7">
                  <c:v>79.3</c:v>
                </c:pt>
                <c:pt idx="8">
                  <c:v>80.3</c:v>
                </c:pt>
                <c:pt idx="9">
                  <c:v>78.599999999999994</c:v>
                </c:pt>
                <c:pt idx="10">
                  <c:v>79.099999999999994</c:v>
                </c:pt>
                <c:pt idx="11">
                  <c:v>76.5</c:v>
                </c:pt>
                <c:pt idx="12">
                  <c:v>76.3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AF4-4ECA-9449-DBFD17DFCCEF}"/>
            </c:ext>
          </c:extLst>
        </c:ser>
        <c:dLbls>
          <c:dLblPos val="inEnd"/>
          <c:showLegendKey val="0"/>
          <c:showVal val="1"/>
          <c:showCatName val="0"/>
          <c:showSerName val="0"/>
          <c:showPercent val="0"/>
          <c:showBubbleSize val="0"/>
        </c:dLbls>
        <c:gapWidth val="65"/>
        <c:axId val="830271840"/>
        <c:axId val="830272560"/>
      </c:barChart>
      <c:catAx>
        <c:axId val="83027184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900" b="1" i="0" u="none" strike="noStrike" kern="1200" baseline="0">
                    <a:solidFill>
                      <a:schemeClr val="bg1">
                        <a:lumMod val="9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v-SE">
                    <a:solidFill>
                      <a:schemeClr val="bg1">
                        <a:lumMod val="95000"/>
                      </a:schemeClr>
                    </a:solidFill>
                  </a:rPr>
                  <a:t>Bana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900" b="1" i="0" u="none" strike="noStrike" kern="1200" baseline="0">
                  <a:solidFill>
                    <a:schemeClr val="bg1">
                      <a:lumMod val="9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v-SE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19050" cap="flat" cmpd="sng" algn="ctr">
            <a:solidFill>
              <a:schemeClr val="dk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cap="all" baseline="0">
                <a:solidFill>
                  <a:schemeClr val="bg1"/>
                </a:solidFill>
                <a:latin typeface="+mn-lt"/>
                <a:ea typeface="+mn-ea"/>
                <a:cs typeface="+mn-cs"/>
              </a:defRPr>
            </a:pPr>
            <a:endParaRPr lang="sv-SE"/>
          </a:p>
        </c:txPr>
        <c:crossAx val="830272560"/>
        <c:crosses val="autoZero"/>
        <c:auto val="1"/>
        <c:lblAlgn val="ctr"/>
        <c:lblOffset val="100"/>
        <c:noMultiLvlLbl val="0"/>
      </c:catAx>
      <c:valAx>
        <c:axId val="830272560"/>
        <c:scaling>
          <c:orientation val="minMax"/>
        </c:scaling>
        <c:delete val="0"/>
        <c:axPos val="l"/>
        <c:majorGridlines>
          <c:spPr>
            <a:ln w="9525" cap="flat" cmpd="sng" algn="ctr">
              <a:gradFill>
                <a:gsLst>
                  <a:gs pos="100000">
                    <a:schemeClr val="dk1">
                      <a:lumMod val="95000"/>
                      <a:lumOff val="5000"/>
                      <a:alpha val="42000"/>
                    </a:schemeClr>
                  </a:gs>
                  <a:gs pos="0">
                    <a:schemeClr val="lt1">
                      <a:lumMod val="75000"/>
                      <a:alpha val="36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900" b="1" i="0" u="none" strike="noStrike" kern="1200" baseline="0">
                    <a:solidFill>
                      <a:schemeClr val="bg1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v-SE">
                    <a:solidFill>
                      <a:schemeClr val="bg1"/>
                    </a:solidFill>
                  </a:rPr>
                  <a:t>Medelvärde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900" b="1" i="0" u="none" strike="noStrike" kern="1200" baseline="0">
                  <a:solidFill>
                    <a:schemeClr val="bg1"/>
                  </a:solidFill>
                  <a:latin typeface="+mn-lt"/>
                  <a:ea typeface="+mn-ea"/>
                  <a:cs typeface="+mn-cs"/>
                </a:defRPr>
              </a:pPr>
              <a:endParaRPr lang="sv-SE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bg1"/>
                </a:solidFill>
                <a:latin typeface="+mn-lt"/>
                <a:ea typeface="+mn-ea"/>
                <a:cs typeface="+mn-cs"/>
              </a:defRPr>
            </a:pPr>
            <a:endParaRPr lang="sv-SE"/>
          </a:p>
        </c:txPr>
        <c:crossAx val="83027184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solidFill>
          <a:schemeClr val="lt1">
            <a:lumMod val="95000"/>
            <a:alpha val="39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dk1">
                  <a:lumMod val="75000"/>
                  <a:lumOff val="25000"/>
                </a:schemeClr>
              </a:solidFill>
              <a:latin typeface="+mn-lt"/>
              <a:ea typeface="+mn-ea"/>
              <a:cs typeface="+mn-cs"/>
            </a:defRPr>
          </a:pPr>
          <a:endParaRPr lang="sv-SE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blipFill>
      <a:blip xmlns:r="http://schemas.openxmlformats.org/officeDocument/2006/relationships" r:embed="rId3"/>
      <a:stretch>
        <a:fillRect/>
      </a:stretch>
    </a:blipFill>
    <a:ln w="9525" cap="flat" cmpd="sng" algn="ctr">
      <a:solidFill>
        <a:schemeClr val="dk1">
          <a:lumMod val="25000"/>
          <a:lumOff val="75000"/>
        </a:schemeClr>
      </a:solidFill>
      <a:round/>
    </a:ln>
    <a:effectLst/>
  </c:spPr>
  <c:txPr>
    <a:bodyPr/>
    <a:lstStyle/>
    <a:p>
      <a:pPr>
        <a:defRPr/>
      </a:pPr>
      <a:endParaRPr lang="sv-SE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v-S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800" b="1" i="0" u="none" strike="noStrike" kern="1200" baseline="0">
                <a:solidFill>
                  <a:schemeClr val="dk1">
                    <a:lumMod val="75000"/>
                    <a:lumOff val="2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Mest spelade banor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dk1">
                  <a:lumMod val="75000"/>
                  <a:lumOff val="25000"/>
                </a:schemeClr>
              </a:solidFill>
              <a:latin typeface="+mn-lt"/>
              <a:ea typeface="+mn-ea"/>
              <a:cs typeface="+mn-cs"/>
            </a:defRPr>
          </a:pPr>
          <a:endParaRPr lang="sv-SE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Ligastats!$F$4</c:f>
              <c:strCache>
                <c:ptCount val="1"/>
                <c:pt idx="0">
                  <c:v>Antal ggr</c:v>
                </c:pt>
              </c:strCache>
            </c:strRef>
          </c:tx>
          <c:spPr>
            <a:solidFill>
              <a:schemeClr val="accent1">
                <a:alpha val="85000"/>
              </a:schemeClr>
            </a:solidFill>
            <a:ln w="9525" cap="flat" cmpd="sng" algn="ctr">
              <a:solidFill>
                <a:schemeClr val="lt1">
                  <a:alpha val="50000"/>
                </a:schemeClr>
              </a:solidFill>
              <a:round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Ligastats!$C$5:$C$18</c:f>
              <c:strCache>
                <c:ptCount val="14"/>
                <c:pt idx="0">
                  <c:v>Skogaby</c:v>
                </c:pt>
                <c:pt idx="1">
                  <c:v>Holm</c:v>
                </c:pt>
                <c:pt idx="2">
                  <c:v>Haverdal</c:v>
                </c:pt>
                <c:pt idx="3">
                  <c:v>Laholm</c:v>
                </c:pt>
                <c:pt idx="4">
                  <c:v>Falkenberg</c:v>
                </c:pt>
                <c:pt idx="5">
                  <c:v>Tönnersjö</c:v>
                </c:pt>
                <c:pt idx="6">
                  <c:v>Rydö</c:v>
                </c:pt>
                <c:pt idx="7">
                  <c:v>Bäckavattnet</c:v>
                </c:pt>
                <c:pt idx="8">
                  <c:v>Ringenäs</c:v>
                </c:pt>
                <c:pt idx="9">
                  <c:v>Isaberg</c:v>
                </c:pt>
                <c:pt idx="10">
                  <c:v>Björnhult</c:v>
                </c:pt>
                <c:pt idx="11">
                  <c:v>Tylösand S</c:v>
                </c:pt>
                <c:pt idx="12">
                  <c:v>Bjäre GK</c:v>
                </c:pt>
                <c:pt idx="13">
                  <c:v>Flädje</c:v>
                </c:pt>
              </c:strCache>
            </c:strRef>
          </c:cat>
          <c:val>
            <c:numRef>
              <c:f>Ligastats!$F$5:$F$18</c:f>
              <c:numCache>
                <c:formatCode>General</c:formatCode>
                <c:ptCount val="14"/>
                <c:pt idx="0">
                  <c:v>23</c:v>
                </c:pt>
                <c:pt idx="1">
                  <c:v>22</c:v>
                </c:pt>
                <c:pt idx="2">
                  <c:v>19</c:v>
                </c:pt>
                <c:pt idx="3">
                  <c:v>12</c:v>
                </c:pt>
                <c:pt idx="4">
                  <c:v>9</c:v>
                </c:pt>
                <c:pt idx="5">
                  <c:v>8</c:v>
                </c:pt>
                <c:pt idx="6">
                  <c:v>8</c:v>
                </c:pt>
                <c:pt idx="7">
                  <c:v>7</c:v>
                </c:pt>
                <c:pt idx="8">
                  <c:v>5</c:v>
                </c:pt>
                <c:pt idx="9">
                  <c:v>5</c:v>
                </c:pt>
                <c:pt idx="10">
                  <c:v>5</c:v>
                </c:pt>
                <c:pt idx="11">
                  <c:v>5</c:v>
                </c:pt>
                <c:pt idx="12">
                  <c:v>5</c:v>
                </c:pt>
                <c:pt idx="13">
                  <c:v>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EDC-4305-AAB1-ACDCEB25B078}"/>
            </c:ext>
          </c:extLst>
        </c:ser>
        <c:dLbls>
          <c:dLblPos val="inEnd"/>
          <c:showLegendKey val="0"/>
          <c:showVal val="1"/>
          <c:showCatName val="0"/>
          <c:showSerName val="0"/>
          <c:showPercent val="0"/>
          <c:showBubbleSize val="0"/>
        </c:dLbls>
        <c:gapWidth val="65"/>
        <c:axId val="764879384"/>
        <c:axId val="764881904"/>
      </c:barChart>
      <c:catAx>
        <c:axId val="764879384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900" b="1" i="0" u="none" strike="noStrike" kern="1200" baseline="0">
                    <a:solidFill>
                      <a:schemeClr val="dk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v-SE"/>
                  <a:t>Bana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900" b="1" i="0" u="none" strike="noStrike" kern="1200" baseline="0">
                  <a:solidFill>
                    <a:schemeClr val="dk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v-SE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19050" cap="flat" cmpd="sng" algn="ctr">
            <a:solidFill>
              <a:schemeClr val="dk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cap="all" baseline="0">
                <a:solidFill>
                  <a:schemeClr val="dk1">
                    <a:lumMod val="75000"/>
                    <a:lumOff val="2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SE"/>
          </a:p>
        </c:txPr>
        <c:crossAx val="764881904"/>
        <c:crosses val="autoZero"/>
        <c:auto val="1"/>
        <c:lblAlgn val="ctr"/>
        <c:lblOffset val="100"/>
        <c:noMultiLvlLbl val="0"/>
      </c:catAx>
      <c:valAx>
        <c:axId val="764881904"/>
        <c:scaling>
          <c:orientation val="minMax"/>
        </c:scaling>
        <c:delete val="0"/>
        <c:axPos val="l"/>
        <c:majorGridlines>
          <c:spPr>
            <a:ln w="9525" cap="flat" cmpd="sng" algn="ctr">
              <a:gradFill>
                <a:gsLst>
                  <a:gs pos="100000">
                    <a:schemeClr val="dk1">
                      <a:lumMod val="95000"/>
                      <a:lumOff val="5000"/>
                      <a:alpha val="42000"/>
                    </a:schemeClr>
                  </a:gs>
                  <a:gs pos="0">
                    <a:schemeClr val="lt1">
                      <a:lumMod val="75000"/>
                      <a:alpha val="36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900" b="1" i="0" u="none" strike="noStrike" kern="1200" baseline="0">
                    <a:solidFill>
                      <a:schemeClr val="dk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v-SE"/>
                  <a:t>Antal gånger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900" b="1" i="0" u="none" strike="noStrike" kern="1200" baseline="0">
                  <a:solidFill>
                    <a:schemeClr val="dk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v-SE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dk1">
                    <a:lumMod val="75000"/>
                    <a:lumOff val="2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SE"/>
          </a:p>
        </c:txPr>
        <c:crossAx val="76487938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lt1"/>
        </a:gs>
        <a:gs pos="39000">
          <a:schemeClr val="lt1"/>
        </a:gs>
        <a:gs pos="100000">
          <a:schemeClr val="lt1">
            <a:lumMod val="75000"/>
          </a:schemeClr>
        </a:gs>
      </a:gsLst>
      <a:path path="circle">
        <a:fillToRect l="50000" t="-80000" r="50000" b="180000"/>
      </a:path>
      <a:tileRect/>
    </a:gradFill>
    <a:ln w="9525" cap="flat" cmpd="sng" algn="ctr">
      <a:solidFill>
        <a:schemeClr val="dk1">
          <a:lumMod val="25000"/>
          <a:lumOff val="75000"/>
        </a:schemeClr>
      </a:solidFill>
      <a:round/>
    </a:ln>
    <a:effectLst/>
  </c:spPr>
  <c:txPr>
    <a:bodyPr/>
    <a:lstStyle/>
    <a:p>
      <a:pPr>
        <a:defRPr/>
      </a:pPr>
      <a:endParaRPr lang="sv-SE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v-S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cap="none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sv-SE"/>
              <a:t>Formbarometern - End of season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cap="none" baseline="0">
              <a:solidFill>
                <a:schemeClr val="lt1">
                  <a:lumMod val="85000"/>
                </a:schemeClr>
              </a:solidFill>
              <a:latin typeface="+mn-lt"/>
              <a:ea typeface="+mn-ea"/>
              <a:cs typeface="+mn-cs"/>
            </a:defRPr>
          </a:pPr>
          <a:endParaRPr lang="sv-SE"/>
        </a:p>
      </c:txPr>
    </c:title>
    <c:autoTitleDeleted val="0"/>
    <c:plotArea>
      <c:layout/>
      <c:lineChart>
        <c:grouping val="standard"/>
        <c:varyColors val="0"/>
        <c:ser>
          <c:idx val="0"/>
          <c:order val="0"/>
          <c:tx>
            <c:strRef>
              <c:f>'Form-indikator'!$F$2</c:f>
              <c:strCache>
                <c:ptCount val="1"/>
                <c:pt idx="0">
                  <c:v>Bd/P</c:v>
                </c:pt>
              </c:strCache>
            </c:strRef>
          </c:tx>
          <c:spPr>
            <a:ln w="22225" cap="rnd">
              <a:solidFill>
                <a:schemeClr val="accent1"/>
              </a:solidFill>
            </a:ln>
            <a:effectLst>
              <a:glow rad="139700">
                <a:schemeClr val="accent1">
                  <a:satMod val="175000"/>
                  <a:alpha val="14000"/>
                </a:schemeClr>
              </a:glow>
            </a:effectLst>
          </c:spPr>
          <c:marker>
            <c:symbol val="none"/>
          </c:marker>
          <c:cat>
            <c:multiLvlStrRef>
              <c:f>'Form-indikator'!$D$3:$E$18</c:f>
              <c:multiLvlStrCache>
                <c:ptCount val="16"/>
                <c:lvl>
                  <c:pt idx="0">
                    <c:v>Larsson</c:v>
                  </c:pt>
                  <c:pt idx="1">
                    <c:v>Svensson</c:v>
                  </c:pt>
                  <c:pt idx="2">
                    <c:v>Källström</c:v>
                  </c:pt>
                  <c:pt idx="3">
                    <c:v>K Johansson</c:v>
                  </c:pt>
                  <c:pt idx="4">
                    <c:v>Ljung</c:v>
                  </c:pt>
                  <c:pt idx="5">
                    <c:v>Simonsson</c:v>
                  </c:pt>
                  <c:pt idx="6">
                    <c:v>Glyssbo</c:v>
                  </c:pt>
                  <c:pt idx="7">
                    <c:v>Söder</c:v>
                  </c:pt>
                  <c:pt idx="8">
                    <c:v>Backe</c:v>
                  </c:pt>
                  <c:pt idx="9">
                    <c:v>L Johansson</c:v>
                  </c:pt>
                  <c:pt idx="10">
                    <c:v>B Johansson</c:v>
                  </c:pt>
                  <c:pt idx="11">
                    <c:v>Stranddahl</c:v>
                  </c:pt>
                  <c:pt idx="12">
                    <c:v>Bengtsson</c:v>
                  </c:pt>
                  <c:pt idx="13">
                    <c:v>Åberg</c:v>
                  </c:pt>
                  <c:pt idx="14">
                    <c:v>Nilsson</c:v>
                  </c:pt>
                  <c:pt idx="15">
                    <c:v>Thorvaldsson</c:v>
                  </c:pt>
                </c:lvl>
                <c:lvl>
                  <c:pt idx="0">
                    <c:v>Thomas</c:v>
                  </c:pt>
                  <c:pt idx="1">
                    <c:v>Claes</c:v>
                  </c:pt>
                  <c:pt idx="2">
                    <c:v>Stefan</c:v>
                  </c:pt>
                  <c:pt idx="3">
                    <c:v>Kent</c:v>
                  </c:pt>
                  <c:pt idx="4">
                    <c:v>Niklas </c:v>
                  </c:pt>
                  <c:pt idx="5">
                    <c:v>Jörgen</c:v>
                  </c:pt>
                  <c:pt idx="6">
                    <c:v>PJ</c:v>
                  </c:pt>
                  <c:pt idx="7">
                    <c:v>Jocke</c:v>
                  </c:pt>
                  <c:pt idx="8">
                    <c:v>Göran</c:v>
                  </c:pt>
                  <c:pt idx="9">
                    <c:v>Lalle</c:v>
                  </c:pt>
                  <c:pt idx="10">
                    <c:v>Börje</c:v>
                  </c:pt>
                  <c:pt idx="11">
                    <c:v>Jörgen</c:v>
                  </c:pt>
                  <c:pt idx="12">
                    <c:v>Magnus</c:v>
                  </c:pt>
                  <c:pt idx="13">
                    <c:v>Micke</c:v>
                  </c:pt>
                  <c:pt idx="14">
                    <c:v>Peter</c:v>
                  </c:pt>
                  <c:pt idx="15">
                    <c:v>Stefan</c:v>
                  </c:pt>
                </c:lvl>
              </c:multiLvlStrCache>
            </c:multiLvlStrRef>
          </c:cat>
          <c:val>
            <c:numRef>
              <c:f>'Form-indikator'!$F$3:$F$18</c:f>
              <c:numCache>
                <c:formatCode>General</c:formatCode>
                <c:ptCount val="16"/>
                <c:pt idx="0">
                  <c:v>7</c:v>
                </c:pt>
                <c:pt idx="1">
                  <c:v>1</c:v>
                </c:pt>
                <c:pt idx="2">
                  <c:v>18</c:v>
                </c:pt>
                <c:pt idx="3">
                  <c:v>10</c:v>
                </c:pt>
                <c:pt idx="4">
                  <c:v>25</c:v>
                </c:pt>
                <c:pt idx="5">
                  <c:v>12</c:v>
                </c:pt>
                <c:pt idx="6">
                  <c:v>20</c:v>
                </c:pt>
                <c:pt idx="7">
                  <c:v>26</c:v>
                </c:pt>
                <c:pt idx="8">
                  <c:v>14</c:v>
                </c:pt>
                <c:pt idx="9">
                  <c:v>7</c:v>
                </c:pt>
                <c:pt idx="10">
                  <c:v>32</c:v>
                </c:pt>
                <c:pt idx="11">
                  <c:v>8</c:v>
                </c:pt>
                <c:pt idx="12">
                  <c:v>3</c:v>
                </c:pt>
                <c:pt idx="13">
                  <c:v>23</c:v>
                </c:pt>
                <c:pt idx="14">
                  <c:v>25</c:v>
                </c:pt>
                <c:pt idx="15">
                  <c:v>55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0478-4B53-83F2-F293FF84598F}"/>
            </c:ext>
          </c:extLst>
        </c:ser>
        <c:ser>
          <c:idx val="1"/>
          <c:order val="1"/>
          <c:tx>
            <c:strRef>
              <c:f>'Form-indikator'!$G$2</c:f>
              <c:strCache>
                <c:ptCount val="1"/>
                <c:pt idx="0">
                  <c:v>Form-Ind</c:v>
                </c:pt>
              </c:strCache>
            </c:strRef>
          </c:tx>
          <c:spPr>
            <a:ln w="22225" cap="rnd">
              <a:solidFill>
                <a:schemeClr val="accent2"/>
              </a:solidFill>
            </a:ln>
            <a:effectLst>
              <a:glow rad="139700">
                <a:schemeClr val="accent2">
                  <a:satMod val="175000"/>
                  <a:alpha val="14000"/>
                </a:schemeClr>
              </a:glow>
            </a:effectLst>
          </c:spPr>
          <c:marker>
            <c:symbol val="none"/>
          </c:marker>
          <c:cat>
            <c:multiLvlStrRef>
              <c:f>'Form-indikator'!$D$3:$E$18</c:f>
              <c:multiLvlStrCache>
                <c:ptCount val="16"/>
                <c:lvl>
                  <c:pt idx="0">
                    <c:v>Larsson</c:v>
                  </c:pt>
                  <c:pt idx="1">
                    <c:v>Svensson</c:v>
                  </c:pt>
                  <c:pt idx="2">
                    <c:v>Källström</c:v>
                  </c:pt>
                  <c:pt idx="3">
                    <c:v>K Johansson</c:v>
                  </c:pt>
                  <c:pt idx="4">
                    <c:v>Ljung</c:v>
                  </c:pt>
                  <c:pt idx="5">
                    <c:v>Simonsson</c:v>
                  </c:pt>
                  <c:pt idx="6">
                    <c:v>Glyssbo</c:v>
                  </c:pt>
                  <c:pt idx="7">
                    <c:v>Söder</c:v>
                  </c:pt>
                  <c:pt idx="8">
                    <c:v>Backe</c:v>
                  </c:pt>
                  <c:pt idx="9">
                    <c:v>L Johansson</c:v>
                  </c:pt>
                  <c:pt idx="10">
                    <c:v>B Johansson</c:v>
                  </c:pt>
                  <c:pt idx="11">
                    <c:v>Stranddahl</c:v>
                  </c:pt>
                  <c:pt idx="12">
                    <c:v>Bengtsson</c:v>
                  </c:pt>
                  <c:pt idx="13">
                    <c:v>Åberg</c:v>
                  </c:pt>
                  <c:pt idx="14">
                    <c:v>Nilsson</c:v>
                  </c:pt>
                  <c:pt idx="15">
                    <c:v>Thorvaldsson</c:v>
                  </c:pt>
                </c:lvl>
                <c:lvl>
                  <c:pt idx="0">
                    <c:v>Thomas</c:v>
                  </c:pt>
                  <c:pt idx="1">
                    <c:v>Claes</c:v>
                  </c:pt>
                  <c:pt idx="2">
                    <c:v>Stefan</c:v>
                  </c:pt>
                  <c:pt idx="3">
                    <c:v>Kent</c:v>
                  </c:pt>
                  <c:pt idx="4">
                    <c:v>Niklas </c:v>
                  </c:pt>
                  <c:pt idx="5">
                    <c:v>Jörgen</c:v>
                  </c:pt>
                  <c:pt idx="6">
                    <c:v>PJ</c:v>
                  </c:pt>
                  <c:pt idx="7">
                    <c:v>Jocke</c:v>
                  </c:pt>
                  <c:pt idx="8">
                    <c:v>Göran</c:v>
                  </c:pt>
                  <c:pt idx="9">
                    <c:v>Lalle</c:v>
                  </c:pt>
                  <c:pt idx="10">
                    <c:v>Börje</c:v>
                  </c:pt>
                  <c:pt idx="11">
                    <c:v>Jörgen</c:v>
                  </c:pt>
                  <c:pt idx="12">
                    <c:v>Magnus</c:v>
                  </c:pt>
                  <c:pt idx="13">
                    <c:v>Micke</c:v>
                  </c:pt>
                  <c:pt idx="14">
                    <c:v>Peter</c:v>
                  </c:pt>
                  <c:pt idx="15">
                    <c:v>Stefan</c:v>
                  </c:pt>
                </c:lvl>
              </c:multiLvlStrCache>
            </c:multiLvlStrRef>
          </c:cat>
          <c:val>
            <c:numRef>
              <c:f>'Form-indikator'!$G$3:$G$18</c:f>
              <c:numCache>
                <c:formatCode>General</c:formatCode>
                <c:ptCount val="16"/>
                <c:pt idx="0">
                  <c:v>24</c:v>
                </c:pt>
                <c:pt idx="1">
                  <c:v>58</c:v>
                </c:pt>
                <c:pt idx="2">
                  <c:v>-1</c:v>
                </c:pt>
                <c:pt idx="3">
                  <c:v>61</c:v>
                </c:pt>
                <c:pt idx="4">
                  <c:v>8</c:v>
                </c:pt>
                <c:pt idx="5">
                  <c:v>30</c:v>
                </c:pt>
                <c:pt idx="6">
                  <c:v>11</c:v>
                </c:pt>
                <c:pt idx="7">
                  <c:v>11</c:v>
                </c:pt>
                <c:pt idx="8">
                  <c:v>-1</c:v>
                </c:pt>
                <c:pt idx="9">
                  <c:v>22</c:v>
                </c:pt>
                <c:pt idx="10">
                  <c:v>-2</c:v>
                </c:pt>
                <c:pt idx="11">
                  <c:v>23</c:v>
                </c:pt>
                <c:pt idx="12">
                  <c:v>64</c:v>
                </c:pt>
                <c:pt idx="13">
                  <c:v>20</c:v>
                </c:pt>
                <c:pt idx="14">
                  <c:v>21</c:v>
                </c:pt>
                <c:pt idx="15">
                  <c:v>13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0478-4B53-83F2-F293FF84598F}"/>
            </c:ext>
          </c:extLst>
        </c:ser>
        <c:ser>
          <c:idx val="2"/>
          <c:order val="2"/>
          <c:tx>
            <c:strRef>
              <c:f>'Form-indikator'!$H$2</c:f>
              <c:strCache>
                <c:ptCount val="1"/>
                <c:pt idx="0">
                  <c:v>ATP</c:v>
                </c:pt>
              </c:strCache>
            </c:strRef>
          </c:tx>
          <c:spPr>
            <a:ln w="22225" cap="rnd">
              <a:solidFill>
                <a:schemeClr val="accent3"/>
              </a:solidFill>
            </a:ln>
            <a:effectLst>
              <a:glow rad="139700">
                <a:schemeClr val="accent3">
                  <a:satMod val="175000"/>
                  <a:alpha val="14000"/>
                </a:schemeClr>
              </a:glow>
            </a:effectLst>
          </c:spPr>
          <c:marker>
            <c:symbol val="none"/>
          </c:marker>
          <c:cat>
            <c:multiLvlStrRef>
              <c:f>'Form-indikator'!$D$3:$E$18</c:f>
              <c:multiLvlStrCache>
                <c:ptCount val="16"/>
                <c:lvl>
                  <c:pt idx="0">
                    <c:v>Larsson</c:v>
                  </c:pt>
                  <c:pt idx="1">
                    <c:v>Svensson</c:v>
                  </c:pt>
                  <c:pt idx="2">
                    <c:v>Källström</c:v>
                  </c:pt>
                  <c:pt idx="3">
                    <c:v>K Johansson</c:v>
                  </c:pt>
                  <c:pt idx="4">
                    <c:v>Ljung</c:v>
                  </c:pt>
                  <c:pt idx="5">
                    <c:v>Simonsson</c:v>
                  </c:pt>
                  <c:pt idx="6">
                    <c:v>Glyssbo</c:v>
                  </c:pt>
                  <c:pt idx="7">
                    <c:v>Söder</c:v>
                  </c:pt>
                  <c:pt idx="8">
                    <c:v>Backe</c:v>
                  </c:pt>
                  <c:pt idx="9">
                    <c:v>L Johansson</c:v>
                  </c:pt>
                  <c:pt idx="10">
                    <c:v>B Johansson</c:v>
                  </c:pt>
                  <c:pt idx="11">
                    <c:v>Stranddahl</c:v>
                  </c:pt>
                  <c:pt idx="12">
                    <c:v>Bengtsson</c:v>
                  </c:pt>
                  <c:pt idx="13">
                    <c:v>Åberg</c:v>
                  </c:pt>
                  <c:pt idx="14">
                    <c:v>Nilsson</c:v>
                  </c:pt>
                  <c:pt idx="15">
                    <c:v>Thorvaldsson</c:v>
                  </c:pt>
                </c:lvl>
                <c:lvl>
                  <c:pt idx="0">
                    <c:v>Thomas</c:v>
                  </c:pt>
                  <c:pt idx="1">
                    <c:v>Claes</c:v>
                  </c:pt>
                  <c:pt idx="2">
                    <c:v>Stefan</c:v>
                  </c:pt>
                  <c:pt idx="3">
                    <c:v>Kent</c:v>
                  </c:pt>
                  <c:pt idx="4">
                    <c:v>Niklas </c:v>
                  </c:pt>
                  <c:pt idx="5">
                    <c:v>Jörgen</c:v>
                  </c:pt>
                  <c:pt idx="6">
                    <c:v>PJ</c:v>
                  </c:pt>
                  <c:pt idx="7">
                    <c:v>Jocke</c:v>
                  </c:pt>
                  <c:pt idx="8">
                    <c:v>Göran</c:v>
                  </c:pt>
                  <c:pt idx="9">
                    <c:v>Lalle</c:v>
                  </c:pt>
                  <c:pt idx="10">
                    <c:v>Börje</c:v>
                  </c:pt>
                  <c:pt idx="11">
                    <c:v>Jörgen</c:v>
                  </c:pt>
                  <c:pt idx="12">
                    <c:v>Magnus</c:v>
                  </c:pt>
                  <c:pt idx="13">
                    <c:v>Micke</c:v>
                  </c:pt>
                  <c:pt idx="14">
                    <c:v>Peter</c:v>
                  </c:pt>
                  <c:pt idx="15">
                    <c:v>Stefan</c:v>
                  </c:pt>
                </c:lvl>
              </c:multiLvlStrCache>
            </c:multiLvlStrRef>
          </c:cat>
          <c:val>
            <c:numRef>
              <c:f>'Form-indikator'!$H$3:$H$18</c:f>
              <c:numCache>
                <c:formatCode>General</c:formatCode>
                <c:ptCount val="16"/>
                <c:pt idx="0">
                  <c:v>32</c:v>
                </c:pt>
                <c:pt idx="1">
                  <c:v>-24</c:v>
                </c:pt>
                <c:pt idx="2">
                  <c:v>34</c:v>
                </c:pt>
                <c:pt idx="3">
                  <c:v>29</c:v>
                </c:pt>
                <c:pt idx="4">
                  <c:v>67</c:v>
                </c:pt>
                <c:pt idx="5">
                  <c:v>44</c:v>
                </c:pt>
                <c:pt idx="6">
                  <c:v>49</c:v>
                </c:pt>
                <c:pt idx="7">
                  <c:v>48</c:v>
                </c:pt>
                <c:pt idx="8">
                  <c:v>55</c:v>
                </c:pt>
                <c:pt idx="9">
                  <c:v>33</c:v>
                </c:pt>
                <c:pt idx="10">
                  <c:v>75</c:v>
                </c:pt>
                <c:pt idx="11">
                  <c:v>11</c:v>
                </c:pt>
                <c:pt idx="12">
                  <c:v>-49</c:v>
                </c:pt>
                <c:pt idx="13">
                  <c:v>66</c:v>
                </c:pt>
                <c:pt idx="14">
                  <c:v>73</c:v>
                </c:pt>
                <c:pt idx="15">
                  <c:v>84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0478-4B53-83F2-F293FF84598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782421048"/>
        <c:axId val="782418168"/>
      </c:lineChart>
      <c:catAx>
        <c:axId val="782421048"/>
        <c:scaling>
          <c:orientation val="minMax"/>
        </c:scaling>
        <c:delete val="0"/>
        <c:axPos val="b"/>
        <c:majorGridlines>
          <c:spPr>
            <a:ln w="9525" cap="flat" cmpd="sng" algn="ctr">
              <a:gradFill>
                <a:gsLst>
                  <a:gs pos="100000">
                    <a:schemeClr val="dk1">
                      <a:lumMod val="75000"/>
                      <a:lumOff val="25000"/>
                    </a:schemeClr>
                  </a:gs>
                  <a:gs pos="0">
                    <a:schemeClr val="dk1">
                      <a:lumMod val="65000"/>
                      <a:lumOff val="35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900" b="1" i="0" u="none" strike="noStrike" kern="1200" baseline="0">
                    <a:solidFill>
                      <a:schemeClr val="lt1">
                        <a:lumMod val="7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v-SE"/>
                  <a:t>Spelare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900" b="1" i="0" u="none" strike="noStrike" kern="1200" baseline="0">
                  <a:solidFill>
                    <a:schemeClr val="lt1">
                      <a:lumMod val="7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v-SE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7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SE"/>
          </a:p>
        </c:txPr>
        <c:crossAx val="782418168"/>
        <c:crosses val="autoZero"/>
        <c:auto val="1"/>
        <c:lblAlgn val="ctr"/>
        <c:lblOffset val="100"/>
        <c:noMultiLvlLbl val="0"/>
      </c:catAx>
      <c:valAx>
        <c:axId val="782418168"/>
        <c:scaling>
          <c:orientation val="minMax"/>
        </c:scaling>
        <c:delete val="0"/>
        <c:axPos val="l"/>
        <c:majorGridlines>
          <c:spPr>
            <a:ln w="9525" cap="flat" cmpd="sng" algn="ctr">
              <a:gradFill>
                <a:gsLst>
                  <a:gs pos="100000">
                    <a:schemeClr val="dk1">
                      <a:lumMod val="75000"/>
                      <a:lumOff val="25000"/>
                    </a:schemeClr>
                  </a:gs>
                  <a:gs pos="0">
                    <a:schemeClr val="dk1">
                      <a:lumMod val="65000"/>
                      <a:lumOff val="35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900" b="1" i="0" u="none" strike="noStrike" kern="1200" baseline="0">
                    <a:solidFill>
                      <a:schemeClr val="lt1">
                        <a:lumMod val="7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v-SE"/>
                  <a:t>Värde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900" b="1" i="0" u="none" strike="noStrike" kern="1200" baseline="0">
                  <a:solidFill>
                    <a:schemeClr val="lt1">
                      <a:lumMod val="7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v-SE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7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SE"/>
          </a:p>
        </c:txPr>
        <c:crossAx val="7824210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t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lt1">
                  <a:lumMod val="75000"/>
                </a:schemeClr>
              </a:solidFill>
              <a:latin typeface="+mn-lt"/>
              <a:ea typeface="+mn-ea"/>
              <a:cs typeface="+mn-cs"/>
            </a:defRPr>
          </a:pPr>
          <a:endParaRPr lang="sv-SE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dk1">
        <a:lumMod val="75000"/>
        <a:lumOff val="25000"/>
      </a:schemeClr>
    </a:solidFill>
    <a:ln w="9525" cap="flat" cmpd="sng" algn="ctr">
      <a:solidFill>
        <a:schemeClr val="dk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sv-SE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v-S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cap="none" baseline="0">
              <a:solidFill>
                <a:schemeClr val="lt1">
                  <a:lumMod val="85000"/>
                </a:schemeClr>
              </a:solidFill>
              <a:latin typeface="+mn-lt"/>
              <a:ea typeface="+mn-ea"/>
              <a:cs typeface="+mn-cs"/>
            </a:defRPr>
          </a:pPr>
          <a:endParaRPr lang="sv-SE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'Form-indikator'!$I$2</c:f>
              <c:strCache>
                <c:ptCount val="1"/>
                <c:pt idx="0">
                  <c:v>PGA</c:v>
                </c:pt>
              </c:strCache>
            </c:strRef>
          </c:tx>
          <c:spPr>
            <a:noFill/>
            <a:ln w="9525" cap="flat" cmpd="sng" algn="ctr">
              <a:solidFill>
                <a:schemeClr val="accent1"/>
              </a:solidFill>
              <a:miter lim="800000"/>
            </a:ln>
            <a:effectLst>
              <a:glow rad="63500">
                <a:schemeClr val="accent1">
                  <a:satMod val="175000"/>
                  <a:alpha val="25000"/>
                </a:schemeClr>
              </a:glow>
            </a:effectLst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7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50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'Form-indikator'!$D$3:$E$18</c:f>
              <c:multiLvlStrCache>
                <c:ptCount val="16"/>
                <c:lvl>
                  <c:pt idx="0">
                    <c:v>Larsson</c:v>
                  </c:pt>
                  <c:pt idx="1">
                    <c:v>Svensson</c:v>
                  </c:pt>
                  <c:pt idx="2">
                    <c:v>Källström</c:v>
                  </c:pt>
                  <c:pt idx="3">
                    <c:v>K Johansson</c:v>
                  </c:pt>
                  <c:pt idx="4">
                    <c:v>Ljung</c:v>
                  </c:pt>
                  <c:pt idx="5">
                    <c:v>Simonsson</c:v>
                  </c:pt>
                  <c:pt idx="6">
                    <c:v>Glyssbo</c:v>
                  </c:pt>
                  <c:pt idx="7">
                    <c:v>Söder</c:v>
                  </c:pt>
                  <c:pt idx="8">
                    <c:v>Backe</c:v>
                  </c:pt>
                  <c:pt idx="9">
                    <c:v>L Johansson</c:v>
                  </c:pt>
                  <c:pt idx="10">
                    <c:v>B Johansson</c:v>
                  </c:pt>
                  <c:pt idx="11">
                    <c:v>Stranddahl</c:v>
                  </c:pt>
                  <c:pt idx="12">
                    <c:v>Bengtsson</c:v>
                  </c:pt>
                  <c:pt idx="13">
                    <c:v>Åberg</c:v>
                  </c:pt>
                  <c:pt idx="14">
                    <c:v>Nilsson</c:v>
                  </c:pt>
                  <c:pt idx="15">
                    <c:v>Thorvaldsson</c:v>
                  </c:pt>
                </c:lvl>
                <c:lvl>
                  <c:pt idx="0">
                    <c:v>Thomas</c:v>
                  </c:pt>
                  <c:pt idx="1">
                    <c:v>Claes</c:v>
                  </c:pt>
                  <c:pt idx="2">
                    <c:v>Stefan</c:v>
                  </c:pt>
                  <c:pt idx="3">
                    <c:v>Kent</c:v>
                  </c:pt>
                  <c:pt idx="4">
                    <c:v>Niklas </c:v>
                  </c:pt>
                  <c:pt idx="5">
                    <c:v>Jörgen</c:v>
                  </c:pt>
                  <c:pt idx="6">
                    <c:v>PJ</c:v>
                  </c:pt>
                  <c:pt idx="7">
                    <c:v>Jocke</c:v>
                  </c:pt>
                  <c:pt idx="8">
                    <c:v>Göran</c:v>
                  </c:pt>
                  <c:pt idx="9">
                    <c:v>Lalle</c:v>
                  </c:pt>
                  <c:pt idx="10">
                    <c:v>Börje</c:v>
                  </c:pt>
                  <c:pt idx="11">
                    <c:v>Jörgen</c:v>
                  </c:pt>
                  <c:pt idx="12">
                    <c:v>Magnus</c:v>
                  </c:pt>
                  <c:pt idx="13">
                    <c:v>Micke</c:v>
                  </c:pt>
                  <c:pt idx="14">
                    <c:v>Peter</c:v>
                  </c:pt>
                  <c:pt idx="15">
                    <c:v>Stefan</c:v>
                  </c:pt>
                </c:lvl>
              </c:multiLvlStrCache>
            </c:multiLvlStrRef>
          </c:cat>
          <c:val>
            <c:numRef>
              <c:f>'Form-indikator'!$I$3:$I$18</c:f>
              <c:numCache>
                <c:formatCode>[$$-409]#\ ##0</c:formatCode>
                <c:ptCount val="16"/>
                <c:pt idx="0">
                  <c:v>400</c:v>
                </c:pt>
                <c:pt idx="1">
                  <c:v>0</c:v>
                </c:pt>
                <c:pt idx="2">
                  <c:v>600</c:v>
                </c:pt>
                <c:pt idx="3">
                  <c:v>300</c:v>
                </c:pt>
                <c:pt idx="4">
                  <c:v>1100</c:v>
                </c:pt>
                <c:pt idx="5">
                  <c:v>100</c:v>
                </c:pt>
                <c:pt idx="6">
                  <c:v>600</c:v>
                </c:pt>
                <c:pt idx="7">
                  <c:v>600</c:v>
                </c:pt>
                <c:pt idx="8">
                  <c:v>800</c:v>
                </c:pt>
                <c:pt idx="9">
                  <c:v>0</c:v>
                </c:pt>
                <c:pt idx="10">
                  <c:v>1800</c:v>
                </c:pt>
                <c:pt idx="11">
                  <c:v>0</c:v>
                </c:pt>
                <c:pt idx="12">
                  <c:v>0</c:v>
                </c:pt>
                <c:pt idx="13">
                  <c:v>900</c:v>
                </c:pt>
                <c:pt idx="14">
                  <c:v>1400</c:v>
                </c:pt>
                <c:pt idx="15">
                  <c:v>3100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C2F-44B6-A6BE-C80F8B1E404E}"/>
            </c:ext>
          </c:extLst>
        </c:ser>
        <c:dLbls>
          <c:dLblPos val="inEnd"/>
          <c:showLegendKey val="0"/>
          <c:showVal val="1"/>
          <c:showCatName val="0"/>
          <c:showSerName val="0"/>
          <c:showPercent val="0"/>
          <c:showBubbleSize val="0"/>
        </c:dLbls>
        <c:gapWidth val="315"/>
        <c:overlap val="-40"/>
        <c:axId val="935462240"/>
        <c:axId val="935465840"/>
      </c:barChart>
      <c:catAx>
        <c:axId val="935462240"/>
        <c:scaling>
          <c:orientation val="minMax"/>
        </c:scaling>
        <c:delete val="0"/>
        <c:axPos val="b"/>
        <c:majorGridlines>
          <c:spPr>
            <a:ln w="9525" cap="flat" cmpd="sng" algn="ctr">
              <a:gradFill>
                <a:gsLst>
                  <a:gs pos="100000">
                    <a:schemeClr val="dk1">
                      <a:lumMod val="75000"/>
                      <a:lumOff val="25000"/>
                    </a:schemeClr>
                  </a:gs>
                  <a:gs pos="0">
                    <a:schemeClr val="dk1">
                      <a:lumMod val="65000"/>
                      <a:lumOff val="35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900" b="1" i="0" u="none" strike="noStrike" kern="1200" baseline="0">
                    <a:solidFill>
                      <a:schemeClr val="lt1">
                        <a:lumMod val="7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v-SE"/>
                  <a:t>Spelare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900" b="1" i="0" u="none" strike="noStrike" kern="1200" baseline="0">
                  <a:solidFill>
                    <a:schemeClr val="lt1">
                      <a:lumMod val="7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v-SE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7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SE"/>
          </a:p>
        </c:txPr>
        <c:crossAx val="935465840"/>
        <c:crosses val="autoZero"/>
        <c:auto val="1"/>
        <c:lblAlgn val="ctr"/>
        <c:lblOffset val="100"/>
        <c:noMultiLvlLbl val="0"/>
      </c:catAx>
      <c:valAx>
        <c:axId val="935465840"/>
        <c:scaling>
          <c:orientation val="minMax"/>
        </c:scaling>
        <c:delete val="0"/>
        <c:axPos val="l"/>
        <c:majorGridlines>
          <c:spPr>
            <a:ln w="9525" cap="flat" cmpd="sng" algn="ctr">
              <a:gradFill>
                <a:gsLst>
                  <a:gs pos="100000">
                    <a:schemeClr val="dk1">
                      <a:lumMod val="75000"/>
                      <a:lumOff val="25000"/>
                    </a:schemeClr>
                  </a:gs>
                  <a:gs pos="0">
                    <a:schemeClr val="dk1">
                      <a:lumMod val="65000"/>
                      <a:lumOff val="35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900" b="1" i="0" u="none" strike="noStrike" kern="1200" baseline="0">
                    <a:solidFill>
                      <a:schemeClr val="lt1">
                        <a:lumMod val="7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v-SE"/>
                  <a:t>Vinstsumma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900" b="1" i="0" u="none" strike="noStrike" kern="1200" baseline="0">
                  <a:solidFill>
                    <a:schemeClr val="lt1">
                      <a:lumMod val="7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v-SE"/>
            </a:p>
          </c:txPr>
        </c:title>
        <c:numFmt formatCode="[$$-409]#\ ##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7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SE"/>
          </a:p>
        </c:txPr>
        <c:crossAx val="93546224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dk1">
        <a:lumMod val="75000"/>
        <a:lumOff val="25000"/>
      </a:schemeClr>
    </a:solidFill>
    <a:ln w="9525" cap="flat" cmpd="sng" algn="ctr">
      <a:solidFill>
        <a:schemeClr val="dk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sv-SE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v-S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spc="100" baseline="0">
                <a:solidFill>
                  <a:schemeClr val="lt1">
                    <a:lumMod val="95000"/>
                  </a:schemeClr>
                </a:solidFill>
                <a:effectLst>
                  <a:outerShdw blurRad="50800" dist="38100" dir="5400000" algn="t" rotWithShape="0">
                    <a:prstClr val="black">
                      <a:alpha val="40000"/>
                    </a:prstClr>
                  </a:outerShdw>
                </a:effectLst>
                <a:latin typeface="+mn-lt"/>
                <a:ea typeface="+mn-ea"/>
                <a:cs typeface="+mn-cs"/>
              </a:defRPr>
            </a:pPr>
            <a:r>
              <a:rPr lang="sv-SE"/>
              <a:t>Dreamscore år för år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spc="100" baseline="0">
              <a:solidFill>
                <a:schemeClr val="lt1">
                  <a:lumMod val="95000"/>
                </a:schemeClr>
              </a:solidFill>
              <a:effectLst>
                <a:outerShdw blurRad="50800" dist="38100" dir="5400000" algn="t" rotWithShape="0">
                  <a:prstClr val="black">
                    <a:alpha val="40000"/>
                  </a:prstClr>
                </a:outerShdw>
              </a:effectLst>
              <a:latin typeface="+mn-lt"/>
              <a:ea typeface="+mn-ea"/>
              <a:cs typeface="+mn-cs"/>
            </a:defRPr>
          </a:pPr>
          <a:endParaRPr lang="sv-SE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'Dream H'!$D$3</c:f>
              <c:strCache>
                <c:ptCount val="1"/>
                <c:pt idx="0">
                  <c:v>2009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hade val="51000"/>
                    <a:satMod val="130000"/>
                  </a:schemeClr>
                </a:gs>
                <a:gs pos="80000">
                  <a:schemeClr val="accent1">
                    <a:shade val="93000"/>
                    <a:satMod val="130000"/>
                  </a:schemeClr>
                </a:gs>
                <a:gs pos="100000">
                  <a:schemeClr val="accent1">
                    <a:shade val="94000"/>
                    <a:satMod val="135000"/>
                  </a:schemeClr>
                </a:gs>
              </a:gsLst>
              <a:lin ang="16200000" scaled="0"/>
            </a:gradFill>
            <a:ln>
              <a:noFill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  <a:scene3d>
              <a:camera prst="orthographicFront">
                <a:rot lat="0" lon="0" rev="0"/>
              </a:camera>
              <a:lightRig rig="threePt" dir="t">
                <a:rot lat="0" lon="0" rev="1200000"/>
              </a:lightRig>
            </a:scene3d>
            <a:sp3d>
              <a:bevelT w="63500" h="25400"/>
            </a:sp3d>
          </c:spPr>
          <c:invertIfNegative val="0"/>
          <c:cat>
            <c:multiLvlStrRef>
              <c:f>'Dream H'!$B$4:$C$19</c:f>
              <c:multiLvlStrCache>
                <c:ptCount val="16"/>
                <c:lvl>
                  <c:pt idx="0">
                    <c:v>Backe</c:v>
                  </c:pt>
                  <c:pt idx="1">
                    <c:v>Åberg</c:v>
                  </c:pt>
                  <c:pt idx="2">
                    <c:v>Johansson</c:v>
                  </c:pt>
                  <c:pt idx="3">
                    <c:v>Simonsson</c:v>
                  </c:pt>
                  <c:pt idx="4">
                    <c:v>Svensson</c:v>
                  </c:pt>
                  <c:pt idx="5">
                    <c:v>Johansson</c:v>
                  </c:pt>
                  <c:pt idx="6">
                    <c:v>Nilsson</c:v>
                  </c:pt>
                  <c:pt idx="7">
                    <c:v>Bengtsson</c:v>
                  </c:pt>
                  <c:pt idx="8">
                    <c:v>Larsson</c:v>
                  </c:pt>
                  <c:pt idx="9">
                    <c:v>Stranddahl</c:v>
                  </c:pt>
                  <c:pt idx="10">
                    <c:v>Thorvaldsson</c:v>
                  </c:pt>
                  <c:pt idx="11">
                    <c:v>Söder</c:v>
                  </c:pt>
                  <c:pt idx="12">
                    <c:v>Ljung</c:v>
                  </c:pt>
                  <c:pt idx="13">
                    <c:v>Glyssbo</c:v>
                  </c:pt>
                  <c:pt idx="14">
                    <c:v>Källström</c:v>
                  </c:pt>
                  <c:pt idx="15">
                    <c:v>Johansson</c:v>
                  </c:pt>
                </c:lvl>
                <c:lvl>
                  <c:pt idx="0">
                    <c:v>Göran</c:v>
                  </c:pt>
                  <c:pt idx="1">
                    <c:v>Micke</c:v>
                  </c:pt>
                  <c:pt idx="2">
                    <c:v>Börje</c:v>
                  </c:pt>
                  <c:pt idx="3">
                    <c:v>Jörgen</c:v>
                  </c:pt>
                  <c:pt idx="4">
                    <c:v>Claes</c:v>
                  </c:pt>
                  <c:pt idx="5">
                    <c:v>Lalle</c:v>
                  </c:pt>
                  <c:pt idx="6">
                    <c:v>Peter</c:v>
                  </c:pt>
                  <c:pt idx="7">
                    <c:v>Magnus</c:v>
                  </c:pt>
                  <c:pt idx="8">
                    <c:v>Thomas</c:v>
                  </c:pt>
                  <c:pt idx="9">
                    <c:v>Jörgen</c:v>
                  </c:pt>
                  <c:pt idx="10">
                    <c:v>Stefan</c:v>
                  </c:pt>
                  <c:pt idx="11">
                    <c:v>Jocke</c:v>
                  </c:pt>
                  <c:pt idx="12">
                    <c:v>Niklas</c:v>
                  </c:pt>
                  <c:pt idx="13">
                    <c:v>PJ</c:v>
                  </c:pt>
                  <c:pt idx="14">
                    <c:v>Stefan</c:v>
                  </c:pt>
                  <c:pt idx="15">
                    <c:v>Kent</c:v>
                  </c:pt>
                </c:lvl>
              </c:multiLvlStrCache>
            </c:multiLvlStrRef>
          </c:cat>
          <c:val>
            <c:numRef>
              <c:f>'Dream H'!$D$4:$D$19</c:f>
              <c:numCache>
                <c:formatCode>General</c:formatCode>
                <c:ptCount val="16"/>
                <c:pt idx="0">
                  <c:v>80</c:v>
                </c:pt>
                <c:pt idx="1">
                  <c:v>74</c:v>
                </c:pt>
                <c:pt idx="2">
                  <c:v>75</c:v>
                </c:pt>
                <c:pt idx="3">
                  <c:v>74</c:v>
                </c:pt>
                <c:pt idx="4">
                  <c:v>75</c:v>
                </c:pt>
                <c:pt idx="5">
                  <c:v>88</c:v>
                </c:pt>
                <c:pt idx="6">
                  <c:v>72</c:v>
                </c:pt>
                <c:pt idx="7">
                  <c:v>70</c:v>
                </c:pt>
                <c:pt idx="8">
                  <c:v>112</c:v>
                </c:pt>
                <c:pt idx="9">
                  <c:v>80</c:v>
                </c:pt>
                <c:pt idx="10">
                  <c:v>67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24D-440E-9570-18871FDCD5C7}"/>
            </c:ext>
          </c:extLst>
        </c:ser>
        <c:ser>
          <c:idx val="1"/>
          <c:order val="1"/>
          <c:tx>
            <c:strRef>
              <c:f>'Dream H'!$E$3</c:f>
              <c:strCache>
                <c:ptCount val="1"/>
                <c:pt idx="0">
                  <c:v>2010</c:v>
                </c:pt>
              </c:strCache>
            </c:strRef>
          </c:tx>
          <c:spPr>
            <a:gradFill rotWithShape="1">
              <a:gsLst>
                <a:gs pos="0">
                  <a:schemeClr val="accent2">
                    <a:shade val="51000"/>
                    <a:satMod val="130000"/>
                  </a:schemeClr>
                </a:gs>
                <a:gs pos="80000">
                  <a:schemeClr val="accent2">
                    <a:shade val="93000"/>
                    <a:satMod val="130000"/>
                  </a:schemeClr>
                </a:gs>
                <a:gs pos="100000">
                  <a:schemeClr val="accent2">
                    <a:shade val="94000"/>
                    <a:satMod val="135000"/>
                  </a:schemeClr>
                </a:gs>
              </a:gsLst>
              <a:lin ang="16200000" scaled="0"/>
            </a:gradFill>
            <a:ln>
              <a:noFill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  <a:scene3d>
              <a:camera prst="orthographicFront">
                <a:rot lat="0" lon="0" rev="0"/>
              </a:camera>
              <a:lightRig rig="threePt" dir="t">
                <a:rot lat="0" lon="0" rev="1200000"/>
              </a:lightRig>
            </a:scene3d>
            <a:sp3d>
              <a:bevelT w="63500" h="25400"/>
            </a:sp3d>
          </c:spPr>
          <c:invertIfNegative val="0"/>
          <c:cat>
            <c:multiLvlStrRef>
              <c:f>'Dream H'!$B$4:$C$19</c:f>
              <c:multiLvlStrCache>
                <c:ptCount val="16"/>
                <c:lvl>
                  <c:pt idx="0">
                    <c:v>Backe</c:v>
                  </c:pt>
                  <c:pt idx="1">
                    <c:v>Åberg</c:v>
                  </c:pt>
                  <c:pt idx="2">
                    <c:v>Johansson</c:v>
                  </c:pt>
                  <c:pt idx="3">
                    <c:v>Simonsson</c:v>
                  </c:pt>
                  <c:pt idx="4">
                    <c:v>Svensson</c:v>
                  </c:pt>
                  <c:pt idx="5">
                    <c:v>Johansson</c:v>
                  </c:pt>
                  <c:pt idx="6">
                    <c:v>Nilsson</c:v>
                  </c:pt>
                  <c:pt idx="7">
                    <c:v>Bengtsson</c:v>
                  </c:pt>
                  <c:pt idx="8">
                    <c:v>Larsson</c:v>
                  </c:pt>
                  <c:pt idx="9">
                    <c:v>Stranddahl</c:v>
                  </c:pt>
                  <c:pt idx="10">
                    <c:v>Thorvaldsson</c:v>
                  </c:pt>
                  <c:pt idx="11">
                    <c:v>Söder</c:v>
                  </c:pt>
                  <c:pt idx="12">
                    <c:v>Ljung</c:v>
                  </c:pt>
                  <c:pt idx="13">
                    <c:v>Glyssbo</c:v>
                  </c:pt>
                  <c:pt idx="14">
                    <c:v>Källström</c:v>
                  </c:pt>
                  <c:pt idx="15">
                    <c:v>Johansson</c:v>
                  </c:pt>
                </c:lvl>
                <c:lvl>
                  <c:pt idx="0">
                    <c:v>Göran</c:v>
                  </c:pt>
                  <c:pt idx="1">
                    <c:v>Micke</c:v>
                  </c:pt>
                  <c:pt idx="2">
                    <c:v>Börje</c:v>
                  </c:pt>
                  <c:pt idx="3">
                    <c:v>Jörgen</c:v>
                  </c:pt>
                  <c:pt idx="4">
                    <c:v>Claes</c:v>
                  </c:pt>
                  <c:pt idx="5">
                    <c:v>Lalle</c:v>
                  </c:pt>
                  <c:pt idx="6">
                    <c:v>Peter</c:v>
                  </c:pt>
                  <c:pt idx="7">
                    <c:v>Magnus</c:v>
                  </c:pt>
                  <c:pt idx="8">
                    <c:v>Thomas</c:v>
                  </c:pt>
                  <c:pt idx="9">
                    <c:v>Jörgen</c:v>
                  </c:pt>
                  <c:pt idx="10">
                    <c:v>Stefan</c:v>
                  </c:pt>
                  <c:pt idx="11">
                    <c:v>Jocke</c:v>
                  </c:pt>
                  <c:pt idx="12">
                    <c:v>Niklas</c:v>
                  </c:pt>
                  <c:pt idx="13">
                    <c:v>PJ</c:v>
                  </c:pt>
                  <c:pt idx="14">
                    <c:v>Stefan</c:v>
                  </c:pt>
                  <c:pt idx="15">
                    <c:v>Kent</c:v>
                  </c:pt>
                </c:lvl>
              </c:multiLvlStrCache>
            </c:multiLvlStrRef>
          </c:cat>
          <c:val>
            <c:numRef>
              <c:f>'Dream H'!$E$4:$E$19</c:f>
              <c:numCache>
                <c:formatCode>General</c:formatCode>
                <c:ptCount val="16"/>
                <c:pt idx="0">
                  <c:v>84</c:v>
                </c:pt>
                <c:pt idx="1">
                  <c:v>77</c:v>
                </c:pt>
                <c:pt idx="2">
                  <c:v>80</c:v>
                </c:pt>
                <c:pt idx="3">
                  <c:v>78</c:v>
                </c:pt>
                <c:pt idx="4">
                  <c:v>73</c:v>
                </c:pt>
                <c:pt idx="5">
                  <c:v>91</c:v>
                </c:pt>
                <c:pt idx="6">
                  <c:v>71</c:v>
                </c:pt>
                <c:pt idx="7">
                  <c:v>75</c:v>
                </c:pt>
                <c:pt idx="8">
                  <c:v>87</c:v>
                </c:pt>
                <c:pt idx="9">
                  <c:v>90</c:v>
                </c:pt>
                <c:pt idx="10">
                  <c:v>75</c:v>
                </c:pt>
                <c:pt idx="12">
                  <c:v>81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B24D-440E-9570-18871FDCD5C7}"/>
            </c:ext>
          </c:extLst>
        </c:ser>
        <c:ser>
          <c:idx val="2"/>
          <c:order val="2"/>
          <c:tx>
            <c:strRef>
              <c:f>'Dream H'!$F$3</c:f>
              <c:strCache>
                <c:ptCount val="1"/>
                <c:pt idx="0">
                  <c:v>2012</c:v>
                </c:pt>
              </c:strCache>
            </c:strRef>
          </c:tx>
          <c:spPr>
            <a:gradFill rotWithShape="1">
              <a:gsLst>
                <a:gs pos="0">
                  <a:schemeClr val="accent3">
                    <a:shade val="51000"/>
                    <a:satMod val="130000"/>
                  </a:schemeClr>
                </a:gs>
                <a:gs pos="80000">
                  <a:schemeClr val="accent3">
                    <a:shade val="93000"/>
                    <a:satMod val="130000"/>
                  </a:schemeClr>
                </a:gs>
                <a:gs pos="100000">
                  <a:schemeClr val="accent3">
                    <a:shade val="94000"/>
                    <a:satMod val="135000"/>
                  </a:schemeClr>
                </a:gs>
              </a:gsLst>
              <a:lin ang="16200000" scaled="0"/>
            </a:gradFill>
            <a:ln>
              <a:noFill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  <a:scene3d>
              <a:camera prst="orthographicFront">
                <a:rot lat="0" lon="0" rev="0"/>
              </a:camera>
              <a:lightRig rig="threePt" dir="t">
                <a:rot lat="0" lon="0" rev="1200000"/>
              </a:lightRig>
            </a:scene3d>
            <a:sp3d>
              <a:bevelT w="63500" h="25400"/>
            </a:sp3d>
          </c:spPr>
          <c:invertIfNegative val="0"/>
          <c:cat>
            <c:multiLvlStrRef>
              <c:f>'Dream H'!$B$4:$C$19</c:f>
              <c:multiLvlStrCache>
                <c:ptCount val="16"/>
                <c:lvl>
                  <c:pt idx="0">
                    <c:v>Backe</c:v>
                  </c:pt>
                  <c:pt idx="1">
                    <c:v>Åberg</c:v>
                  </c:pt>
                  <c:pt idx="2">
                    <c:v>Johansson</c:v>
                  </c:pt>
                  <c:pt idx="3">
                    <c:v>Simonsson</c:v>
                  </c:pt>
                  <c:pt idx="4">
                    <c:v>Svensson</c:v>
                  </c:pt>
                  <c:pt idx="5">
                    <c:v>Johansson</c:v>
                  </c:pt>
                  <c:pt idx="6">
                    <c:v>Nilsson</c:v>
                  </c:pt>
                  <c:pt idx="7">
                    <c:v>Bengtsson</c:v>
                  </c:pt>
                  <c:pt idx="8">
                    <c:v>Larsson</c:v>
                  </c:pt>
                  <c:pt idx="9">
                    <c:v>Stranddahl</c:v>
                  </c:pt>
                  <c:pt idx="10">
                    <c:v>Thorvaldsson</c:v>
                  </c:pt>
                  <c:pt idx="11">
                    <c:v>Söder</c:v>
                  </c:pt>
                  <c:pt idx="12">
                    <c:v>Ljung</c:v>
                  </c:pt>
                  <c:pt idx="13">
                    <c:v>Glyssbo</c:v>
                  </c:pt>
                  <c:pt idx="14">
                    <c:v>Källström</c:v>
                  </c:pt>
                  <c:pt idx="15">
                    <c:v>Johansson</c:v>
                  </c:pt>
                </c:lvl>
                <c:lvl>
                  <c:pt idx="0">
                    <c:v>Göran</c:v>
                  </c:pt>
                  <c:pt idx="1">
                    <c:v>Micke</c:v>
                  </c:pt>
                  <c:pt idx="2">
                    <c:v>Börje</c:v>
                  </c:pt>
                  <c:pt idx="3">
                    <c:v>Jörgen</c:v>
                  </c:pt>
                  <c:pt idx="4">
                    <c:v>Claes</c:v>
                  </c:pt>
                  <c:pt idx="5">
                    <c:v>Lalle</c:v>
                  </c:pt>
                  <c:pt idx="6">
                    <c:v>Peter</c:v>
                  </c:pt>
                  <c:pt idx="7">
                    <c:v>Magnus</c:v>
                  </c:pt>
                  <c:pt idx="8">
                    <c:v>Thomas</c:v>
                  </c:pt>
                  <c:pt idx="9">
                    <c:v>Jörgen</c:v>
                  </c:pt>
                  <c:pt idx="10">
                    <c:v>Stefan</c:v>
                  </c:pt>
                  <c:pt idx="11">
                    <c:v>Jocke</c:v>
                  </c:pt>
                  <c:pt idx="12">
                    <c:v>Niklas</c:v>
                  </c:pt>
                  <c:pt idx="13">
                    <c:v>PJ</c:v>
                  </c:pt>
                  <c:pt idx="14">
                    <c:v>Stefan</c:v>
                  </c:pt>
                  <c:pt idx="15">
                    <c:v>Kent</c:v>
                  </c:pt>
                </c:lvl>
              </c:multiLvlStrCache>
            </c:multiLvlStrRef>
          </c:cat>
          <c:val>
            <c:numRef>
              <c:f>'Dream H'!$F$4:$F$19</c:f>
              <c:numCache>
                <c:formatCode>General</c:formatCode>
                <c:ptCount val="16"/>
                <c:pt idx="0">
                  <c:v>83</c:v>
                </c:pt>
                <c:pt idx="1">
                  <c:v>79</c:v>
                </c:pt>
                <c:pt idx="2">
                  <c:v>72</c:v>
                </c:pt>
                <c:pt idx="3">
                  <c:v>74</c:v>
                </c:pt>
                <c:pt idx="4">
                  <c:v>76</c:v>
                </c:pt>
                <c:pt idx="5">
                  <c:v>79</c:v>
                </c:pt>
                <c:pt idx="6">
                  <c:v>73</c:v>
                </c:pt>
                <c:pt idx="7">
                  <c:v>76</c:v>
                </c:pt>
                <c:pt idx="8">
                  <c:v>80</c:v>
                </c:pt>
                <c:pt idx="9">
                  <c:v>82</c:v>
                </c:pt>
                <c:pt idx="10">
                  <c:v>71</c:v>
                </c:pt>
                <c:pt idx="11">
                  <c:v>76</c:v>
                </c:pt>
                <c:pt idx="12">
                  <c:v>87</c:v>
                </c:pt>
                <c:pt idx="13">
                  <c:v>71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B24D-440E-9570-18871FDCD5C7}"/>
            </c:ext>
          </c:extLst>
        </c:ser>
        <c:ser>
          <c:idx val="3"/>
          <c:order val="3"/>
          <c:tx>
            <c:strRef>
              <c:f>'Dream H'!$G$3</c:f>
              <c:strCache>
                <c:ptCount val="1"/>
                <c:pt idx="0">
                  <c:v>2013</c:v>
                </c:pt>
              </c:strCache>
            </c:strRef>
          </c:tx>
          <c:spPr>
            <a:gradFill rotWithShape="1">
              <a:gsLst>
                <a:gs pos="0">
                  <a:schemeClr val="accent4">
                    <a:shade val="51000"/>
                    <a:satMod val="130000"/>
                  </a:schemeClr>
                </a:gs>
                <a:gs pos="80000">
                  <a:schemeClr val="accent4">
                    <a:shade val="93000"/>
                    <a:satMod val="130000"/>
                  </a:schemeClr>
                </a:gs>
                <a:gs pos="100000">
                  <a:schemeClr val="accent4">
                    <a:shade val="94000"/>
                    <a:satMod val="135000"/>
                  </a:schemeClr>
                </a:gs>
              </a:gsLst>
              <a:lin ang="16200000" scaled="0"/>
            </a:gradFill>
            <a:ln>
              <a:noFill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  <a:scene3d>
              <a:camera prst="orthographicFront">
                <a:rot lat="0" lon="0" rev="0"/>
              </a:camera>
              <a:lightRig rig="threePt" dir="t">
                <a:rot lat="0" lon="0" rev="1200000"/>
              </a:lightRig>
            </a:scene3d>
            <a:sp3d>
              <a:bevelT w="63500" h="25400"/>
            </a:sp3d>
          </c:spPr>
          <c:invertIfNegative val="0"/>
          <c:cat>
            <c:multiLvlStrRef>
              <c:f>'Dream H'!$B$4:$C$19</c:f>
              <c:multiLvlStrCache>
                <c:ptCount val="16"/>
                <c:lvl>
                  <c:pt idx="0">
                    <c:v>Backe</c:v>
                  </c:pt>
                  <c:pt idx="1">
                    <c:v>Åberg</c:v>
                  </c:pt>
                  <c:pt idx="2">
                    <c:v>Johansson</c:v>
                  </c:pt>
                  <c:pt idx="3">
                    <c:v>Simonsson</c:v>
                  </c:pt>
                  <c:pt idx="4">
                    <c:v>Svensson</c:v>
                  </c:pt>
                  <c:pt idx="5">
                    <c:v>Johansson</c:v>
                  </c:pt>
                  <c:pt idx="6">
                    <c:v>Nilsson</c:v>
                  </c:pt>
                  <c:pt idx="7">
                    <c:v>Bengtsson</c:v>
                  </c:pt>
                  <c:pt idx="8">
                    <c:v>Larsson</c:v>
                  </c:pt>
                  <c:pt idx="9">
                    <c:v>Stranddahl</c:v>
                  </c:pt>
                  <c:pt idx="10">
                    <c:v>Thorvaldsson</c:v>
                  </c:pt>
                  <c:pt idx="11">
                    <c:v>Söder</c:v>
                  </c:pt>
                  <c:pt idx="12">
                    <c:v>Ljung</c:v>
                  </c:pt>
                  <c:pt idx="13">
                    <c:v>Glyssbo</c:v>
                  </c:pt>
                  <c:pt idx="14">
                    <c:v>Källström</c:v>
                  </c:pt>
                  <c:pt idx="15">
                    <c:v>Johansson</c:v>
                  </c:pt>
                </c:lvl>
                <c:lvl>
                  <c:pt idx="0">
                    <c:v>Göran</c:v>
                  </c:pt>
                  <c:pt idx="1">
                    <c:v>Micke</c:v>
                  </c:pt>
                  <c:pt idx="2">
                    <c:v>Börje</c:v>
                  </c:pt>
                  <c:pt idx="3">
                    <c:v>Jörgen</c:v>
                  </c:pt>
                  <c:pt idx="4">
                    <c:v>Claes</c:v>
                  </c:pt>
                  <c:pt idx="5">
                    <c:v>Lalle</c:v>
                  </c:pt>
                  <c:pt idx="6">
                    <c:v>Peter</c:v>
                  </c:pt>
                  <c:pt idx="7">
                    <c:v>Magnus</c:v>
                  </c:pt>
                  <c:pt idx="8">
                    <c:v>Thomas</c:v>
                  </c:pt>
                  <c:pt idx="9">
                    <c:v>Jörgen</c:v>
                  </c:pt>
                  <c:pt idx="10">
                    <c:v>Stefan</c:v>
                  </c:pt>
                  <c:pt idx="11">
                    <c:v>Jocke</c:v>
                  </c:pt>
                  <c:pt idx="12">
                    <c:v>Niklas</c:v>
                  </c:pt>
                  <c:pt idx="13">
                    <c:v>PJ</c:v>
                  </c:pt>
                  <c:pt idx="14">
                    <c:v>Stefan</c:v>
                  </c:pt>
                  <c:pt idx="15">
                    <c:v>Kent</c:v>
                  </c:pt>
                </c:lvl>
              </c:multiLvlStrCache>
            </c:multiLvlStrRef>
          </c:cat>
          <c:val>
            <c:numRef>
              <c:f>'Dream H'!$G$4:$G$19</c:f>
              <c:numCache>
                <c:formatCode>General</c:formatCode>
                <c:ptCount val="16"/>
                <c:pt idx="0">
                  <c:v>84</c:v>
                </c:pt>
                <c:pt idx="1">
                  <c:v>70</c:v>
                </c:pt>
                <c:pt idx="2">
                  <c:v>72</c:v>
                </c:pt>
                <c:pt idx="3">
                  <c:v>74</c:v>
                </c:pt>
                <c:pt idx="4">
                  <c:v>73</c:v>
                </c:pt>
                <c:pt idx="5">
                  <c:v>79</c:v>
                </c:pt>
                <c:pt idx="6">
                  <c:v>71</c:v>
                </c:pt>
                <c:pt idx="7">
                  <c:v>75</c:v>
                </c:pt>
                <c:pt idx="8">
                  <c:v>80</c:v>
                </c:pt>
                <c:pt idx="9">
                  <c:v>82</c:v>
                </c:pt>
                <c:pt idx="10">
                  <c:v>68</c:v>
                </c:pt>
                <c:pt idx="11">
                  <c:v>76</c:v>
                </c:pt>
                <c:pt idx="12">
                  <c:v>71</c:v>
                </c:pt>
                <c:pt idx="13">
                  <c:v>70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B24D-440E-9570-18871FDCD5C7}"/>
            </c:ext>
          </c:extLst>
        </c:ser>
        <c:ser>
          <c:idx val="4"/>
          <c:order val="4"/>
          <c:tx>
            <c:strRef>
              <c:f>'Dream H'!$H$3</c:f>
              <c:strCache>
                <c:ptCount val="1"/>
                <c:pt idx="0">
                  <c:v>2014</c:v>
                </c:pt>
              </c:strCache>
            </c:strRef>
          </c:tx>
          <c:spPr>
            <a:gradFill rotWithShape="1">
              <a:gsLst>
                <a:gs pos="0">
                  <a:schemeClr val="accent5">
                    <a:shade val="51000"/>
                    <a:satMod val="130000"/>
                  </a:schemeClr>
                </a:gs>
                <a:gs pos="80000">
                  <a:schemeClr val="accent5">
                    <a:shade val="93000"/>
                    <a:satMod val="130000"/>
                  </a:schemeClr>
                </a:gs>
                <a:gs pos="100000">
                  <a:schemeClr val="accent5">
                    <a:shade val="94000"/>
                    <a:satMod val="135000"/>
                  </a:schemeClr>
                </a:gs>
              </a:gsLst>
              <a:lin ang="16200000" scaled="0"/>
            </a:gradFill>
            <a:ln>
              <a:noFill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  <a:scene3d>
              <a:camera prst="orthographicFront">
                <a:rot lat="0" lon="0" rev="0"/>
              </a:camera>
              <a:lightRig rig="threePt" dir="t">
                <a:rot lat="0" lon="0" rev="1200000"/>
              </a:lightRig>
            </a:scene3d>
            <a:sp3d>
              <a:bevelT w="63500" h="25400"/>
            </a:sp3d>
          </c:spPr>
          <c:invertIfNegative val="0"/>
          <c:cat>
            <c:multiLvlStrRef>
              <c:f>'Dream H'!$B$4:$C$19</c:f>
              <c:multiLvlStrCache>
                <c:ptCount val="16"/>
                <c:lvl>
                  <c:pt idx="0">
                    <c:v>Backe</c:v>
                  </c:pt>
                  <c:pt idx="1">
                    <c:v>Åberg</c:v>
                  </c:pt>
                  <c:pt idx="2">
                    <c:v>Johansson</c:v>
                  </c:pt>
                  <c:pt idx="3">
                    <c:v>Simonsson</c:v>
                  </c:pt>
                  <c:pt idx="4">
                    <c:v>Svensson</c:v>
                  </c:pt>
                  <c:pt idx="5">
                    <c:v>Johansson</c:v>
                  </c:pt>
                  <c:pt idx="6">
                    <c:v>Nilsson</c:v>
                  </c:pt>
                  <c:pt idx="7">
                    <c:v>Bengtsson</c:v>
                  </c:pt>
                  <c:pt idx="8">
                    <c:v>Larsson</c:v>
                  </c:pt>
                  <c:pt idx="9">
                    <c:v>Stranddahl</c:v>
                  </c:pt>
                  <c:pt idx="10">
                    <c:v>Thorvaldsson</c:v>
                  </c:pt>
                  <c:pt idx="11">
                    <c:v>Söder</c:v>
                  </c:pt>
                  <c:pt idx="12">
                    <c:v>Ljung</c:v>
                  </c:pt>
                  <c:pt idx="13">
                    <c:v>Glyssbo</c:v>
                  </c:pt>
                  <c:pt idx="14">
                    <c:v>Källström</c:v>
                  </c:pt>
                  <c:pt idx="15">
                    <c:v>Johansson</c:v>
                  </c:pt>
                </c:lvl>
                <c:lvl>
                  <c:pt idx="0">
                    <c:v>Göran</c:v>
                  </c:pt>
                  <c:pt idx="1">
                    <c:v>Micke</c:v>
                  </c:pt>
                  <c:pt idx="2">
                    <c:v>Börje</c:v>
                  </c:pt>
                  <c:pt idx="3">
                    <c:v>Jörgen</c:v>
                  </c:pt>
                  <c:pt idx="4">
                    <c:v>Claes</c:v>
                  </c:pt>
                  <c:pt idx="5">
                    <c:v>Lalle</c:v>
                  </c:pt>
                  <c:pt idx="6">
                    <c:v>Peter</c:v>
                  </c:pt>
                  <c:pt idx="7">
                    <c:v>Magnus</c:v>
                  </c:pt>
                  <c:pt idx="8">
                    <c:v>Thomas</c:v>
                  </c:pt>
                  <c:pt idx="9">
                    <c:v>Jörgen</c:v>
                  </c:pt>
                  <c:pt idx="10">
                    <c:v>Stefan</c:v>
                  </c:pt>
                  <c:pt idx="11">
                    <c:v>Jocke</c:v>
                  </c:pt>
                  <c:pt idx="12">
                    <c:v>Niklas</c:v>
                  </c:pt>
                  <c:pt idx="13">
                    <c:v>PJ</c:v>
                  </c:pt>
                  <c:pt idx="14">
                    <c:v>Stefan</c:v>
                  </c:pt>
                  <c:pt idx="15">
                    <c:v>Kent</c:v>
                  </c:pt>
                </c:lvl>
              </c:multiLvlStrCache>
            </c:multiLvlStrRef>
          </c:cat>
          <c:val>
            <c:numRef>
              <c:f>'Dream H'!$H$4:$H$19</c:f>
              <c:numCache>
                <c:formatCode>General</c:formatCode>
                <c:ptCount val="16"/>
                <c:pt idx="0">
                  <c:v>78</c:v>
                </c:pt>
                <c:pt idx="1">
                  <c:v>72</c:v>
                </c:pt>
                <c:pt idx="2">
                  <c:v>77</c:v>
                </c:pt>
                <c:pt idx="3">
                  <c:v>75</c:v>
                </c:pt>
                <c:pt idx="4">
                  <c:v>73</c:v>
                </c:pt>
                <c:pt idx="5">
                  <c:v>92</c:v>
                </c:pt>
                <c:pt idx="6">
                  <c:v>71</c:v>
                </c:pt>
                <c:pt idx="7">
                  <c:v>82</c:v>
                </c:pt>
                <c:pt idx="8">
                  <c:v>77</c:v>
                </c:pt>
                <c:pt idx="9">
                  <c:v>85</c:v>
                </c:pt>
                <c:pt idx="10">
                  <c:v>77</c:v>
                </c:pt>
                <c:pt idx="11">
                  <c:v>76</c:v>
                </c:pt>
                <c:pt idx="12">
                  <c:v>93</c:v>
                </c:pt>
                <c:pt idx="13">
                  <c:v>72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B24D-440E-9570-18871FDCD5C7}"/>
            </c:ext>
          </c:extLst>
        </c:ser>
        <c:ser>
          <c:idx val="5"/>
          <c:order val="5"/>
          <c:tx>
            <c:strRef>
              <c:f>'Dream H'!$I$3</c:f>
              <c:strCache>
                <c:ptCount val="1"/>
                <c:pt idx="0">
                  <c:v>2015</c:v>
                </c:pt>
              </c:strCache>
            </c:strRef>
          </c:tx>
          <c:spPr>
            <a:gradFill rotWithShape="1">
              <a:gsLst>
                <a:gs pos="0">
                  <a:schemeClr val="accent6">
                    <a:shade val="51000"/>
                    <a:satMod val="130000"/>
                  </a:schemeClr>
                </a:gs>
                <a:gs pos="80000">
                  <a:schemeClr val="accent6">
                    <a:shade val="93000"/>
                    <a:satMod val="130000"/>
                  </a:schemeClr>
                </a:gs>
                <a:gs pos="100000">
                  <a:schemeClr val="accent6">
                    <a:shade val="94000"/>
                    <a:satMod val="135000"/>
                  </a:schemeClr>
                </a:gs>
              </a:gsLst>
              <a:lin ang="16200000" scaled="0"/>
            </a:gradFill>
            <a:ln>
              <a:noFill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  <a:scene3d>
              <a:camera prst="orthographicFront">
                <a:rot lat="0" lon="0" rev="0"/>
              </a:camera>
              <a:lightRig rig="threePt" dir="t">
                <a:rot lat="0" lon="0" rev="1200000"/>
              </a:lightRig>
            </a:scene3d>
            <a:sp3d>
              <a:bevelT w="63500" h="25400"/>
            </a:sp3d>
          </c:spPr>
          <c:invertIfNegative val="0"/>
          <c:cat>
            <c:multiLvlStrRef>
              <c:f>'Dream H'!$B$4:$C$19</c:f>
              <c:multiLvlStrCache>
                <c:ptCount val="16"/>
                <c:lvl>
                  <c:pt idx="0">
                    <c:v>Backe</c:v>
                  </c:pt>
                  <c:pt idx="1">
                    <c:v>Åberg</c:v>
                  </c:pt>
                  <c:pt idx="2">
                    <c:v>Johansson</c:v>
                  </c:pt>
                  <c:pt idx="3">
                    <c:v>Simonsson</c:v>
                  </c:pt>
                  <c:pt idx="4">
                    <c:v>Svensson</c:v>
                  </c:pt>
                  <c:pt idx="5">
                    <c:v>Johansson</c:v>
                  </c:pt>
                  <c:pt idx="6">
                    <c:v>Nilsson</c:v>
                  </c:pt>
                  <c:pt idx="7">
                    <c:v>Bengtsson</c:v>
                  </c:pt>
                  <c:pt idx="8">
                    <c:v>Larsson</c:v>
                  </c:pt>
                  <c:pt idx="9">
                    <c:v>Stranddahl</c:v>
                  </c:pt>
                  <c:pt idx="10">
                    <c:v>Thorvaldsson</c:v>
                  </c:pt>
                  <c:pt idx="11">
                    <c:v>Söder</c:v>
                  </c:pt>
                  <c:pt idx="12">
                    <c:v>Ljung</c:v>
                  </c:pt>
                  <c:pt idx="13">
                    <c:v>Glyssbo</c:v>
                  </c:pt>
                  <c:pt idx="14">
                    <c:v>Källström</c:v>
                  </c:pt>
                  <c:pt idx="15">
                    <c:v>Johansson</c:v>
                  </c:pt>
                </c:lvl>
                <c:lvl>
                  <c:pt idx="0">
                    <c:v>Göran</c:v>
                  </c:pt>
                  <c:pt idx="1">
                    <c:v>Micke</c:v>
                  </c:pt>
                  <c:pt idx="2">
                    <c:v>Börje</c:v>
                  </c:pt>
                  <c:pt idx="3">
                    <c:v>Jörgen</c:v>
                  </c:pt>
                  <c:pt idx="4">
                    <c:v>Claes</c:v>
                  </c:pt>
                  <c:pt idx="5">
                    <c:v>Lalle</c:v>
                  </c:pt>
                  <c:pt idx="6">
                    <c:v>Peter</c:v>
                  </c:pt>
                  <c:pt idx="7">
                    <c:v>Magnus</c:v>
                  </c:pt>
                  <c:pt idx="8">
                    <c:v>Thomas</c:v>
                  </c:pt>
                  <c:pt idx="9">
                    <c:v>Jörgen</c:v>
                  </c:pt>
                  <c:pt idx="10">
                    <c:v>Stefan</c:v>
                  </c:pt>
                  <c:pt idx="11">
                    <c:v>Jocke</c:v>
                  </c:pt>
                  <c:pt idx="12">
                    <c:v>Niklas</c:v>
                  </c:pt>
                  <c:pt idx="13">
                    <c:v>PJ</c:v>
                  </c:pt>
                  <c:pt idx="14">
                    <c:v>Stefan</c:v>
                  </c:pt>
                  <c:pt idx="15">
                    <c:v>Kent</c:v>
                  </c:pt>
                </c:lvl>
              </c:multiLvlStrCache>
            </c:multiLvlStrRef>
          </c:cat>
          <c:val>
            <c:numRef>
              <c:f>'Dream H'!$I$4:$I$19</c:f>
              <c:numCache>
                <c:formatCode>General</c:formatCode>
                <c:ptCount val="16"/>
                <c:pt idx="0">
                  <c:v>77</c:v>
                </c:pt>
                <c:pt idx="1">
                  <c:v>75</c:v>
                </c:pt>
                <c:pt idx="2">
                  <c:v>85</c:v>
                </c:pt>
                <c:pt idx="3">
                  <c:v>78</c:v>
                </c:pt>
                <c:pt idx="4">
                  <c:v>78</c:v>
                </c:pt>
                <c:pt idx="5">
                  <c:v>96</c:v>
                </c:pt>
                <c:pt idx="6">
                  <c:v>70</c:v>
                </c:pt>
                <c:pt idx="7">
                  <c:v>77</c:v>
                </c:pt>
                <c:pt idx="8">
                  <c:v>85</c:v>
                </c:pt>
                <c:pt idx="9">
                  <c:v>87</c:v>
                </c:pt>
                <c:pt idx="10">
                  <c:v>74</c:v>
                </c:pt>
                <c:pt idx="11">
                  <c:v>81</c:v>
                </c:pt>
                <c:pt idx="12">
                  <c:v>84</c:v>
                </c:pt>
                <c:pt idx="13">
                  <c:v>72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B24D-440E-9570-18871FDCD5C7}"/>
            </c:ext>
          </c:extLst>
        </c:ser>
        <c:ser>
          <c:idx val="6"/>
          <c:order val="6"/>
          <c:tx>
            <c:strRef>
              <c:f>'Dream H'!$J$3</c:f>
              <c:strCache>
                <c:ptCount val="1"/>
                <c:pt idx="0">
                  <c:v>2016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lumMod val="60000"/>
                    <a:shade val="51000"/>
                    <a:satMod val="130000"/>
                  </a:schemeClr>
                </a:gs>
                <a:gs pos="80000">
                  <a:schemeClr val="accent1">
                    <a:lumMod val="60000"/>
                    <a:shade val="93000"/>
                    <a:satMod val="130000"/>
                  </a:schemeClr>
                </a:gs>
                <a:gs pos="100000">
                  <a:schemeClr val="accent1">
                    <a:lumMod val="60000"/>
                    <a:shade val="94000"/>
                    <a:satMod val="135000"/>
                  </a:schemeClr>
                </a:gs>
              </a:gsLst>
              <a:lin ang="16200000" scaled="0"/>
            </a:gradFill>
            <a:ln>
              <a:noFill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  <a:scene3d>
              <a:camera prst="orthographicFront">
                <a:rot lat="0" lon="0" rev="0"/>
              </a:camera>
              <a:lightRig rig="threePt" dir="t">
                <a:rot lat="0" lon="0" rev="1200000"/>
              </a:lightRig>
            </a:scene3d>
            <a:sp3d>
              <a:bevelT w="63500" h="25400"/>
            </a:sp3d>
          </c:spPr>
          <c:invertIfNegative val="0"/>
          <c:cat>
            <c:multiLvlStrRef>
              <c:f>'Dream H'!$B$4:$C$19</c:f>
              <c:multiLvlStrCache>
                <c:ptCount val="16"/>
                <c:lvl>
                  <c:pt idx="0">
                    <c:v>Backe</c:v>
                  </c:pt>
                  <c:pt idx="1">
                    <c:v>Åberg</c:v>
                  </c:pt>
                  <c:pt idx="2">
                    <c:v>Johansson</c:v>
                  </c:pt>
                  <c:pt idx="3">
                    <c:v>Simonsson</c:v>
                  </c:pt>
                  <c:pt idx="4">
                    <c:v>Svensson</c:v>
                  </c:pt>
                  <c:pt idx="5">
                    <c:v>Johansson</c:v>
                  </c:pt>
                  <c:pt idx="6">
                    <c:v>Nilsson</c:v>
                  </c:pt>
                  <c:pt idx="7">
                    <c:v>Bengtsson</c:v>
                  </c:pt>
                  <c:pt idx="8">
                    <c:v>Larsson</c:v>
                  </c:pt>
                  <c:pt idx="9">
                    <c:v>Stranddahl</c:v>
                  </c:pt>
                  <c:pt idx="10">
                    <c:v>Thorvaldsson</c:v>
                  </c:pt>
                  <c:pt idx="11">
                    <c:v>Söder</c:v>
                  </c:pt>
                  <c:pt idx="12">
                    <c:v>Ljung</c:v>
                  </c:pt>
                  <c:pt idx="13">
                    <c:v>Glyssbo</c:v>
                  </c:pt>
                  <c:pt idx="14">
                    <c:v>Källström</c:v>
                  </c:pt>
                  <c:pt idx="15">
                    <c:v>Johansson</c:v>
                  </c:pt>
                </c:lvl>
                <c:lvl>
                  <c:pt idx="0">
                    <c:v>Göran</c:v>
                  </c:pt>
                  <c:pt idx="1">
                    <c:v>Micke</c:v>
                  </c:pt>
                  <c:pt idx="2">
                    <c:v>Börje</c:v>
                  </c:pt>
                  <c:pt idx="3">
                    <c:v>Jörgen</c:v>
                  </c:pt>
                  <c:pt idx="4">
                    <c:v>Claes</c:v>
                  </c:pt>
                  <c:pt idx="5">
                    <c:v>Lalle</c:v>
                  </c:pt>
                  <c:pt idx="6">
                    <c:v>Peter</c:v>
                  </c:pt>
                  <c:pt idx="7">
                    <c:v>Magnus</c:v>
                  </c:pt>
                  <c:pt idx="8">
                    <c:v>Thomas</c:v>
                  </c:pt>
                  <c:pt idx="9">
                    <c:v>Jörgen</c:v>
                  </c:pt>
                  <c:pt idx="10">
                    <c:v>Stefan</c:v>
                  </c:pt>
                  <c:pt idx="11">
                    <c:v>Jocke</c:v>
                  </c:pt>
                  <c:pt idx="12">
                    <c:v>Niklas</c:v>
                  </c:pt>
                  <c:pt idx="13">
                    <c:v>PJ</c:v>
                  </c:pt>
                  <c:pt idx="14">
                    <c:v>Stefan</c:v>
                  </c:pt>
                  <c:pt idx="15">
                    <c:v>Kent</c:v>
                  </c:pt>
                </c:lvl>
              </c:multiLvlStrCache>
            </c:multiLvlStrRef>
          </c:cat>
          <c:val>
            <c:numRef>
              <c:f>'Dream H'!$J$4:$J$19</c:f>
              <c:numCache>
                <c:formatCode>General</c:formatCode>
                <c:ptCount val="16"/>
                <c:pt idx="0">
                  <c:v>79</c:v>
                </c:pt>
                <c:pt idx="1">
                  <c:v>74</c:v>
                </c:pt>
                <c:pt idx="2">
                  <c:v>81</c:v>
                </c:pt>
                <c:pt idx="3">
                  <c:v>71</c:v>
                </c:pt>
                <c:pt idx="4">
                  <c:v>75</c:v>
                </c:pt>
                <c:pt idx="5">
                  <c:v>85</c:v>
                </c:pt>
                <c:pt idx="6">
                  <c:v>69</c:v>
                </c:pt>
                <c:pt idx="7">
                  <c:v>76</c:v>
                </c:pt>
                <c:pt idx="8">
                  <c:v>81</c:v>
                </c:pt>
                <c:pt idx="9">
                  <c:v>102</c:v>
                </c:pt>
                <c:pt idx="10">
                  <c:v>69</c:v>
                </c:pt>
                <c:pt idx="11">
                  <c:v>78</c:v>
                </c:pt>
                <c:pt idx="12">
                  <c:v>77</c:v>
                </c:pt>
                <c:pt idx="13">
                  <c:v>72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B24D-440E-9570-18871FDCD5C7}"/>
            </c:ext>
          </c:extLst>
        </c:ser>
        <c:ser>
          <c:idx val="7"/>
          <c:order val="7"/>
          <c:tx>
            <c:strRef>
              <c:f>'Dream H'!$K$3</c:f>
              <c:strCache>
                <c:ptCount val="1"/>
                <c:pt idx="0">
                  <c:v>2017</c:v>
                </c:pt>
              </c:strCache>
            </c:strRef>
          </c:tx>
          <c:spPr>
            <a:gradFill rotWithShape="1">
              <a:gsLst>
                <a:gs pos="0">
                  <a:schemeClr val="accent2">
                    <a:lumMod val="60000"/>
                    <a:shade val="51000"/>
                    <a:satMod val="130000"/>
                  </a:schemeClr>
                </a:gs>
                <a:gs pos="80000">
                  <a:schemeClr val="accent2">
                    <a:lumMod val="60000"/>
                    <a:shade val="93000"/>
                    <a:satMod val="130000"/>
                  </a:schemeClr>
                </a:gs>
                <a:gs pos="100000">
                  <a:schemeClr val="accent2">
                    <a:lumMod val="60000"/>
                    <a:shade val="94000"/>
                    <a:satMod val="135000"/>
                  </a:schemeClr>
                </a:gs>
              </a:gsLst>
              <a:lin ang="16200000" scaled="0"/>
            </a:gradFill>
            <a:ln>
              <a:noFill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  <a:scene3d>
              <a:camera prst="orthographicFront">
                <a:rot lat="0" lon="0" rev="0"/>
              </a:camera>
              <a:lightRig rig="threePt" dir="t">
                <a:rot lat="0" lon="0" rev="1200000"/>
              </a:lightRig>
            </a:scene3d>
            <a:sp3d>
              <a:bevelT w="63500" h="25400"/>
            </a:sp3d>
          </c:spPr>
          <c:invertIfNegative val="0"/>
          <c:cat>
            <c:multiLvlStrRef>
              <c:f>'Dream H'!$B$4:$C$19</c:f>
              <c:multiLvlStrCache>
                <c:ptCount val="16"/>
                <c:lvl>
                  <c:pt idx="0">
                    <c:v>Backe</c:v>
                  </c:pt>
                  <c:pt idx="1">
                    <c:v>Åberg</c:v>
                  </c:pt>
                  <c:pt idx="2">
                    <c:v>Johansson</c:v>
                  </c:pt>
                  <c:pt idx="3">
                    <c:v>Simonsson</c:v>
                  </c:pt>
                  <c:pt idx="4">
                    <c:v>Svensson</c:v>
                  </c:pt>
                  <c:pt idx="5">
                    <c:v>Johansson</c:v>
                  </c:pt>
                  <c:pt idx="6">
                    <c:v>Nilsson</c:v>
                  </c:pt>
                  <c:pt idx="7">
                    <c:v>Bengtsson</c:v>
                  </c:pt>
                  <c:pt idx="8">
                    <c:v>Larsson</c:v>
                  </c:pt>
                  <c:pt idx="9">
                    <c:v>Stranddahl</c:v>
                  </c:pt>
                  <c:pt idx="10">
                    <c:v>Thorvaldsson</c:v>
                  </c:pt>
                  <c:pt idx="11">
                    <c:v>Söder</c:v>
                  </c:pt>
                  <c:pt idx="12">
                    <c:v>Ljung</c:v>
                  </c:pt>
                  <c:pt idx="13">
                    <c:v>Glyssbo</c:v>
                  </c:pt>
                  <c:pt idx="14">
                    <c:v>Källström</c:v>
                  </c:pt>
                  <c:pt idx="15">
                    <c:v>Johansson</c:v>
                  </c:pt>
                </c:lvl>
                <c:lvl>
                  <c:pt idx="0">
                    <c:v>Göran</c:v>
                  </c:pt>
                  <c:pt idx="1">
                    <c:v>Micke</c:v>
                  </c:pt>
                  <c:pt idx="2">
                    <c:v>Börje</c:v>
                  </c:pt>
                  <c:pt idx="3">
                    <c:v>Jörgen</c:v>
                  </c:pt>
                  <c:pt idx="4">
                    <c:v>Claes</c:v>
                  </c:pt>
                  <c:pt idx="5">
                    <c:v>Lalle</c:v>
                  </c:pt>
                  <c:pt idx="6">
                    <c:v>Peter</c:v>
                  </c:pt>
                  <c:pt idx="7">
                    <c:v>Magnus</c:v>
                  </c:pt>
                  <c:pt idx="8">
                    <c:v>Thomas</c:v>
                  </c:pt>
                  <c:pt idx="9">
                    <c:v>Jörgen</c:v>
                  </c:pt>
                  <c:pt idx="10">
                    <c:v>Stefan</c:v>
                  </c:pt>
                  <c:pt idx="11">
                    <c:v>Jocke</c:v>
                  </c:pt>
                  <c:pt idx="12">
                    <c:v>Niklas</c:v>
                  </c:pt>
                  <c:pt idx="13">
                    <c:v>PJ</c:v>
                  </c:pt>
                  <c:pt idx="14">
                    <c:v>Stefan</c:v>
                  </c:pt>
                  <c:pt idx="15">
                    <c:v>Kent</c:v>
                  </c:pt>
                </c:lvl>
              </c:multiLvlStrCache>
            </c:multiLvlStrRef>
          </c:cat>
          <c:val>
            <c:numRef>
              <c:f>'Dream H'!$K$4:$K$19</c:f>
              <c:numCache>
                <c:formatCode>General</c:formatCode>
                <c:ptCount val="16"/>
                <c:pt idx="0">
                  <c:v>82</c:v>
                </c:pt>
                <c:pt idx="1">
                  <c:v>73</c:v>
                </c:pt>
                <c:pt idx="2">
                  <c:v>79</c:v>
                </c:pt>
                <c:pt idx="3">
                  <c:v>74</c:v>
                </c:pt>
                <c:pt idx="4">
                  <c:v>80</c:v>
                </c:pt>
                <c:pt idx="5">
                  <c:v>86</c:v>
                </c:pt>
                <c:pt idx="6">
                  <c:v>73</c:v>
                </c:pt>
                <c:pt idx="7">
                  <c:v>77</c:v>
                </c:pt>
                <c:pt idx="8">
                  <c:v>83</c:v>
                </c:pt>
                <c:pt idx="9">
                  <c:v>89</c:v>
                </c:pt>
                <c:pt idx="10">
                  <c:v>73</c:v>
                </c:pt>
                <c:pt idx="11">
                  <c:v>83</c:v>
                </c:pt>
                <c:pt idx="12">
                  <c:v>80</c:v>
                </c:pt>
                <c:pt idx="13">
                  <c:v>89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B24D-440E-9570-18871FDCD5C7}"/>
            </c:ext>
          </c:extLst>
        </c:ser>
        <c:ser>
          <c:idx val="8"/>
          <c:order val="8"/>
          <c:tx>
            <c:strRef>
              <c:f>'Dream H'!$L$3</c:f>
              <c:strCache>
                <c:ptCount val="1"/>
                <c:pt idx="0">
                  <c:v>2018</c:v>
                </c:pt>
              </c:strCache>
            </c:strRef>
          </c:tx>
          <c:spPr>
            <a:gradFill rotWithShape="1">
              <a:gsLst>
                <a:gs pos="0">
                  <a:schemeClr val="accent3">
                    <a:lumMod val="60000"/>
                    <a:shade val="51000"/>
                    <a:satMod val="130000"/>
                  </a:schemeClr>
                </a:gs>
                <a:gs pos="80000">
                  <a:schemeClr val="accent3">
                    <a:lumMod val="60000"/>
                    <a:shade val="93000"/>
                    <a:satMod val="130000"/>
                  </a:schemeClr>
                </a:gs>
                <a:gs pos="100000">
                  <a:schemeClr val="accent3">
                    <a:lumMod val="60000"/>
                    <a:shade val="94000"/>
                    <a:satMod val="135000"/>
                  </a:schemeClr>
                </a:gs>
              </a:gsLst>
              <a:lin ang="16200000" scaled="0"/>
            </a:gradFill>
            <a:ln>
              <a:noFill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  <a:scene3d>
              <a:camera prst="orthographicFront">
                <a:rot lat="0" lon="0" rev="0"/>
              </a:camera>
              <a:lightRig rig="threePt" dir="t">
                <a:rot lat="0" lon="0" rev="1200000"/>
              </a:lightRig>
            </a:scene3d>
            <a:sp3d>
              <a:bevelT w="63500" h="25400"/>
            </a:sp3d>
          </c:spPr>
          <c:invertIfNegative val="0"/>
          <c:cat>
            <c:multiLvlStrRef>
              <c:f>'Dream H'!$B$4:$C$19</c:f>
              <c:multiLvlStrCache>
                <c:ptCount val="16"/>
                <c:lvl>
                  <c:pt idx="0">
                    <c:v>Backe</c:v>
                  </c:pt>
                  <c:pt idx="1">
                    <c:v>Åberg</c:v>
                  </c:pt>
                  <c:pt idx="2">
                    <c:v>Johansson</c:v>
                  </c:pt>
                  <c:pt idx="3">
                    <c:v>Simonsson</c:v>
                  </c:pt>
                  <c:pt idx="4">
                    <c:v>Svensson</c:v>
                  </c:pt>
                  <c:pt idx="5">
                    <c:v>Johansson</c:v>
                  </c:pt>
                  <c:pt idx="6">
                    <c:v>Nilsson</c:v>
                  </c:pt>
                  <c:pt idx="7">
                    <c:v>Bengtsson</c:v>
                  </c:pt>
                  <c:pt idx="8">
                    <c:v>Larsson</c:v>
                  </c:pt>
                  <c:pt idx="9">
                    <c:v>Stranddahl</c:v>
                  </c:pt>
                  <c:pt idx="10">
                    <c:v>Thorvaldsson</c:v>
                  </c:pt>
                  <c:pt idx="11">
                    <c:v>Söder</c:v>
                  </c:pt>
                  <c:pt idx="12">
                    <c:v>Ljung</c:v>
                  </c:pt>
                  <c:pt idx="13">
                    <c:v>Glyssbo</c:v>
                  </c:pt>
                  <c:pt idx="14">
                    <c:v>Källström</c:v>
                  </c:pt>
                  <c:pt idx="15">
                    <c:v>Johansson</c:v>
                  </c:pt>
                </c:lvl>
                <c:lvl>
                  <c:pt idx="0">
                    <c:v>Göran</c:v>
                  </c:pt>
                  <c:pt idx="1">
                    <c:v>Micke</c:v>
                  </c:pt>
                  <c:pt idx="2">
                    <c:v>Börje</c:v>
                  </c:pt>
                  <c:pt idx="3">
                    <c:v>Jörgen</c:v>
                  </c:pt>
                  <c:pt idx="4">
                    <c:v>Claes</c:v>
                  </c:pt>
                  <c:pt idx="5">
                    <c:v>Lalle</c:v>
                  </c:pt>
                  <c:pt idx="6">
                    <c:v>Peter</c:v>
                  </c:pt>
                  <c:pt idx="7">
                    <c:v>Magnus</c:v>
                  </c:pt>
                  <c:pt idx="8">
                    <c:v>Thomas</c:v>
                  </c:pt>
                  <c:pt idx="9">
                    <c:v>Jörgen</c:v>
                  </c:pt>
                  <c:pt idx="10">
                    <c:v>Stefan</c:v>
                  </c:pt>
                  <c:pt idx="11">
                    <c:v>Jocke</c:v>
                  </c:pt>
                  <c:pt idx="12">
                    <c:v>Niklas</c:v>
                  </c:pt>
                  <c:pt idx="13">
                    <c:v>PJ</c:v>
                  </c:pt>
                  <c:pt idx="14">
                    <c:v>Stefan</c:v>
                  </c:pt>
                  <c:pt idx="15">
                    <c:v>Kent</c:v>
                  </c:pt>
                </c:lvl>
              </c:multiLvlStrCache>
            </c:multiLvlStrRef>
          </c:cat>
          <c:val>
            <c:numRef>
              <c:f>'Dream H'!$L$4:$L$19</c:f>
              <c:numCache>
                <c:formatCode>General</c:formatCode>
                <c:ptCount val="16"/>
                <c:pt idx="0">
                  <c:v>86</c:v>
                </c:pt>
                <c:pt idx="1">
                  <c:v>70</c:v>
                </c:pt>
                <c:pt idx="2">
                  <c:v>78</c:v>
                </c:pt>
                <c:pt idx="3">
                  <c:v>75</c:v>
                </c:pt>
                <c:pt idx="4">
                  <c:v>80</c:v>
                </c:pt>
                <c:pt idx="5">
                  <c:v>81</c:v>
                </c:pt>
                <c:pt idx="6">
                  <c:v>71</c:v>
                </c:pt>
                <c:pt idx="7">
                  <c:v>75</c:v>
                </c:pt>
                <c:pt idx="8">
                  <c:v>88</c:v>
                </c:pt>
                <c:pt idx="10">
                  <c:v>68</c:v>
                </c:pt>
                <c:pt idx="11">
                  <c:v>76</c:v>
                </c:pt>
                <c:pt idx="12">
                  <c:v>80</c:v>
                </c:pt>
                <c:pt idx="13">
                  <c:v>87</c:v>
                </c:pt>
                <c:pt idx="14">
                  <c:v>83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B24D-440E-9570-18871FDCD5C7}"/>
            </c:ext>
          </c:extLst>
        </c:ser>
        <c:ser>
          <c:idx val="9"/>
          <c:order val="9"/>
          <c:tx>
            <c:strRef>
              <c:f>'Dream H'!$M$3</c:f>
              <c:strCache>
                <c:ptCount val="1"/>
                <c:pt idx="0">
                  <c:v>2019</c:v>
                </c:pt>
              </c:strCache>
            </c:strRef>
          </c:tx>
          <c:spPr>
            <a:gradFill rotWithShape="1">
              <a:gsLst>
                <a:gs pos="0">
                  <a:schemeClr val="accent4">
                    <a:lumMod val="60000"/>
                    <a:shade val="51000"/>
                    <a:satMod val="130000"/>
                  </a:schemeClr>
                </a:gs>
                <a:gs pos="80000">
                  <a:schemeClr val="accent4">
                    <a:lumMod val="60000"/>
                    <a:shade val="93000"/>
                    <a:satMod val="130000"/>
                  </a:schemeClr>
                </a:gs>
                <a:gs pos="100000">
                  <a:schemeClr val="accent4">
                    <a:lumMod val="60000"/>
                    <a:shade val="94000"/>
                    <a:satMod val="135000"/>
                  </a:schemeClr>
                </a:gs>
              </a:gsLst>
              <a:lin ang="16200000" scaled="0"/>
            </a:gradFill>
            <a:ln>
              <a:noFill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  <a:scene3d>
              <a:camera prst="orthographicFront">
                <a:rot lat="0" lon="0" rev="0"/>
              </a:camera>
              <a:lightRig rig="threePt" dir="t">
                <a:rot lat="0" lon="0" rev="1200000"/>
              </a:lightRig>
            </a:scene3d>
            <a:sp3d>
              <a:bevelT w="63500" h="25400"/>
            </a:sp3d>
          </c:spPr>
          <c:invertIfNegative val="0"/>
          <c:cat>
            <c:multiLvlStrRef>
              <c:f>'Dream H'!$B$4:$C$19</c:f>
              <c:multiLvlStrCache>
                <c:ptCount val="16"/>
                <c:lvl>
                  <c:pt idx="0">
                    <c:v>Backe</c:v>
                  </c:pt>
                  <c:pt idx="1">
                    <c:v>Åberg</c:v>
                  </c:pt>
                  <c:pt idx="2">
                    <c:v>Johansson</c:v>
                  </c:pt>
                  <c:pt idx="3">
                    <c:v>Simonsson</c:v>
                  </c:pt>
                  <c:pt idx="4">
                    <c:v>Svensson</c:v>
                  </c:pt>
                  <c:pt idx="5">
                    <c:v>Johansson</c:v>
                  </c:pt>
                  <c:pt idx="6">
                    <c:v>Nilsson</c:v>
                  </c:pt>
                  <c:pt idx="7">
                    <c:v>Bengtsson</c:v>
                  </c:pt>
                  <c:pt idx="8">
                    <c:v>Larsson</c:v>
                  </c:pt>
                  <c:pt idx="9">
                    <c:v>Stranddahl</c:v>
                  </c:pt>
                  <c:pt idx="10">
                    <c:v>Thorvaldsson</c:v>
                  </c:pt>
                  <c:pt idx="11">
                    <c:v>Söder</c:v>
                  </c:pt>
                  <c:pt idx="12">
                    <c:v>Ljung</c:v>
                  </c:pt>
                  <c:pt idx="13">
                    <c:v>Glyssbo</c:v>
                  </c:pt>
                  <c:pt idx="14">
                    <c:v>Källström</c:v>
                  </c:pt>
                  <c:pt idx="15">
                    <c:v>Johansson</c:v>
                  </c:pt>
                </c:lvl>
                <c:lvl>
                  <c:pt idx="0">
                    <c:v>Göran</c:v>
                  </c:pt>
                  <c:pt idx="1">
                    <c:v>Micke</c:v>
                  </c:pt>
                  <c:pt idx="2">
                    <c:v>Börje</c:v>
                  </c:pt>
                  <c:pt idx="3">
                    <c:v>Jörgen</c:v>
                  </c:pt>
                  <c:pt idx="4">
                    <c:v>Claes</c:v>
                  </c:pt>
                  <c:pt idx="5">
                    <c:v>Lalle</c:v>
                  </c:pt>
                  <c:pt idx="6">
                    <c:v>Peter</c:v>
                  </c:pt>
                  <c:pt idx="7">
                    <c:v>Magnus</c:v>
                  </c:pt>
                  <c:pt idx="8">
                    <c:v>Thomas</c:v>
                  </c:pt>
                  <c:pt idx="9">
                    <c:v>Jörgen</c:v>
                  </c:pt>
                  <c:pt idx="10">
                    <c:v>Stefan</c:v>
                  </c:pt>
                  <c:pt idx="11">
                    <c:v>Jocke</c:v>
                  </c:pt>
                  <c:pt idx="12">
                    <c:v>Niklas</c:v>
                  </c:pt>
                  <c:pt idx="13">
                    <c:v>PJ</c:v>
                  </c:pt>
                  <c:pt idx="14">
                    <c:v>Stefan</c:v>
                  </c:pt>
                  <c:pt idx="15">
                    <c:v>Kent</c:v>
                  </c:pt>
                </c:lvl>
              </c:multiLvlStrCache>
            </c:multiLvlStrRef>
          </c:cat>
          <c:val>
            <c:numRef>
              <c:f>'Dream H'!$M$4:$M$19</c:f>
              <c:numCache>
                <c:formatCode>General</c:formatCode>
                <c:ptCount val="16"/>
                <c:pt idx="0">
                  <c:v>81</c:v>
                </c:pt>
                <c:pt idx="1">
                  <c:v>72</c:v>
                </c:pt>
                <c:pt idx="2">
                  <c:v>84</c:v>
                </c:pt>
                <c:pt idx="3">
                  <c:v>74</c:v>
                </c:pt>
                <c:pt idx="4">
                  <c:v>80</c:v>
                </c:pt>
                <c:pt idx="5">
                  <c:v>81</c:v>
                </c:pt>
                <c:pt idx="6">
                  <c:v>73</c:v>
                </c:pt>
                <c:pt idx="7">
                  <c:v>75</c:v>
                </c:pt>
                <c:pt idx="8">
                  <c:v>82</c:v>
                </c:pt>
                <c:pt idx="9">
                  <c:v>92</c:v>
                </c:pt>
                <c:pt idx="10">
                  <c:v>71</c:v>
                </c:pt>
                <c:pt idx="11">
                  <c:v>74</c:v>
                </c:pt>
                <c:pt idx="12">
                  <c:v>83</c:v>
                </c:pt>
                <c:pt idx="13">
                  <c:v>77</c:v>
                </c:pt>
                <c:pt idx="14">
                  <c:v>83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B24D-440E-9570-18871FDCD5C7}"/>
            </c:ext>
          </c:extLst>
        </c:ser>
        <c:ser>
          <c:idx val="10"/>
          <c:order val="10"/>
          <c:tx>
            <c:strRef>
              <c:f>'Dream H'!$N$3</c:f>
              <c:strCache>
                <c:ptCount val="1"/>
                <c:pt idx="0">
                  <c:v>2020</c:v>
                </c:pt>
              </c:strCache>
            </c:strRef>
          </c:tx>
          <c:spPr>
            <a:gradFill rotWithShape="1">
              <a:gsLst>
                <a:gs pos="0">
                  <a:schemeClr val="accent5">
                    <a:lumMod val="60000"/>
                    <a:shade val="51000"/>
                    <a:satMod val="130000"/>
                  </a:schemeClr>
                </a:gs>
                <a:gs pos="80000">
                  <a:schemeClr val="accent5">
                    <a:lumMod val="60000"/>
                    <a:shade val="93000"/>
                    <a:satMod val="130000"/>
                  </a:schemeClr>
                </a:gs>
                <a:gs pos="100000">
                  <a:schemeClr val="accent5">
                    <a:lumMod val="60000"/>
                    <a:shade val="94000"/>
                    <a:satMod val="135000"/>
                  </a:schemeClr>
                </a:gs>
              </a:gsLst>
              <a:lin ang="16200000" scaled="0"/>
            </a:gradFill>
            <a:ln>
              <a:noFill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  <a:scene3d>
              <a:camera prst="orthographicFront">
                <a:rot lat="0" lon="0" rev="0"/>
              </a:camera>
              <a:lightRig rig="threePt" dir="t">
                <a:rot lat="0" lon="0" rev="1200000"/>
              </a:lightRig>
            </a:scene3d>
            <a:sp3d>
              <a:bevelT w="63500" h="25400"/>
            </a:sp3d>
          </c:spPr>
          <c:invertIfNegative val="0"/>
          <c:cat>
            <c:multiLvlStrRef>
              <c:f>'Dream H'!$B$4:$C$19</c:f>
              <c:multiLvlStrCache>
                <c:ptCount val="16"/>
                <c:lvl>
                  <c:pt idx="0">
                    <c:v>Backe</c:v>
                  </c:pt>
                  <c:pt idx="1">
                    <c:v>Åberg</c:v>
                  </c:pt>
                  <c:pt idx="2">
                    <c:v>Johansson</c:v>
                  </c:pt>
                  <c:pt idx="3">
                    <c:v>Simonsson</c:v>
                  </c:pt>
                  <c:pt idx="4">
                    <c:v>Svensson</c:v>
                  </c:pt>
                  <c:pt idx="5">
                    <c:v>Johansson</c:v>
                  </c:pt>
                  <c:pt idx="6">
                    <c:v>Nilsson</c:v>
                  </c:pt>
                  <c:pt idx="7">
                    <c:v>Bengtsson</c:v>
                  </c:pt>
                  <c:pt idx="8">
                    <c:v>Larsson</c:v>
                  </c:pt>
                  <c:pt idx="9">
                    <c:v>Stranddahl</c:v>
                  </c:pt>
                  <c:pt idx="10">
                    <c:v>Thorvaldsson</c:v>
                  </c:pt>
                  <c:pt idx="11">
                    <c:v>Söder</c:v>
                  </c:pt>
                  <c:pt idx="12">
                    <c:v>Ljung</c:v>
                  </c:pt>
                  <c:pt idx="13">
                    <c:v>Glyssbo</c:v>
                  </c:pt>
                  <c:pt idx="14">
                    <c:v>Källström</c:v>
                  </c:pt>
                  <c:pt idx="15">
                    <c:v>Johansson</c:v>
                  </c:pt>
                </c:lvl>
                <c:lvl>
                  <c:pt idx="0">
                    <c:v>Göran</c:v>
                  </c:pt>
                  <c:pt idx="1">
                    <c:v>Micke</c:v>
                  </c:pt>
                  <c:pt idx="2">
                    <c:v>Börje</c:v>
                  </c:pt>
                  <c:pt idx="3">
                    <c:v>Jörgen</c:v>
                  </c:pt>
                  <c:pt idx="4">
                    <c:v>Claes</c:v>
                  </c:pt>
                  <c:pt idx="5">
                    <c:v>Lalle</c:v>
                  </c:pt>
                  <c:pt idx="6">
                    <c:v>Peter</c:v>
                  </c:pt>
                  <c:pt idx="7">
                    <c:v>Magnus</c:v>
                  </c:pt>
                  <c:pt idx="8">
                    <c:v>Thomas</c:v>
                  </c:pt>
                  <c:pt idx="9">
                    <c:v>Jörgen</c:v>
                  </c:pt>
                  <c:pt idx="10">
                    <c:v>Stefan</c:v>
                  </c:pt>
                  <c:pt idx="11">
                    <c:v>Jocke</c:v>
                  </c:pt>
                  <c:pt idx="12">
                    <c:v>Niklas</c:v>
                  </c:pt>
                  <c:pt idx="13">
                    <c:v>PJ</c:v>
                  </c:pt>
                  <c:pt idx="14">
                    <c:v>Stefan</c:v>
                  </c:pt>
                  <c:pt idx="15">
                    <c:v>Kent</c:v>
                  </c:pt>
                </c:lvl>
              </c:multiLvlStrCache>
            </c:multiLvlStrRef>
          </c:cat>
          <c:val>
            <c:numRef>
              <c:f>'Dream H'!$N$4:$N$19</c:f>
              <c:numCache>
                <c:formatCode>General</c:formatCode>
                <c:ptCount val="16"/>
                <c:pt idx="0">
                  <c:v>79</c:v>
                </c:pt>
                <c:pt idx="1">
                  <c:v>75</c:v>
                </c:pt>
                <c:pt idx="2">
                  <c:v>72</c:v>
                </c:pt>
                <c:pt idx="3">
                  <c:v>75</c:v>
                </c:pt>
                <c:pt idx="4">
                  <c:v>74</c:v>
                </c:pt>
                <c:pt idx="5">
                  <c:v>83</c:v>
                </c:pt>
                <c:pt idx="6">
                  <c:v>73</c:v>
                </c:pt>
                <c:pt idx="7">
                  <c:v>74</c:v>
                </c:pt>
                <c:pt idx="8">
                  <c:v>83</c:v>
                </c:pt>
                <c:pt idx="9">
                  <c:v>80</c:v>
                </c:pt>
                <c:pt idx="10">
                  <c:v>68</c:v>
                </c:pt>
                <c:pt idx="11">
                  <c:v>71</c:v>
                </c:pt>
                <c:pt idx="12">
                  <c:v>77</c:v>
                </c:pt>
                <c:pt idx="13">
                  <c:v>72</c:v>
                </c:pt>
                <c:pt idx="14">
                  <c:v>76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B24D-440E-9570-18871FDCD5C7}"/>
            </c:ext>
          </c:extLst>
        </c:ser>
        <c:ser>
          <c:idx val="11"/>
          <c:order val="11"/>
          <c:tx>
            <c:strRef>
              <c:f>'Dream H'!$O$3</c:f>
              <c:strCache>
                <c:ptCount val="1"/>
                <c:pt idx="0">
                  <c:v>2021</c:v>
                </c:pt>
              </c:strCache>
            </c:strRef>
          </c:tx>
          <c:spPr>
            <a:gradFill rotWithShape="1">
              <a:gsLst>
                <a:gs pos="0">
                  <a:schemeClr val="accent6">
                    <a:lumMod val="60000"/>
                    <a:shade val="51000"/>
                    <a:satMod val="130000"/>
                  </a:schemeClr>
                </a:gs>
                <a:gs pos="80000">
                  <a:schemeClr val="accent6">
                    <a:lumMod val="60000"/>
                    <a:shade val="93000"/>
                    <a:satMod val="130000"/>
                  </a:schemeClr>
                </a:gs>
                <a:gs pos="100000">
                  <a:schemeClr val="accent6">
                    <a:lumMod val="60000"/>
                    <a:shade val="94000"/>
                    <a:satMod val="135000"/>
                  </a:schemeClr>
                </a:gs>
              </a:gsLst>
              <a:lin ang="16200000" scaled="0"/>
            </a:gradFill>
            <a:ln>
              <a:noFill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  <a:scene3d>
              <a:camera prst="orthographicFront">
                <a:rot lat="0" lon="0" rev="0"/>
              </a:camera>
              <a:lightRig rig="threePt" dir="t">
                <a:rot lat="0" lon="0" rev="1200000"/>
              </a:lightRig>
            </a:scene3d>
            <a:sp3d>
              <a:bevelT w="63500" h="25400"/>
            </a:sp3d>
          </c:spPr>
          <c:invertIfNegative val="0"/>
          <c:cat>
            <c:multiLvlStrRef>
              <c:f>'Dream H'!$B$4:$C$19</c:f>
              <c:multiLvlStrCache>
                <c:ptCount val="16"/>
                <c:lvl>
                  <c:pt idx="0">
                    <c:v>Backe</c:v>
                  </c:pt>
                  <c:pt idx="1">
                    <c:v>Åberg</c:v>
                  </c:pt>
                  <c:pt idx="2">
                    <c:v>Johansson</c:v>
                  </c:pt>
                  <c:pt idx="3">
                    <c:v>Simonsson</c:v>
                  </c:pt>
                  <c:pt idx="4">
                    <c:v>Svensson</c:v>
                  </c:pt>
                  <c:pt idx="5">
                    <c:v>Johansson</c:v>
                  </c:pt>
                  <c:pt idx="6">
                    <c:v>Nilsson</c:v>
                  </c:pt>
                  <c:pt idx="7">
                    <c:v>Bengtsson</c:v>
                  </c:pt>
                  <c:pt idx="8">
                    <c:v>Larsson</c:v>
                  </c:pt>
                  <c:pt idx="9">
                    <c:v>Stranddahl</c:v>
                  </c:pt>
                  <c:pt idx="10">
                    <c:v>Thorvaldsson</c:v>
                  </c:pt>
                  <c:pt idx="11">
                    <c:v>Söder</c:v>
                  </c:pt>
                  <c:pt idx="12">
                    <c:v>Ljung</c:v>
                  </c:pt>
                  <c:pt idx="13">
                    <c:v>Glyssbo</c:v>
                  </c:pt>
                  <c:pt idx="14">
                    <c:v>Källström</c:v>
                  </c:pt>
                  <c:pt idx="15">
                    <c:v>Johansson</c:v>
                  </c:pt>
                </c:lvl>
                <c:lvl>
                  <c:pt idx="0">
                    <c:v>Göran</c:v>
                  </c:pt>
                  <c:pt idx="1">
                    <c:v>Micke</c:v>
                  </c:pt>
                  <c:pt idx="2">
                    <c:v>Börje</c:v>
                  </c:pt>
                  <c:pt idx="3">
                    <c:v>Jörgen</c:v>
                  </c:pt>
                  <c:pt idx="4">
                    <c:v>Claes</c:v>
                  </c:pt>
                  <c:pt idx="5">
                    <c:v>Lalle</c:v>
                  </c:pt>
                  <c:pt idx="6">
                    <c:v>Peter</c:v>
                  </c:pt>
                  <c:pt idx="7">
                    <c:v>Magnus</c:v>
                  </c:pt>
                  <c:pt idx="8">
                    <c:v>Thomas</c:v>
                  </c:pt>
                  <c:pt idx="9">
                    <c:v>Jörgen</c:v>
                  </c:pt>
                  <c:pt idx="10">
                    <c:v>Stefan</c:v>
                  </c:pt>
                  <c:pt idx="11">
                    <c:v>Jocke</c:v>
                  </c:pt>
                  <c:pt idx="12">
                    <c:v>Niklas</c:v>
                  </c:pt>
                  <c:pt idx="13">
                    <c:v>PJ</c:v>
                  </c:pt>
                  <c:pt idx="14">
                    <c:v>Stefan</c:v>
                  </c:pt>
                  <c:pt idx="15">
                    <c:v>Kent</c:v>
                  </c:pt>
                </c:lvl>
              </c:multiLvlStrCache>
            </c:multiLvlStrRef>
          </c:cat>
          <c:val>
            <c:numRef>
              <c:f>'Dream H'!$O$4:$O$19</c:f>
              <c:numCache>
                <c:formatCode>General</c:formatCode>
                <c:ptCount val="16"/>
                <c:pt idx="0">
                  <c:v>79</c:v>
                </c:pt>
                <c:pt idx="1">
                  <c:v>76</c:v>
                </c:pt>
                <c:pt idx="2">
                  <c:v>75</c:v>
                </c:pt>
                <c:pt idx="3">
                  <c:v>76</c:v>
                </c:pt>
                <c:pt idx="4">
                  <c:v>77</c:v>
                </c:pt>
                <c:pt idx="5">
                  <c:v>80</c:v>
                </c:pt>
                <c:pt idx="6">
                  <c:v>69</c:v>
                </c:pt>
                <c:pt idx="7">
                  <c:v>77</c:v>
                </c:pt>
                <c:pt idx="8">
                  <c:v>81</c:v>
                </c:pt>
                <c:pt idx="9">
                  <c:v>83</c:v>
                </c:pt>
                <c:pt idx="10">
                  <c:v>69</c:v>
                </c:pt>
                <c:pt idx="11">
                  <c:v>71</c:v>
                </c:pt>
                <c:pt idx="12">
                  <c:v>85</c:v>
                </c:pt>
                <c:pt idx="13">
                  <c:v>74</c:v>
                </c:pt>
                <c:pt idx="14">
                  <c:v>78</c:v>
                </c:pt>
                <c:pt idx="15">
                  <c:v>87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B24D-440E-9570-18871FDCD5C7}"/>
            </c:ext>
          </c:extLst>
        </c:ser>
        <c:ser>
          <c:idx val="12"/>
          <c:order val="12"/>
          <c:tx>
            <c:strRef>
              <c:f>'Dream H'!$P$3</c:f>
              <c:strCache>
                <c:ptCount val="1"/>
                <c:pt idx="0">
                  <c:v>2022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lumMod val="80000"/>
                    <a:lumOff val="20000"/>
                    <a:shade val="51000"/>
                    <a:satMod val="130000"/>
                  </a:schemeClr>
                </a:gs>
                <a:gs pos="80000">
                  <a:schemeClr val="accent1">
                    <a:lumMod val="80000"/>
                    <a:lumOff val="20000"/>
                    <a:shade val="93000"/>
                    <a:satMod val="130000"/>
                  </a:schemeClr>
                </a:gs>
                <a:gs pos="100000">
                  <a:schemeClr val="accent1">
                    <a:lumMod val="80000"/>
                    <a:lumOff val="20000"/>
                    <a:shade val="94000"/>
                    <a:satMod val="135000"/>
                  </a:schemeClr>
                </a:gs>
              </a:gsLst>
              <a:lin ang="16200000" scaled="0"/>
            </a:gradFill>
            <a:ln>
              <a:noFill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  <a:scene3d>
              <a:camera prst="orthographicFront">
                <a:rot lat="0" lon="0" rev="0"/>
              </a:camera>
              <a:lightRig rig="threePt" dir="t">
                <a:rot lat="0" lon="0" rev="1200000"/>
              </a:lightRig>
            </a:scene3d>
            <a:sp3d>
              <a:bevelT w="63500" h="25400"/>
            </a:sp3d>
          </c:spPr>
          <c:invertIfNegative val="0"/>
          <c:cat>
            <c:multiLvlStrRef>
              <c:f>'Dream H'!$B$4:$C$19</c:f>
              <c:multiLvlStrCache>
                <c:ptCount val="16"/>
                <c:lvl>
                  <c:pt idx="0">
                    <c:v>Backe</c:v>
                  </c:pt>
                  <c:pt idx="1">
                    <c:v>Åberg</c:v>
                  </c:pt>
                  <c:pt idx="2">
                    <c:v>Johansson</c:v>
                  </c:pt>
                  <c:pt idx="3">
                    <c:v>Simonsson</c:v>
                  </c:pt>
                  <c:pt idx="4">
                    <c:v>Svensson</c:v>
                  </c:pt>
                  <c:pt idx="5">
                    <c:v>Johansson</c:v>
                  </c:pt>
                  <c:pt idx="6">
                    <c:v>Nilsson</c:v>
                  </c:pt>
                  <c:pt idx="7">
                    <c:v>Bengtsson</c:v>
                  </c:pt>
                  <c:pt idx="8">
                    <c:v>Larsson</c:v>
                  </c:pt>
                  <c:pt idx="9">
                    <c:v>Stranddahl</c:v>
                  </c:pt>
                  <c:pt idx="10">
                    <c:v>Thorvaldsson</c:v>
                  </c:pt>
                  <c:pt idx="11">
                    <c:v>Söder</c:v>
                  </c:pt>
                  <c:pt idx="12">
                    <c:v>Ljung</c:v>
                  </c:pt>
                  <c:pt idx="13">
                    <c:v>Glyssbo</c:v>
                  </c:pt>
                  <c:pt idx="14">
                    <c:v>Källström</c:v>
                  </c:pt>
                  <c:pt idx="15">
                    <c:v>Johansson</c:v>
                  </c:pt>
                </c:lvl>
                <c:lvl>
                  <c:pt idx="0">
                    <c:v>Göran</c:v>
                  </c:pt>
                  <c:pt idx="1">
                    <c:v>Micke</c:v>
                  </c:pt>
                  <c:pt idx="2">
                    <c:v>Börje</c:v>
                  </c:pt>
                  <c:pt idx="3">
                    <c:v>Jörgen</c:v>
                  </c:pt>
                  <c:pt idx="4">
                    <c:v>Claes</c:v>
                  </c:pt>
                  <c:pt idx="5">
                    <c:v>Lalle</c:v>
                  </c:pt>
                  <c:pt idx="6">
                    <c:v>Peter</c:v>
                  </c:pt>
                  <c:pt idx="7">
                    <c:v>Magnus</c:v>
                  </c:pt>
                  <c:pt idx="8">
                    <c:v>Thomas</c:v>
                  </c:pt>
                  <c:pt idx="9">
                    <c:v>Jörgen</c:v>
                  </c:pt>
                  <c:pt idx="10">
                    <c:v>Stefan</c:v>
                  </c:pt>
                  <c:pt idx="11">
                    <c:v>Jocke</c:v>
                  </c:pt>
                  <c:pt idx="12">
                    <c:v>Niklas</c:v>
                  </c:pt>
                  <c:pt idx="13">
                    <c:v>PJ</c:v>
                  </c:pt>
                  <c:pt idx="14">
                    <c:v>Stefan</c:v>
                  </c:pt>
                  <c:pt idx="15">
                    <c:v>Kent</c:v>
                  </c:pt>
                </c:lvl>
              </c:multiLvlStrCache>
            </c:multiLvlStrRef>
          </c:cat>
          <c:val>
            <c:numRef>
              <c:f>'Dream H'!$P$4:$P$19</c:f>
              <c:numCache>
                <c:formatCode>General</c:formatCode>
                <c:ptCount val="16"/>
                <c:pt idx="0">
                  <c:v>83</c:v>
                </c:pt>
                <c:pt idx="1">
                  <c:v>73</c:v>
                </c:pt>
                <c:pt idx="2">
                  <c:v>77</c:v>
                </c:pt>
                <c:pt idx="3">
                  <c:v>77</c:v>
                </c:pt>
                <c:pt idx="4">
                  <c:v>80</c:v>
                </c:pt>
                <c:pt idx="5">
                  <c:v>80</c:v>
                </c:pt>
                <c:pt idx="6">
                  <c:v>70</c:v>
                </c:pt>
                <c:pt idx="7">
                  <c:v>80</c:v>
                </c:pt>
                <c:pt idx="8">
                  <c:v>87</c:v>
                </c:pt>
                <c:pt idx="9">
                  <c:v>82</c:v>
                </c:pt>
                <c:pt idx="10">
                  <c:v>68</c:v>
                </c:pt>
                <c:pt idx="11">
                  <c:v>73</c:v>
                </c:pt>
                <c:pt idx="12">
                  <c:v>73</c:v>
                </c:pt>
                <c:pt idx="13">
                  <c:v>79</c:v>
                </c:pt>
                <c:pt idx="14">
                  <c:v>81</c:v>
                </c:pt>
                <c:pt idx="15">
                  <c:v>87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B24D-440E-9570-18871FDCD5C7}"/>
            </c:ext>
          </c:extLst>
        </c:ser>
        <c:ser>
          <c:idx val="13"/>
          <c:order val="13"/>
          <c:tx>
            <c:strRef>
              <c:f>'Dream H'!$Q$3</c:f>
              <c:strCache>
                <c:ptCount val="1"/>
                <c:pt idx="0">
                  <c:v>2023</c:v>
                </c:pt>
              </c:strCache>
            </c:strRef>
          </c:tx>
          <c:spPr>
            <a:gradFill rotWithShape="1">
              <a:gsLst>
                <a:gs pos="0">
                  <a:schemeClr val="accent2">
                    <a:lumMod val="80000"/>
                    <a:lumOff val="20000"/>
                    <a:shade val="51000"/>
                    <a:satMod val="130000"/>
                  </a:schemeClr>
                </a:gs>
                <a:gs pos="80000">
                  <a:schemeClr val="accent2">
                    <a:lumMod val="80000"/>
                    <a:lumOff val="20000"/>
                    <a:shade val="93000"/>
                    <a:satMod val="130000"/>
                  </a:schemeClr>
                </a:gs>
                <a:gs pos="100000">
                  <a:schemeClr val="accent2">
                    <a:lumMod val="80000"/>
                    <a:lumOff val="20000"/>
                    <a:shade val="94000"/>
                    <a:satMod val="135000"/>
                  </a:schemeClr>
                </a:gs>
              </a:gsLst>
              <a:lin ang="16200000" scaled="0"/>
            </a:gradFill>
            <a:ln>
              <a:noFill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  <a:scene3d>
              <a:camera prst="orthographicFront">
                <a:rot lat="0" lon="0" rev="0"/>
              </a:camera>
              <a:lightRig rig="threePt" dir="t">
                <a:rot lat="0" lon="0" rev="1200000"/>
              </a:lightRig>
            </a:scene3d>
            <a:sp3d>
              <a:bevelT w="63500" h="25400"/>
            </a:sp3d>
          </c:spPr>
          <c:invertIfNegative val="0"/>
          <c:cat>
            <c:multiLvlStrRef>
              <c:f>'Dream H'!$B$4:$C$19</c:f>
              <c:multiLvlStrCache>
                <c:ptCount val="16"/>
                <c:lvl>
                  <c:pt idx="0">
                    <c:v>Backe</c:v>
                  </c:pt>
                  <c:pt idx="1">
                    <c:v>Åberg</c:v>
                  </c:pt>
                  <c:pt idx="2">
                    <c:v>Johansson</c:v>
                  </c:pt>
                  <c:pt idx="3">
                    <c:v>Simonsson</c:v>
                  </c:pt>
                  <c:pt idx="4">
                    <c:v>Svensson</c:v>
                  </c:pt>
                  <c:pt idx="5">
                    <c:v>Johansson</c:v>
                  </c:pt>
                  <c:pt idx="6">
                    <c:v>Nilsson</c:v>
                  </c:pt>
                  <c:pt idx="7">
                    <c:v>Bengtsson</c:v>
                  </c:pt>
                  <c:pt idx="8">
                    <c:v>Larsson</c:v>
                  </c:pt>
                  <c:pt idx="9">
                    <c:v>Stranddahl</c:v>
                  </c:pt>
                  <c:pt idx="10">
                    <c:v>Thorvaldsson</c:v>
                  </c:pt>
                  <c:pt idx="11">
                    <c:v>Söder</c:v>
                  </c:pt>
                  <c:pt idx="12">
                    <c:v>Ljung</c:v>
                  </c:pt>
                  <c:pt idx="13">
                    <c:v>Glyssbo</c:v>
                  </c:pt>
                  <c:pt idx="14">
                    <c:v>Källström</c:v>
                  </c:pt>
                  <c:pt idx="15">
                    <c:v>Johansson</c:v>
                  </c:pt>
                </c:lvl>
                <c:lvl>
                  <c:pt idx="0">
                    <c:v>Göran</c:v>
                  </c:pt>
                  <c:pt idx="1">
                    <c:v>Micke</c:v>
                  </c:pt>
                  <c:pt idx="2">
                    <c:v>Börje</c:v>
                  </c:pt>
                  <c:pt idx="3">
                    <c:v>Jörgen</c:v>
                  </c:pt>
                  <c:pt idx="4">
                    <c:v>Claes</c:v>
                  </c:pt>
                  <c:pt idx="5">
                    <c:v>Lalle</c:v>
                  </c:pt>
                  <c:pt idx="6">
                    <c:v>Peter</c:v>
                  </c:pt>
                  <c:pt idx="7">
                    <c:v>Magnus</c:v>
                  </c:pt>
                  <c:pt idx="8">
                    <c:v>Thomas</c:v>
                  </c:pt>
                  <c:pt idx="9">
                    <c:v>Jörgen</c:v>
                  </c:pt>
                  <c:pt idx="10">
                    <c:v>Stefan</c:v>
                  </c:pt>
                  <c:pt idx="11">
                    <c:v>Jocke</c:v>
                  </c:pt>
                  <c:pt idx="12">
                    <c:v>Niklas</c:v>
                  </c:pt>
                  <c:pt idx="13">
                    <c:v>PJ</c:v>
                  </c:pt>
                  <c:pt idx="14">
                    <c:v>Stefan</c:v>
                  </c:pt>
                  <c:pt idx="15">
                    <c:v>Kent</c:v>
                  </c:pt>
                </c:lvl>
              </c:multiLvlStrCache>
            </c:multiLvlStrRef>
          </c:cat>
          <c:val>
            <c:numRef>
              <c:f>'Dream H'!$Q$4:$Q$19</c:f>
              <c:numCache>
                <c:formatCode>General</c:formatCode>
                <c:ptCount val="16"/>
                <c:pt idx="0">
                  <c:v>82</c:v>
                </c:pt>
                <c:pt idx="1">
                  <c:v>75</c:v>
                </c:pt>
                <c:pt idx="2">
                  <c:v>73</c:v>
                </c:pt>
                <c:pt idx="3">
                  <c:v>81</c:v>
                </c:pt>
                <c:pt idx="4">
                  <c:v>96</c:v>
                </c:pt>
                <c:pt idx="5">
                  <c:v>84</c:v>
                </c:pt>
                <c:pt idx="6">
                  <c:v>77</c:v>
                </c:pt>
                <c:pt idx="7">
                  <c:v>105</c:v>
                </c:pt>
                <c:pt idx="8">
                  <c:v>85</c:v>
                </c:pt>
                <c:pt idx="9">
                  <c:v>87</c:v>
                </c:pt>
                <c:pt idx="10">
                  <c:v>69</c:v>
                </c:pt>
                <c:pt idx="11">
                  <c:v>73</c:v>
                </c:pt>
                <c:pt idx="12">
                  <c:v>77</c:v>
                </c:pt>
                <c:pt idx="13">
                  <c:v>76</c:v>
                </c:pt>
                <c:pt idx="14">
                  <c:v>77</c:v>
                </c:pt>
                <c:pt idx="15">
                  <c:v>84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183-43E8-AA6F-EC61C552114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-24"/>
        <c:axId val="863274152"/>
        <c:axId val="869948288"/>
      </c:barChart>
      <c:catAx>
        <c:axId val="86327415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12700" cap="flat" cmpd="sng" algn="ctr">
            <a:solidFill>
              <a:schemeClr val="lt1">
                <a:lumMod val="95000"/>
                <a:alpha val="54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SE"/>
          </a:p>
        </c:txPr>
        <c:crossAx val="869948288"/>
        <c:crosses val="autoZero"/>
        <c:auto val="1"/>
        <c:lblAlgn val="ctr"/>
        <c:lblOffset val="100"/>
        <c:noMultiLvlLbl val="0"/>
      </c:catAx>
      <c:valAx>
        <c:axId val="869948288"/>
        <c:scaling>
          <c:orientation val="minMax"/>
          <c:min val="65"/>
        </c:scaling>
        <c:delete val="0"/>
        <c:axPos val="l"/>
        <c:majorGridlines>
          <c:spPr>
            <a:ln w="9525" cap="flat" cmpd="sng" algn="ctr">
              <a:solidFill>
                <a:schemeClr val="bg1">
                  <a:alpha val="36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900" b="1" i="0" u="none" strike="noStrike" kern="1200" cap="all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v-SE"/>
                  <a:t>DREAMSCORE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900" b="1" i="0" u="none" strike="noStrike" kern="1200" cap="all" baseline="0">
                  <a:solidFill>
                    <a:schemeClr val="lt1">
                      <a:lumMod val="8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v-SE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SE"/>
          </a:p>
        </c:txPr>
        <c:crossAx val="863274152"/>
        <c:crosses val="autoZero"/>
        <c:crossBetween val="between"/>
      </c:valAx>
      <c:dTable>
        <c:showHorzBorder val="1"/>
        <c:showVertBorder val="1"/>
        <c:showOutline val="1"/>
        <c:showKeys val="1"/>
        <c:spPr>
          <a:noFill/>
          <a:ln w="9525">
            <a:solidFill>
              <a:schemeClr val="lt1">
                <a:lumMod val="95000"/>
                <a:alpha val="54000"/>
              </a:schemeClr>
            </a:solidFill>
          </a:ln>
          <a:effectLst/>
        </c:spPr>
        <c:txPr>
          <a:bodyPr rot="0" spcFirstLastPara="1" vertOverflow="ellipsis" vert="horz" wrap="square" anchor="ctr" anchorCtr="1"/>
          <a:lstStyle/>
          <a:p>
            <a:pPr rtl="0"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SE"/>
          </a:p>
        </c:txPr>
      </c:dTable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lt1">
                  <a:lumMod val="85000"/>
                </a:schemeClr>
              </a:solidFill>
              <a:latin typeface="+mn-lt"/>
              <a:ea typeface="+mn-ea"/>
              <a:cs typeface="+mn-cs"/>
            </a:defRPr>
          </a:pPr>
          <a:endParaRPr lang="sv-SE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dk1">
            <a:lumMod val="65000"/>
            <a:lumOff val="35000"/>
          </a:schemeClr>
        </a:gs>
        <a:gs pos="100000">
          <a:schemeClr val="dk1">
            <a:lumMod val="85000"/>
            <a:lumOff val="15000"/>
          </a:schemeClr>
        </a:gs>
      </a:gsLst>
      <a:path path="circle">
        <a:fillToRect l="50000" t="50000" r="50000" b="50000"/>
      </a:path>
      <a:tileRect/>
    </a:gradFill>
    <a:ln>
      <a:noFill/>
    </a:ln>
    <a:effectLst/>
  </c:spPr>
  <c:txPr>
    <a:bodyPr/>
    <a:lstStyle/>
    <a:p>
      <a:pPr>
        <a:defRPr/>
      </a:pPr>
      <a:endParaRPr lang="sv-SE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v-S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sv-SE"/>
              <a:t>Årets</a:t>
            </a:r>
            <a:r>
              <a:rPr lang="sv-SE" baseline="0"/>
              <a:t> fullegubbe - Omg 9</a:t>
            </a:r>
            <a:endParaRPr lang="sv-SE"/>
          </a:p>
        </c:rich>
      </c:tx>
      <c:layout>
        <c:manualLayout>
          <c:xMode val="edge"/>
          <c:yMode val="edge"/>
          <c:x val="0.38466573065314086"/>
          <c:y val="1.6851114871529047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v-SE"/>
        </a:p>
      </c:txPr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clip" horzOverflow="clip" vert="horz" wrap="square" lIns="38100" tIns="36000" rIns="38100" bIns="19050" anchor="ctr" anchorCtr="0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rect">
                    <a:avLst/>
                  </a:prstGeom>
                  <a:noFill/>
                  <a:ln>
                    <a:noFill/>
                  </a:ln>
                </c15:spPr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Dreamscore!$B$218:$C$233</c:f>
              <c:multiLvlStrCache>
                <c:ptCount val="16"/>
                <c:lvl>
                  <c:pt idx="0">
                    <c:v>Backe</c:v>
                  </c:pt>
                  <c:pt idx="1">
                    <c:v>Åberg</c:v>
                  </c:pt>
                  <c:pt idx="2">
                    <c:v> B Johansson</c:v>
                  </c:pt>
                  <c:pt idx="3">
                    <c:v>Simonsson</c:v>
                  </c:pt>
                  <c:pt idx="4">
                    <c:v>Svensson</c:v>
                  </c:pt>
                  <c:pt idx="5">
                    <c:v>L Johansson</c:v>
                  </c:pt>
                  <c:pt idx="6">
                    <c:v>Nilsson</c:v>
                  </c:pt>
                  <c:pt idx="7">
                    <c:v>Bengtsson</c:v>
                  </c:pt>
                  <c:pt idx="8">
                    <c:v>Larsson</c:v>
                  </c:pt>
                  <c:pt idx="9">
                    <c:v>Stranddahl</c:v>
                  </c:pt>
                  <c:pt idx="10">
                    <c:v>Thorvaldsson</c:v>
                  </c:pt>
                  <c:pt idx="11">
                    <c:v>Söder</c:v>
                  </c:pt>
                  <c:pt idx="12">
                    <c:v>Ljung</c:v>
                  </c:pt>
                  <c:pt idx="13">
                    <c:v>Glyssbo</c:v>
                  </c:pt>
                  <c:pt idx="14">
                    <c:v>Källström</c:v>
                  </c:pt>
                  <c:pt idx="15">
                    <c:v>Johansson</c:v>
                  </c:pt>
                </c:lvl>
                <c:lvl>
                  <c:pt idx="0">
                    <c:v>Göran</c:v>
                  </c:pt>
                  <c:pt idx="1">
                    <c:v>Micke</c:v>
                  </c:pt>
                  <c:pt idx="2">
                    <c:v>Börje</c:v>
                  </c:pt>
                  <c:pt idx="3">
                    <c:v>Jörgen</c:v>
                  </c:pt>
                  <c:pt idx="4">
                    <c:v>Claes</c:v>
                  </c:pt>
                  <c:pt idx="5">
                    <c:v>Lalle</c:v>
                  </c:pt>
                  <c:pt idx="6">
                    <c:v>Peter</c:v>
                  </c:pt>
                  <c:pt idx="7">
                    <c:v>Magnus</c:v>
                  </c:pt>
                  <c:pt idx="8">
                    <c:v>Thomas</c:v>
                  </c:pt>
                  <c:pt idx="9">
                    <c:v>Jörgen</c:v>
                  </c:pt>
                  <c:pt idx="10">
                    <c:v>Stefan</c:v>
                  </c:pt>
                  <c:pt idx="11">
                    <c:v>Jocke</c:v>
                  </c:pt>
                  <c:pt idx="12">
                    <c:v>Niklas</c:v>
                  </c:pt>
                  <c:pt idx="13">
                    <c:v>PJ</c:v>
                  </c:pt>
                  <c:pt idx="14">
                    <c:v>Stefan</c:v>
                  </c:pt>
                  <c:pt idx="15">
                    <c:v>Kent</c:v>
                  </c:pt>
                </c:lvl>
              </c:multiLvlStrCache>
            </c:multiLvlStrRef>
          </c:cat>
          <c:val>
            <c:numRef>
              <c:f>Dreamscore!$D$218:$D$233</c:f>
              <c:numCache>
                <c:formatCode>0.00%</c:formatCode>
                <c:ptCount val="16"/>
                <c:pt idx="0">
                  <c:v>3.7037037037037035E-2</c:v>
                </c:pt>
                <c:pt idx="1">
                  <c:v>2.4691358024691357E-2</c:v>
                </c:pt>
                <c:pt idx="2">
                  <c:v>2.0833333333333332E-2</c:v>
                </c:pt>
                <c:pt idx="3">
                  <c:v>4.1666666666666664E-2</c:v>
                </c:pt>
                <c:pt idx="4">
                  <c:v>5.5555555555555552E-2</c:v>
                </c:pt>
                <c:pt idx="5">
                  <c:v>5.5555555555555552E-2</c:v>
                </c:pt>
                <c:pt idx="6">
                  <c:v>0</c:v>
                </c:pt>
                <c:pt idx="7">
                  <c:v>7.407407407407407E-2</c:v>
                </c:pt>
                <c:pt idx="8">
                  <c:v>7.1428571428571425E-2</c:v>
                </c:pt>
                <c:pt idx="9">
                  <c:v>5.5555555555555552E-2</c:v>
                </c:pt>
                <c:pt idx="10">
                  <c:v>6.1728395061728392E-3</c:v>
                </c:pt>
                <c:pt idx="11">
                  <c:v>2.7777777777777776E-2</c:v>
                </c:pt>
                <c:pt idx="12">
                  <c:v>3.7037037037037035E-2</c:v>
                </c:pt>
                <c:pt idx="13">
                  <c:v>9.2592592592592587E-3</c:v>
                </c:pt>
                <c:pt idx="14">
                  <c:v>2.7777777777777776E-2</c:v>
                </c:pt>
                <c:pt idx="15">
                  <c:v>9.2592592592592587E-2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8C7-42FD-BF6F-FAEFE9B49739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150"/>
        <c:overlap val="100"/>
        <c:axId val="515897904"/>
        <c:axId val="515898560"/>
      </c:barChart>
      <c:catAx>
        <c:axId val="51589790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SE"/>
          </a:p>
        </c:txPr>
        <c:crossAx val="515898560"/>
        <c:crosses val="autoZero"/>
        <c:auto val="1"/>
        <c:lblAlgn val="ctr"/>
        <c:lblOffset val="100"/>
        <c:noMultiLvlLbl val="0"/>
      </c:catAx>
      <c:valAx>
        <c:axId val="51589856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SE"/>
          </a:p>
        </c:txPr>
        <c:crossAx val="51589790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sv-SE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v-S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spc="100" baseline="0">
                <a:solidFill>
                  <a:schemeClr val="lt1">
                    <a:lumMod val="95000"/>
                  </a:schemeClr>
                </a:solidFill>
                <a:effectLst>
                  <a:outerShdw blurRad="50800" dist="38100" dir="5400000" algn="t" rotWithShape="0">
                    <a:prstClr val="black">
                      <a:alpha val="40000"/>
                    </a:prstClr>
                  </a:outerShdw>
                </a:effectLst>
                <a:latin typeface="+mn-lt"/>
                <a:ea typeface="+mn-ea"/>
                <a:cs typeface="+mn-cs"/>
              </a:defRPr>
            </a:pPr>
            <a:r>
              <a:rPr lang="sv-SE"/>
              <a:t>Efter första rundan 2023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spc="100" baseline="0">
              <a:solidFill>
                <a:schemeClr val="lt1">
                  <a:lumMod val="95000"/>
                </a:schemeClr>
              </a:solidFill>
              <a:effectLst>
                <a:outerShdw blurRad="50800" dist="38100" dir="5400000" algn="t" rotWithShape="0">
                  <a:prstClr val="black">
                    <a:alpha val="40000"/>
                  </a:prstClr>
                </a:outerShdw>
              </a:effectLst>
              <a:latin typeface="+mn-lt"/>
              <a:ea typeface="+mn-ea"/>
              <a:cs typeface="+mn-cs"/>
            </a:defRPr>
          </a:pPr>
          <a:endParaRPr lang="sv-SE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spPr>
            <a:gradFill rotWithShape="1">
              <a:gsLst>
                <a:gs pos="0">
                  <a:schemeClr val="accent1">
                    <a:shade val="51000"/>
                    <a:satMod val="130000"/>
                  </a:schemeClr>
                </a:gs>
                <a:gs pos="80000">
                  <a:schemeClr val="accent1">
                    <a:shade val="93000"/>
                    <a:satMod val="130000"/>
                  </a:schemeClr>
                </a:gs>
                <a:gs pos="100000">
                  <a:schemeClr val="accent1">
                    <a:shade val="94000"/>
                    <a:satMod val="135000"/>
                  </a:schemeClr>
                </a:gs>
              </a:gsLst>
              <a:lin ang="16200000" scaled="0"/>
            </a:gradFill>
            <a:ln>
              <a:noFill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  <a:scene3d>
              <a:camera prst="orthographicFront">
                <a:rot lat="0" lon="0" rev="0"/>
              </a:camera>
              <a:lightRig rig="threePt" dir="t">
                <a:rot lat="0" lon="0" rev="1200000"/>
              </a:lightRig>
            </a:scene3d>
            <a:sp3d>
              <a:bevelT w="63500" h="25400"/>
            </a:sp3d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Dreamscore!$AI$25:$AI$31</c:f>
              <c:strCache>
                <c:ptCount val="7"/>
                <c:pt idx="0">
                  <c:v>Birdies</c:v>
                </c:pt>
                <c:pt idx="1">
                  <c:v>Par</c:v>
                </c:pt>
                <c:pt idx="2">
                  <c:v>Bogeys</c:v>
                </c:pt>
                <c:pt idx="3">
                  <c:v>Dubbel</c:v>
                </c:pt>
                <c:pt idx="4">
                  <c:v>Trippel</c:v>
                </c:pt>
                <c:pt idx="5">
                  <c:v>Quattro</c:v>
                </c:pt>
                <c:pt idx="6">
                  <c:v>Shit</c:v>
                </c:pt>
              </c:strCache>
            </c:strRef>
          </c:cat>
          <c:val>
            <c:numRef>
              <c:f>Dreamscore!$AJ$25:$AJ$31</c:f>
              <c:numCache>
                <c:formatCode>0.00%</c:formatCode>
                <c:ptCount val="7"/>
                <c:pt idx="0">
                  <c:v>8.5061137692716646E-3</c:v>
                </c:pt>
                <c:pt idx="1">
                  <c:v>0.12546517809675706</c:v>
                </c:pt>
                <c:pt idx="2">
                  <c:v>0.33333333333333331</c:v>
                </c:pt>
                <c:pt idx="3">
                  <c:v>0.26900584795321636</c:v>
                </c:pt>
                <c:pt idx="4">
                  <c:v>0.15736310473152579</c:v>
                </c:pt>
                <c:pt idx="5">
                  <c:v>6.8580542264752797E-2</c:v>
                </c:pt>
                <c:pt idx="6">
                  <c:v>3.7745879851143006E-2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159-4742-A329-798CBAE4E86C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15"/>
        <c:overlap val="-20"/>
        <c:axId val="946166784"/>
        <c:axId val="946164160"/>
      </c:barChart>
      <c:catAx>
        <c:axId val="946166784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12700" cap="flat" cmpd="sng" algn="ctr">
            <a:solidFill>
              <a:schemeClr val="lt1">
                <a:lumMod val="95000"/>
                <a:alpha val="54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SE"/>
          </a:p>
        </c:txPr>
        <c:crossAx val="946164160"/>
        <c:crosses val="autoZero"/>
        <c:auto val="1"/>
        <c:lblAlgn val="ctr"/>
        <c:lblOffset val="100"/>
        <c:noMultiLvlLbl val="0"/>
      </c:catAx>
      <c:valAx>
        <c:axId val="946164160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lt1">
                  <a:lumMod val="95000"/>
                  <a:alpha val="10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SE"/>
          </a:p>
        </c:txPr>
        <c:crossAx val="94616678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dk1">
            <a:lumMod val="65000"/>
            <a:lumOff val="35000"/>
          </a:schemeClr>
        </a:gs>
        <a:gs pos="100000">
          <a:schemeClr val="dk1">
            <a:lumMod val="85000"/>
            <a:lumOff val="15000"/>
          </a:schemeClr>
        </a:gs>
      </a:gsLst>
      <a:path path="circle">
        <a:fillToRect l="50000" t="50000" r="50000" b="50000"/>
      </a:path>
      <a:tileRect/>
    </a:gradFill>
    <a:ln>
      <a:noFill/>
    </a:ln>
    <a:effectLst/>
  </c:spPr>
  <c:txPr>
    <a:bodyPr/>
    <a:lstStyle/>
    <a:p>
      <a:pPr>
        <a:defRPr/>
      </a:pPr>
      <a:endParaRPr lang="sv-SE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v-S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800" b="1" i="0" u="none" strike="noStrike" kern="1200" baseline="0">
                <a:solidFill>
                  <a:schemeClr val="dk1">
                    <a:lumMod val="75000"/>
                    <a:lumOff val="2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sv-SE"/>
              <a:t>Dreamscore Hopp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dk1">
                  <a:lumMod val="75000"/>
                  <a:lumOff val="25000"/>
                </a:schemeClr>
              </a:solidFill>
              <a:latin typeface="+mn-lt"/>
              <a:ea typeface="+mn-ea"/>
              <a:cs typeface="+mn-cs"/>
            </a:defRPr>
          </a:pPr>
          <a:endParaRPr lang="sv-SE"/>
        </a:p>
      </c:txPr>
    </c:title>
    <c:autoTitleDeleted val="0"/>
    <c:plotArea>
      <c:layout/>
      <c:lineChart>
        <c:grouping val="standard"/>
        <c:varyColors val="0"/>
        <c:ser>
          <c:idx val="9"/>
          <c:order val="0"/>
          <c:spPr>
            <a:ln w="31750" cap="rnd">
              <a:solidFill>
                <a:schemeClr val="accent4">
                  <a:lumMod val="60000"/>
                </a:schemeClr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4">
                  <a:lumMod val="60000"/>
                </a:schemeClr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Hopp'!$C$5:$C$20</c:f>
              <c:strCache>
                <c:ptCount val="16"/>
                <c:pt idx="0">
                  <c:v>Thorvaldsson</c:v>
                </c:pt>
                <c:pt idx="1">
                  <c:v>Bengtsson</c:v>
                </c:pt>
                <c:pt idx="2">
                  <c:v>Nilsson</c:v>
                </c:pt>
                <c:pt idx="3">
                  <c:v>Simonsson</c:v>
                </c:pt>
                <c:pt idx="4">
                  <c:v>Åberg</c:v>
                </c:pt>
                <c:pt idx="5">
                  <c:v>Svensson</c:v>
                </c:pt>
                <c:pt idx="6">
                  <c:v>Backe</c:v>
                </c:pt>
                <c:pt idx="7">
                  <c:v>Källström</c:v>
                </c:pt>
                <c:pt idx="8">
                  <c:v>Johansson</c:v>
                </c:pt>
                <c:pt idx="9">
                  <c:v>Stranddahl</c:v>
                </c:pt>
                <c:pt idx="10">
                  <c:v>Johansson</c:v>
                </c:pt>
                <c:pt idx="11">
                  <c:v>Larsson</c:v>
                </c:pt>
                <c:pt idx="12">
                  <c:v>Söder</c:v>
                </c:pt>
                <c:pt idx="13">
                  <c:v>Ljung</c:v>
                </c:pt>
                <c:pt idx="14">
                  <c:v>Glyssbo</c:v>
                </c:pt>
                <c:pt idx="15">
                  <c:v>Johansson</c:v>
                </c:pt>
              </c:strCache>
            </c:strRef>
          </c:cat>
          <c:val>
            <c:numRef>
              <c:f>'DS Hopp'!$D$5:$D$20</c:f>
              <c:numCache>
                <c:formatCode>General</c:formatCode>
                <c:ptCount val="16"/>
                <c:pt idx="0">
                  <c:v>91</c:v>
                </c:pt>
                <c:pt idx="1">
                  <c:v>107</c:v>
                </c:pt>
                <c:pt idx="2">
                  <c:v>98</c:v>
                </c:pt>
                <c:pt idx="3">
                  <c:v>111</c:v>
                </c:pt>
                <c:pt idx="4">
                  <c:v>110</c:v>
                </c:pt>
                <c:pt idx="5">
                  <c:v>109</c:v>
                </c:pt>
                <c:pt idx="6">
                  <c:v>100</c:v>
                </c:pt>
                <c:pt idx="7">
                  <c:v>115</c:v>
                </c:pt>
                <c:pt idx="8">
                  <c:v>111</c:v>
                </c:pt>
                <c:pt idx="9">
                  <c:v>106</c:v>
                </c:pt>
                <c:pt idx="10">
                  <c:v>86</c:v>
                </c:pt>
                <c:pt idx="11">
                  <c:v>104</c:v>
                </c:pt>
                <c:pt idx="12">
                  <c:v>93</c:v>
                </c:pt>
                <c:pt idx="13">
                  <c:v>104</c:v>
                </c:pt>
                <c:pt idx="14">
                  <c:v>95</c:v>
                </c:pt>
                <c:pt idx="15">
                  <c:v>122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12-5A1C-4FD3-95D2-422255A011A6}"/>
            </c:ext>
          </c:extLst>
        </c:ser>
        <c:ser>
          <c:idx val="10"/>
          <c:order val="1"/>
          <c:spPr>
            <a:ln w="31750" cap="rnd">
              <a:solidFill>
                <a:schemeClr val="accent5">
                  <a:lumMod val="60000"/>
                </a:schemeClr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5">
                  <a:lumMod val="60000"/>
                </a:schemeClr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Hopp'!$C$5:$C$20</c:f>
              <c:strCache>
                <c:ptCount val="16"/>
                <c:pt idx="0">
                  <c:v>Thorvaldsson</c:v>
                </c:pt>
                <c:pt idx="1">
                  <c:v>Bengtsson</c:v>
                </c:pt>
                <c:pt idx="2">
                  <c:v>Nilsson</c:v>
                </c:pt>
                <c:pt idx="3">
                  <c:v>Simonsson</c:v>
                </c:pt>
                <c:pt idx="4">
                  <c:v>Åberg</c:v>
                </c:pt>
                <c:pt idx="5">
                  <c:v>Svensson</c:v>
                </c:pt>
                <c:pt idx="6">
                  <c:v>Backe</c:v>
                </c:pt>
                <c:pt idx="7">
                  <c:v>Källström</c:v>
                </c:pt>
                <c:pt idx="8">
                  <c:v>Johansson</c:v>
                </c:pt>
                <c:pt idx="9">
                  <c:v>Stranddahl</c:v>
                </c:pt>
                <c:pt idx="10">
                  <c:v>Johansson</c:v>
                </c:pt>
                <c:pt idx="11">
                  <c:v>Larsson</c:v>
                </c:pt>
                <c:pt idx="12">
                  <c:v>Söder</c:v>
                </c:pt>
                <c:pt idx="13">
                  <c:v>Ljung</c:v>
                </c:pt>
                <c:pt idx="14">
                  <c:v>Glyssbo</c:v>
                </c:pt>
                <c:pt idx="15">
                  <c:v>Johansson</c:v>
                </c:pt>
              </c:strCache>
            </c:strRef>
          </c:cat>
          <c:val>
            <c:numRef>
              <c:f>'DS Hopp'!$E$5:$E$20</c:f>
              <c:numCache>
                <c:formatCode>General</c:formatCode>
                <c:ptCount val="16"/>
                <c:pt idx="0">
                  <c:v>78</c:v>
                </c:pt>
                <c:pt idx="1">
                  <c:v>107</c:v>
                </c:pt>
                <c:pt idx="2">
                  <c:v>98</c:v>
                </c:pt>
                <c:pt idx="3">
                  <c:v>93</c:v>
                </c:pt>
                <c:pt idx="4">
                  <c:v>95</c:v>
                </c:pt>
                <c:pt idx="5">
                  <c:v>109</c:v>
                </c:pt>
                <c:pt idx="6">
                  <c:v>94</c:v>
                </c:pt>
                <c:pt idx="7">
                  <c:v>89</c:v>
                </c:pt>
                <c:pt idx="8">
                  <c:v>98</c:v>
                </c:pt>
                <c:pt idx="9">
                  <c:v>100</c:v>
                </c:pt>
                <c:pt idx="10">
                  <c:v>86</c:v>
                </c:pt>
                <c:pt idx="11">
                  <c:v>94</c:v>
                </c:pt>
                <c:pt idx="12">
                  <c:v>93</c:v>
                </c:pt>
                <c:pt idx="13">
                  <c:v>92</c:v>
                </c:pt>
                <c:pt idx="14">
                  <c:v>89</c:v>
                </c:pt>
                <c:pt idx="15">
                  <c:v>99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13-5A1C-4FD3-95D2-422255A011A6}"/>
            </c:ext>
          </c:extLst>
        </c:ser>
        <c:ser>
          <c:idx val="11"/>
          <c:order val="2"/>
          <c:spPr>
            <a:ln w="31750" cap="rnd">
              <a:solidFill>
                <a:schemeClr val="accent6">
                  <a:lumMod val="60000"/>
                </a:schemeClr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6">
                  <a:lumMod val="60000"/>
                </a:schemeClr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Hopp'!$C$5:$C$20</c:f>
              <c:strCache>
                <c:ptCount val="16"/>
                <c:pt idx="0">
                  <c:v>Thorvaldsson</c:v>
                </c:pt>
                <c:pt idx="1">
                  <c:v>Bengtsson</c:v>
                </c:pt>
                <c:pt idx="2">
                  <c:v>Nilsson</c:v>
                </c:pt>
                <c:pt idx="3">
                  <c:v>Simonsson</c:v>
                </c:pt>
                <c:pt idx="4">
                  <c:v>Åberg</c:v>
                </c:pt>
                <c:pt idx="5">
                  <c:v>Svensson</c:v>
                </c:pt>
                <c:pt idx="6">
                  <c:v>Backe</c:v>
                </c:pt>
                <c:pt idx="7">
                  <c:v>Källström</c:v>
                </c:pt>
                <c:pt idx="8">
                  <c:v>Johansson</c:v>
                </c:pt>
                <c:pt idx="9">
                  <c:v>Stranddahl</c:v>
                </c:pt>
                <c:pt idx="10">
                  <c:v>Johansson</c:v>
                </c:pt>
                <c:pt idx="11">
                  <c:v>Larsson</c:v>
                </c:pt>
                <c:pt idx="12">
                  <c:v>Söder</c:v>
                </c:pt>
                <c:pt idx="13">
                  <c:v>Ljung</c:v>
                </c:pt>
                <c:pt idx="14">
                  <c:v>Glyssbo</c:v>
                </c:pt>
                <c:pt idx="15">
                  <c:v>Johansson</c:v>
                </c:pt>
              </c:strCache>
            </c:strRef>
          </c:cat>
          <c:val>
            <c:numRef>
              <c:f>'DS Hopp'!$F$5:$F$20</c:f>
              <c:numCache>
                <c:formatCode>General</c:formatCode>
                <c:ptCount val="16"/>
                <c:pt idx="0">
                  <c:v>77</c:v>
                </c:pt>
                <c:pt idx="1">
                  <c:v>107</c:v>
                </c:pt>
                <c:pt idx="2">
                  <c:v>85</c:v>
                </c:pt>
                <c:pt idx="3">
                  <c:v>91</c:v>
                </c:pt>
                <c:pt idx="4">
                  <c:v>85</c:v>
                </c:pt>
                <c:pt idx="5">
                  <c:v>109</c:v>
                </c:pt>
                <c:pt idx="6">
                  <c:v>86</c:v>
                </c:pt>
                <c:pt idx="7">
                  <c:v>84</c:v>
                </c:pt>
                <c:pt idx="8">
                  <c:v>98</c:v>
                </c:pt>
                <c:pt idx="9">
                  <c:v>92</c:v>
                </c:pt>
                <c:pt idx="10">
                  <c:v>78</c:v>
                </c:pt>
                <c:pt idx="11">
                  <c:v>88</c:v>
                </c:pt>
                <c:pt idx="12">
                  <c:v>82</c:v>
                </c:pt>
                <c:pt idx="13">
                  <c:v>88</c:v>
                </c:pt>
                <c:pt idx="14">
                  <c:v>89</c:v>
                </c:pt>
                <c:pt idx="15">
                  <c:v>94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14-5A1C-4FD3-95D2-422255A011A6}"/>
            </c:ext>
          </c:extLst>
        </c:ser>
        <c:ser>
          <c:idx val="12"/>
          <c:order val="3"/>
          <c:spPr>
            <a:ln w="31750" cap="rnd">
              <a:solidFill>
                <a:schemeClr val="accent1">
                  <a:lumMod val="80000"/>
                  <a:lumOff val="20000"/>
                </a:schemeClr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1">
                  <a:lumMod val="80000"/>
                  <a:lumOff val="20000"/>
                </a:schemeClr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Hopp'!$C$5:$C$20</c:f>
              <c:strCache>
                <c:ptCount val="16"/>
                <c:pt idx="0">
                  <c:v>Thorvaldsson</c:v>
                </c:pt>
                <c:pt idx="1">
                  <c:v>Bengtsson</c:v>
                </c:pt>
                <c:pt idx="2">
                  <c:v>Nilsson</c:v>
                </c:pt>
                <c:pt idx="3">
                  <c:v>Simonsson</c:v>
                </c:pt>
                <c:pt idx="4">
                  <c:v>Åberg</c:v>
                </c:pt>
                <c:pt idx="5">
                  <c:v>Svensson</c:v>
                </c:pt>
                <c:pt idx="6">
                  <c:v>Backe</c:v>
                </c:pt>
                <c:pt idx="7">
                  <c:v>Källström</c:v>
                </c:pt>
                <c:pt idx="8">
                  <c:v>Johansson</c:v>
                </c:pt>
                <c:pt idx="9">
                  <c:v>Stranddahl</c:v>
                </c:pt>
                <c:pt idx="10">
                  <c:v>Johansson</c:v>
                </c:pt>
                <c:pt idx="11">
                  <c:v>Larsson</c:v>
                </c:pt>
                <c:pt idx="12">
                  <c:v>Söder</c:v>
                </c:pt>
                <c:pt idx="13">
                  <c:v>Ljung</c:v>
                </c:pt>
                <c:pt idx="14">
                  <c:v>Glyssbo</c:v>
                </c:pt>
                <c:pt idx="15">
                  <c:v>Johansson</c:v>
                </c:pt>
              </c:strCache>
            </c:strRef>
          </c:cat>
          <c:val>
            <c:numRef>
              <c:f>'DS Hopp'!$G$5:$G$20</c:f>
              <c:numCache>
                <c:formatCode>General</c:formatCode>
                <c:ptCount val="16"/>
                <c:pt idx="0">
                  <c:v>73</c:v>
                </c:pt>
                <c:pt idx="1">
                  <c:v>107</c:v>
                </c:pt>
                <c:pt idx="2">
                  <c:v>81</c:v>
                </c:pt>
                <c:pt idx="3">
                  <c:v>84</c:v>
                </c:pt>
                <c:pt idx="4">
                  <c:v>80</c:v>
                </c:pt>
                <c:pt idx="5">
                  <c:v>109</c:v>
                </c:pt>
                <c:pt idx="6">
                  <c:v>84</c:v>
                </c:pt>
                <c:pt idx="7">
                  <c:v>83</c:v>
                </c:pt>
                <c:pt idx="8">
                  <c:v>95</c:v>
                </c:pt>
                <c:pt idx="9">
                  <c:v>90</c:v>
                </c:pt>
                <c:pt idx="10">
                  <c:v>78</c:v>
                </c:pt>
                <c:pt idx="11">
                  <c:v>88</c:v>
                </c:pt>
                <c:pt idx="12">
                  <c:v>76</c:v>
                </c:pt>
                <c:pt idx="13">
                  <c:v>85</c:v>
                </c:pt>
                <c:pt idx="14">
                  <c:v>80</c:v>
                </c:pt>
                <c:pt idx="15">
                  <c:v>92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15-5A1C-4FD3-95D2-422255A011A6}"/>
            </c:ext>
          </c:extLst>
        </c:ser>
        <c:ser>
          <c:idx val="13"/>
          <c:order val="4"/>
          <c:spPr>
            <a:ln w="31750" cap="rnd">
              <a:solidFill>
                <a:schemeClr val="accent2">
                  <a:lumMod val="80000"/>
                  <a:lumOff val="20000"/>
                </a:schemeClr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2">
                  <a:lumMod val="80000"/>
                  <a:lumOff val="20000"/>
                </a:schemeClr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Hopp'!$C$5:$C$20</c:f>
              <c:strCache>
                <c:ptCount val="16"/>
                <c:pt idx="0">
                  <c:v>Thorvaldsson</c:v>
                </c:pt>
                <c:pt idx="1">
                  <c:v>Bengtsson</c:v>
                </c:pt>
                <c:pt idx="2">
                  <c:v>Nilsson</c:v>
                </c:pt>
                <c:pt idx="3">
                  <c:v>Simonsson</c:v>
                </c:pt>
                <c:pt idx="4">
                  <c:v>Åberg</c:v>
                </c:pt>
                <c:pt idx="5">
                  <c:v>Svensson</c:v>
                </c:pt>
                <c:pt idx="6">
                  <c:v>Backe</c:v>
                </c:pt>
                <c:pt idx="7">
                  <c:v>Källström</c:v>
                </c:pt>
                <c:pt idx="8">
                  <c:v>Johansson</c:v>
                </c:pt>
                <c:pt idx="9">
                  <c:v>Stranddahl</c:v>
                </c:pt>
                <c:pt idx="10">
                  <c:v>Johansson</c:v>
                </c:pt>
                <c:pt idx="11">
                  <c:v>Larsson</c:v>
                </c:pt>
                <c:pt idx="12">
                  <c:v>Söder</c:v>
                </c:pt>
                <c:pt idx="13">
                  <c:v>Ljung</c:v>
                </c:pt>
                <c:pt idx="14">
                  <c:v>Glyssbo</c:v>
                </c:pt>
                <c:pt idx="15">
                  <c:v>Johansson</c:v>
                </c:pt>
              </c:strCache>
            </c:strRef>
          </c:cat>
          <c:val>
            <c:numRef>
              <c:f>'DS Hopp'!$H$5:$H$20</c:f>
              <c:numCache>
                <c:formatCode>General</c:formatCode>
                <c:ptCount val="16"/>
                <c:pt idx="0">
                  <c:v>72</c:v>
                </c:pt>
                <c:pt idx="1">
                  <c:v>107</c:v>
                </c:pt>
                <c:pt idx="2">
                  <c:v>79</c:v>
                </c:pt>
                <c:pt idx="3">
                  <c:v>84</c:v>
                </c:pt>
                <c:pt idx="4">
                  <c:v>80</c:v>
                </c:pt>
                <c:pt idx="5">
                  <c:v>100</c:v>
                </c:pt>
                <c:pt idx="6">
                  <c:v>83</c:v>
                </c:pt>
                <c:pt idx="7">
                  <c:v>81</c:v>
                </c:pt>
                <c:pt idx="8">
                  <c:v>91</c:v>
                </c:pt>
                <c:pt idx="9">
                  <c:v>90</c:v>
                </c:pt>
                <c:pt idx="10">
                  <c:v>76</c:v>
                </c:pt>
                <c:pt idx="11">
                  <c:v>88</c:v>
                </c:pt>
                <c:pt idx="12">
                  <c:v>76</c:v>
                </c:pt>
                <c:pt idx="13">
                  <c:v>84</c:v>
                </c:pt>
                <c:pt idx="14">
                  <c:v>78</c:v>
                </c:pt>
                <c:pt idx="15">
                  <c:v>90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16-5A1C-4FD3-95D2-422255A011A6}"/>
            </c:ext>
          </c:extLst>
        </c:ser>
        <c:ser>
          <c:idx val="14"/>
          <c:order val="5"/>
          <c:spPr>
            <a:ln w="31750" cap="rnd">
              <a:solidFill>
                <a:schemeClr val="accent3">
                  <a:lumMod val="80000"/>
                  <a:lumOff val="20000"/>
                </a:schemeClr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3">
                  <a:lumMod val="80000"/>
                  <a:lumOff val="20000"/>
                </a:schemeClr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Hopp'!$C$5:$C$20</c:f>
              <c:strCache>
                <c:ptCount val="16"/>
                <c:pt idx="0">
                  <c:v>Thorvaldsson</c:v>
                </c:pt>
                <c:pt idx="1">
                  <c:v>Bengtsson</c:v>
                </c:pt>
                <c:pt idx="2">
                  <c:v>Nilsson</c:v>
                </c:pt>
                <c:pt idx="3">
                  <c:v>Simonsson</c:v>
                </c:pt>
                <c:pt idx="4">
                  <c:v>Åberg</c:v>
                </c:pt>
                <c:pt idx="5">
                  <c:v>Svensson</c:v>
                </c:pt>
                <c:pt idx="6">
                  <c:v>Backe</c:v>
                </c:pt>
                <c:pt idx="7">
                  <c:v>Källström</c:v>
                </c:pt>
                <c:pt idx="8">
                  <c:v>Johansson</c:v>
                </c:pt>
                <c:pt idx="9">
                  <c:v>Stranddahl</c:v>
                </c:pt>
                <c:pt idx="10">
                  <c:v>Johansson</c:v>
                </c:pt>
                <c:pt idx="11">
                  <c:v>Larsson</c:v>
                </c:pt>
                <c:pt idx="12">
                  <c:v>Söder</c:v>
                </c:pt>
                <c:pt idx="13">
                  <c:v>Ljung</c:v>
                </c:pt>
                <c:pt idx="14">
                  <c:v>Glyssbo</c:v>
                </c:pt>
                <c:pt idx="15">
                  <c:v>Johansson</c:v>
                </c:pt>
              </c:strCache>
            </c:strRef>
          </c:cat>
          <c:val>
            <c:numRef>
              <c:f>'DS Hopp'!$I$5:$I$20</c:f>
              <c:numCache>
                <c:formatCode>General</c:formatCode>
                <c:ptCount val="16"/>
                <c:pt idx="0">
                  <c:v>70</c:v>
                </c:pt>
                <c:pt idx="1">
                  <c:v>107</c:v>
                </c:pt>
                <c:pt idx="2">
                  <c:v>78</c:v>
                </c:pt>
                <c:pt idx="3">
                  <c:v>83</c:v>
                </c:pt>
                <c:pt idx="4">
                  <c:v>80</c:v>
                </c:pt>
                <c:pt idx="5">
                  <c:v>100</c:v>
                </c:pt>
                <c:pt idx="6">
                  <c:v>83</c:v>
                </c:pt>
                <c:pt idx="7">
                  <c:v>81</c:v>
                </c:pt>
                <c:pt idx="8">
                  <c:v>88</c:v>
                </c:pt>
                <c:pt idx="9">
                  <c:v>90</c:v>
                </c:pt>
                <c:pt idx="10">
                  <c:v>76</c:v>
                </c:pt>
                <c:pt idx="11">
                  <c:v>88</c:v>
                </c:pt>
                <c:pt idx="12">
                  <c:v>74</c:v>
                </c:pt>
                <c:pt idx="13">
                  <c:v>81</c:v>
                </c:pt>
                <c:pt idx="14">
                  <c:v>78</c:v>
                </c:pt>
                <c:pt idx="15">
                  <c:v>86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17-5A1C-4FD3-95D2-422255A011A6}"/>
            </c:ext>
          </c:extLst>
        </c:ser>
        <c:ser>
          <c:idx val="15"/>
          <c:order val="6"/>
          <c:spPr>
            <a:ln w="31750" cap="rnd">
              <a:solidFill>
                <a:schemeClr val="accent4">
                  <a:lumMod val="80000"/>
                  <a:lumOff val="20000"/>
                </a:schemeClr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4">
                  <a:lumMod val="80000"/>
                  <a:lumOff val="20000"/>
                </a:schemeClr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Hopp'!$C$5:$C$20</c:f>
              <c:strCache>
                <c:ptCount val="16"/>
                <c:pt idx="0">
                  <c:v>Thorvaldsson</c:v>
                </c:pt>
                <c:pt idx="1">
                  <c:v>Bengtsson</c:v>
                </c:pt>
                <c:pt idx="2">
                  <c:v>Nilsson</c:v>
                </c:pt>
                <c:pt idx="3">
                  <c:v>Simonsson</c:v>
                </c:pt>
                <c:pt idx="4">
                  <c:v>Åberg</c:v>
                </c:pt>
                <c:pt idx="5">
                  <c:v>Svensson</c:v>
                </c:pt>
                <c:pt idx="6">
                  <c:v>Backe</c:v>
                </c:pt>
                <c:pt idx="7">
                  <c:v>Källström</c:v>
                </c:pt>
                <c:pt idx="8">
                  <c:v>Johansson</c:v>
                </c:pt>
                <c:pt idx="9">
                  <c:v>Stranddahl</c:v>
                </c:pt>
                <c:pt idx="10">
                  <c:v>Johansson</c:v>
                </c:pt>
                <c:pt idx="11">
                  <c:v>Larsson</c:v>
                </c:pt>
                <c:pt idx="12">
                  <c:v>Söder</c:v>
                </c:pt>
                <c:pt idx="13">
                  <c:v>Ljung</c:v>
                </c:pt>
                <c:pt idx="14">
                  <c:v>Glyssbo</c:v>
                </c:pt>
                <c:pt idx="15">
                  <c:v>Johansson</c:v>
                </c:pt>
              </c:strCache>
            </c:strRef>
          </c:cat>
          <c:val>
            <c:numRef>
              <c:f>'DS Hopp'!$J$5:$J$20</c:f>
              <c:numCache>
                <c:formatCode>General</c:formatCode>
                <c:ptCount val="16"/>
                <c:pt idx="0">
                  <c:v>70</c:v>
                </c:pt>
                <c:pt idx="1">
                  <c:v>107</c:v>
                </c:pt>
                <c:pt idx="2">
                  <c:v>77</c:v>
                </c:pt>
                <c:pt idx="3">
                  <c:v>83</c:v>
                </c:pt>
                <c:pt idx="4">
                  <c:v>80</c:v>
                </c:pt>
                <c:pt idx="5">
                  <c:v>96</c:v>
                </c:pt>
                <c:pt idx="6">
                  <c:v>83</c:v>
                </c:pt>
                <c:pt idx="7">
                  <c:v>81</c:v>
                </c:pt>
                <c:pt idx="8">
                  <c:v>88</c:v>
                </c:pt>
                <c:pt idx="9">
                  <c:v>87</c:v>
                </c:pt>
                <c:pt idx="10">
                  <c:v>75</c:v>
                </c:pt>
                <c:pt idx="11">
                  <c:v>86</c:v>
                </c:pt>
                <c:pt idx="12">
                  <c:v>73</c:v>
                </c:pt>
                <c:pt idx="13">
                  <c:v>78</c:v>
                </c:pt>
                <c:pt idx="14">
                  <c:v>78</c:v>
                </c:pt>
                <c:pt idx="15">
                  <c:v>85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18-5A1C-4FD3-95D2-422255A011A6}"/>
            </c:ext>
          </c:extLst>
        </c:ser>
        <c:ser>
          <c:idx val="16"/>
          <c:order val="7"/>
          <c:spPr>
            <a:ln w="31750" cap="rnd">
              <a:solidFill>
                <a:schemeClr val="accent5">
                  <a:lumMod val="80000"/>
                  <a:lumOff val="20000"/>
                </a:schemeClr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5">
                  <a:lumMod val="80000"/>
                  <a:lumOff val="20000"/>
                </a:schemeClr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Hopp'!$C$5:$C$20</c:f>
              <c:strCache>
                <c:ptCount val="16"/>
                <c:pt idx="0">
                  <c:v>Thorvaldsson</c:v>
                </c:pt>
                <c:pt idx="1">
                  <c:v>Bengtsson</c:v>
                </c:pt>
                <c:pt idx="2">
                  <c:v>Nilsson</c:v>
                </c:pt>
                <c:pt idx="3">
                  <c:v>Simonsson</c:v>
                </c:pt>
                <c:pt idx="4">
                  <c:v>Åberg</c:v>
                </c:pt>
                <c:pt idx="5">
                  <c:v>Svensson</c:v>
                </c:pt>
                <c:pt idx="6">
                  <c:v>Backe</c:v>
                </c:pt>
                <c:pt idx="7">
                  <c:v>Källström</c:v>
                </c:pt>
                <c:pt idx="8">
                  <c:v>Johansson</c:v>
                </c:pt>
                <c:pt idx="9">
                  <c:v>Stranddahl</c:v>
                </c:pt>
                <c:pt idx="10">
                  <c:v>Johansson</c:v>
                </c:pt>
                <c:pt idx="11">
                  <c:v>Larsson</c:v>
                </c:pt>
                <c:pt idx="12">
                  <c:v>Söder</c:v>
                </c:pt>
                <c:pt idx="13">
                  <c:v>Ljung</c:v>
                </c:pt>
                <c:pt idx="14">
                  <c:v>Glyssbo</c:v>
                </c:pt>
                <c:pt idx="15">
                  <c:v>Johansson</c:v>
                </c:pt>
              </c:strCache>
            </c:strRef>
          </c:cat>
          <c:val>
            <c:numRef>
              <c:f>'DS Hopp'!$K$5:$K$20</c:f>
              <c:numCache>
                <c:formatCode>General</c:formatCode>
                <c:ptCount val="16"/>
                <c:pt idx="0">
                  <c:v>69</c:v>
                </c:pt>
                <c:pt idx="1">
                  <c:v>107</c:v>
                </c:pt>
                <c:pt idx="2">
                  <c:v>77</c:v>
                </c:pt>
                <c:pt idx="3">
                  <c:v>81</c:v>
                </c:pt>
                <c:pt idx="4">
                  <c:v>76</c:v>
                </c:pt>
                <c:pt idx="5">
                  <c:v>96</c:v>
                </c:pt>
                <c:pt idx="6">
                  <c:v>83</c:v>
                </c:pt>
                <c:pt idx="7">
                  <c:v>81</c:v>
                </c:pt>
                <c:pt idx="8">
                  <c:v>88</c:v>
                </c:pt>
                <c:pt idx="9">
                  <c:v>87</c:v>
                </c:pt>
                <c:pt idx="10">
                  <c:v>75</c:v>
                </c:pt>
                <c:pt idx="11">
                  <c:v>85</c:v>
                </c:pt>
                <c:pt idx="12">
                  <c:v>73</c:v>
                </c:pt>
                <c:pt idx="13">
                  <c:v>77</c:v>
                </c:pt>
                <c:pt idx="14">
                  <c:v>76</c:v>
                </c:pt>
                <c:pt idx="15">
                  <c:v>85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19-5A1C-4FD3-95D2-422255A011A6}"/>
            </c:ext>
          </c:extLst>
        </c:ser>
        <c:ser>
          <c:idx val="17"/>
          <c:order val="8"/>
          <c:spPr>
            <a:ln w="31750" cap="rnd">
              <a:solidFill>
                <a:schemeClr val="accent6">
                  <a:lumMod val="80000"/>
                  <a:lumOff val="20000"/>
                </a:schemeClr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6">
                  <a:lumMod val="80000"/>
                  <a:lumOff val="20000"/>
                </a:schemeClr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Hopp'!$C$5:$C$20</c:f>
              <c:strCache>
                <c:ptCount val="16"/>
                <c:pt idx="0">
                  <c:v>Thorvaldsson</c:v>
                </c:pt>
                <c:pt idx="1">
                  <c:v>Bengtsson</c:v>
                </c:pt>
                <c:pt idx="2">
                  <c:v>Nilsson</c:v>
                </c:pt>
                <c:pt idx="3">
                  <c:v>Simonsson</c:v>
                </c:pt>
                <c:pt idx="4">
                  <c:v>Åberg</c:v>
                </c:pt>
                <c:pt idx="5">
                  <c:v>Svensson</c:v>
                </c:pt>
                <c:pt idx="6">
                  <c:v>Backe</c:v>
                </c:pt>
                <c:pt idx="7">
                  <c:v>Källström</c:v>
                </c:pt>
                <c:pt idx="8">
                  <c:v>Johansson</c:v>
                </c:pt>
                <c:pt idx="9">
                  <c:v>Stranddahl</c:v>
                </c:pt>
                <c:pt idx="10">
                  <c:v>Johansson</c:v>
                </c:pt>
                <c:pt idx="11">
                  <c:v>Larsson</c:v>
                </c:pt>
                <c:pt idx="12">
                  <c:v>Söder</c:v>
                </c:pt>
                <c:pt idx="13">
                  <c:v>Ljung</c:v>
                </c:pt>
                <c:pt idx="14">
                  <c:v>Glyssbo</c:v>
                </c:pt>
                <c:pt idx="15">
                  <c:v>Johansson</c:v>
                </c:pt>
              </c:strCache>
            </c:strRef>
          </c:cat>
          <c:val>
            <c:numRef>
              <c:f>'DS Hopp'!$L$5:$L$20</c:f>
              <c:numCache>
                <c:formatCode>General</c:formatCode>
                <c:ptCount val="16"/>
                <c:pt idx="0">
                  <c:v>69</c:v>
                </c:pt>
                <c:pt idx="1">
                  <c:v>105</c:v>
                </c:pt>
                <c:pt idx="2">
                  <c:v>77</c:v>
                </c:pt>
                <c:pt idx="3">
                  <c:v>81</c:v>
                </c:pt>
                <c:pt idx="4">
                  <c:v>75</c:v>
                </c:pt>
                <c:pt idx="5">
                  <c:v>96</c:v>
                </c:pt>
                <c:pt idx="6">
                  <c:v>82</c:v>
                </c:pt>
                <c:pt idx="7">
                  <c:v>77</c:v>
                </c:pt>
                <c:pt idx="8">
                  <c:v>84</c:v>
                </c:pt>
                <c:pt idx="9">
                  <c:v>87</c:v>
                </c:pt>
                <c:pt idx="10">
                  <c:v>73</c:v>
                </c:pt>
                <c:pt idx="11">
                  <c:v>85</c:v>
                </c:pt>
                <c:pt idx="12">
                  <c:v>73</c:v>
                </c:pt>
                <c:pt idx="13">
                  <c:v>77</c:v>
                </c:pt>
                <c:pt idx="14">
                  <c:v>76</c:v>
                </c:pt>
                <c:pt idx="15">
                  <c:v>84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1A-5A1C-4FD3-95D2-422255A011A6}"/>
            </c:ext>
          </c:extLst>
        </c:ser>
        <c:ser>
          <c:idx val="0"/>
          <c:order val="9"/>
          <c:spPr>
            <a:ln w="317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1"/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Hopp'!$C$5:$C$20</c:f>
              <c:strCache>
                <c:ptCount val="16"/>
                <c:pt idx="0">
                  <c:v>Thorvaldsson</c:v>
                </c:pt>
                <c:pt idx="1">
                  <c:v>Bengtsson</c:v>
                </c:pt>
                <c:pt idx="2">
                  <c:v>Nilsson</c:v>
                </c:pt>
                <c:pt idx="3">
                  <c:v>Simonsson</c:v>
                </c:pt>
                <c:pt idx="4">
                  <c:v>Åberg</c:v>
                </c:pt>
                <c:pt idx="5">
                  <c:v>Svensson</c:v>
                </c:pt>
                <c:pt idx="6">
                  <c:v>Backe</c:v>
                </c:pt>
                <c:pt idx="7">
                  <c:v>Källström</c:v>
                </c:pt>
                <c:pt idx="8">
                  <c:v>Johansson</c:v>
                </c:pt>
                <c:pt idx="9">
                  <c:v>Stranddahl</c:v>
                </c:pt>
                <c:pt idx="10">
                  <c:v>Johansson</c:v>
                </c:pt>
                <c:pt idx="11">
                  <c:v>Larsson</c:v>
                </c:pt>
                <c:pt idx="12">
                  <c:v>Söder</c:v>
                </c:pt>
                <c:pt idx="13">
                  <c:v>Ljung</c:v>
                </c:pt>
                <c:pt idx="14">
                  <c:v>Glyssbo</c:v>
                </c:pt>
                <c:pt idx="15">
                  <c:v>Johansson</c:v>
                </c:pt>
              </c:strCache>
            </c:strRef>
          </c:cat>
          <c:val>
            <c:numRef>
              <c:f>'DS Hopp'!$D$5:$D$20</c:f>
              <c:numCache>
                <c:formatCode>General</c:formatCode>
                <c:ptCount val="16"/>
                <c:pt idx="0">
                  <c:v>91</c:v>
                </c:pt>
                <c:pt idx="1">
                  <c:v>107</c:v>
                </c:pt>
                <c:pt idx="2">
                  <c:v>98</c:v>
                </c:pt>
                <c:pt idx="3">
                  <c:v>111</c:v>
                </c:pt>
                <c:pt idx="4">
                  <c:v>110</c:v>
                </c:pt>
                <c:pt idx="5">
                  <c:v>109</c:v>
                </c:pt>
                <c:pt idx="6">
                  <c:v>100</c:v>
                </c:pt>
                <c:pt idx="7">
                  <c:v>115</c:v>
                </c:pt>
                <c:pt idx="8">
                  <c:v>111</c:v>
                </c:pt>
                <c:pt idx="9">
                  <c:v>106</c:v>
                </c:pt>
                <c:pt idx="10">
                  <c:v>86</c:v>
                </c:pt>
                <c:pt idx="11">
                  <c:v>104</c:v>
                </c:pt>
                <c:pt idx="12">
                  <c:v>93</c:v>
                </c:pt>
                <c:pt idx="13">
                  <c:v>104</c:v>
                </c:pt>
                <c:pt idx="14">
                  <c:v>95</c:v>
                </c:pt>
                <c:pt idx="15">
                  <c:v>122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5A1C-4FD3-95D2-422255A011A6}"/>
            </c:ext>
          </c:extLst>
        </c:ser>
        <c:ser>
          <c:idx val="1"/>
          <c:order val="10"/>
          <c:spPr>
            <a:ln w="317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2"/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Hopp'!$C$5:$C$20</c:f>
              <c:strCache>
                <c:ptCount val="16"/>
                <c:pt idx="0">
                  <c:v>Thorvaldsson</c:v>
                </c:pt>
                <c:pt idx="1">
                  <c:v>Bengtsson</c:v>
                </c:pt>
                <c:pt idx="2">
                  <c:v>Nilsson</c:v>
                </c:pt>
                <c:pt idx="3">
                  <c:v>Simonsson</c:v>
                </c:pt>
                <c:pt idx="4">
                  <c:v>Åberg</c:v>
                </c:pt>
                <c:pt idx="5">
                  <c:v>Svensson</c:v>
                </c:pt>
                <c:pt idx="6">
                  <c:v>Backe</c:v>
                </c:pt>
                <c:pt idx="7">
                  <c:v>Källström</c:v>
                </c:pt>
                <c:pt idx="8">
                  <c:v>Johansson</c:v>
                </c:pt>
                <c:pt idx="9">
                  <c:v>Stranddahl</c:v>
                </c:pt>
                <c:pt idx="10">
                  <c:v>Johansson</c:v>
                </c:pt>
                <c:pt idx="11">
                  <c:v>Larsson</c:v>
                </c:pt>
                <c:pt idx="12">
                  <c:v>Söder</c:v>
                </c:pt>
                <c:pt idx="13">
                  <c:v>Ljung</c:v>
                </c:pt>
                <c:pt idx="14">
                  <c:v>Glyssbo</c:v>
                </c:pt>
                <c:pt idx="15">
                  <c:v>Johansson</c:v>
                </c:pt>
              </c:strCache>
            </c:strRef>
          </c:cat>
          <c:val>
            <c:numRef>
              <c:f>'DS Hopp'!$E$5:$E$20</c:f>
              <c:numCache>
                <c:formatCode>General</c:formatCode>
                <c:ptCount val="16"/>
                <c:pt idx="0">
                  <c:v>78</c:v>
                </c:pt>
                <c:pt idx="1">
                  <c:v>107</c:v>
                </c:pt>
                <c:pt idx="2">
                  <c:v>98</c:v>
                </c:pt>
                <c:pt idx="3">
                  <c:v>93</c:v>
                </c:pt>
                <c:pt idx="4">
                  <c:v>95</c:v>
                </c:pt>
                <c:pt idx="5">
                  <c:v>109</c:v>
                </c:pt>
                <c:pt idx="6">
                  <c:v>94</c:v>
                </c:pt>
                <c:pt idx="7">
                  <c:v>89</c:v>
                </c:pt>
                <c:pt idx="8">
                  <c:v>98</c:v>
                </c:pt>
                <c:pt idx="9">
                  <c:v>100</c:v>
                </c:pt>
                <c:pt idx="10">
                  <c:v>86</c:v>
                </c:pt>
                <c:pt idx="11">
                  <c:v>94</c:v>
                </c:pt>
                <c:pt idx="12">
                  <c:v>93</c:v>
                </c:pt>
                <c:pt idx="13">
                  <c:v>92</c:v>
                </c:pt>
                <c:pt idx="14">
                  <c:v>89</c:v>
                </c:pt>
                <c:pt idx="15">
                  <c:v>99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5A1C-4FD3-95D2-422255A011A6}"/>
            </c:ext>
          </c:extLst>
        </c:ser>
        <c:ser>
          <c:idx val="2"/>
          <c:order val="11"/>
          <c:spPr>
            <a:ln w="317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3"/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Hopp'!$C$5:$C$20</c:f>
              <c:strCache>
                <c:ptCount val="16"/>
                <c:pt idx="0">
                  <c:v>Thorvaldsson</c:v>
                </c:pt>
                <c:pt idx="1">
                  <c:v>Bengtsson</c:v>
                </c:pt>
                <c:pt idx="2">
                  <c:v>Nilsson</c:v>
                </c:pt>
                <c:pt idx="3">
                  <c:v>Simonsson</c:v>
                </c:pt>
                <c:pt idx="4">
                  <c:v>Åberg</c:v>
                </c:pt>
                <c:pt idx="5">
                  <c:v>Svensson</c:v>
                </c:pt>
                <c:pt idx="6">
                  <c:v>Backe</c:v>
                </c:pt>
                <c:pt idx="7">
                  <c:v>Källström</c:v>
                </c:pt>
                <c:pt idx="8">
                  <c:v>Johansson</c:v>
                </c:pt>
                <c:pt idx="9">
                  <c:v>Stranddahl</c:v>
                </c:pt>
                <c:pt idx="10">
                  <c:v>Johansson</c:v>
                </c:pt>
                <c:pt idx="11">
                  <c:v>Larsson</c:v>
                </c:pt>
                <c:pt idx="12">
                  <c:v>Söder</c:v>
                </c:pt>
                <c:pt idx="13">
                  <c:v>Ljung</c:v>
                </c:pt>
                <c:pt idx="14">
                  <c:v>Glyssbo</c:v>
                </c:pt>
                <c:pt idx="15">
                  <c:v>Johansson</c:v>
                </c:pt>
              </c:strCache>
            </c:strRef>
          </c:cat>
          <c:val>
            <c:numRef>
              <c:f>'DS Hopp'!$F$5:$F$20</c:f>
              <c:numCache>
                <c:formatCode>General</c:formatCode>
                <c:ptCount val="16"/>
                <c:pt idx="0">
                  <c:v>77</c:v>
                </c:pt>
                <c:pt idx="1">
                  <c:v>107</c:v>
                </c:pt>
                <c:pt idx="2">
                  <c:v>85</c:v>
                </c:pt>
                <c:pt idx="3">
                  <c:v>91</c:v>
                </c:pt>
                <c:pt idx="4">
                  <c:v>85</c:v>
                </c:pt>
                <c:pt idx="5">
                  <c:v>109</c:v>
                </c:pt>
                <c:pt idx="6">
                  <c:v>86</c:v>
                </c:pt>
                <c:pt idx="7">
                  <c:v>84</c:v>
                </c:pt>
                <c:pt idx="8">
                  <c:v>98</c:v>
                </c:pt>
                <c:pt idx="9">
                  <c:v>92</c:v>
                </c:pt>
                <c:pt idx="10">
                  <c:v>78</c:v>
                </c:pt>
                <c:pt idx="11">
                  <c:v>88</c:v>
                </c:pt>
                <c:pt idx="12">
                  <c:v>82</c:v>
                </c:pt>
                <c:pt idx="13">
                  <c:v>88</c:v>
                </c:pt>
                <c:pt idx="14">
                  <c:v>89</c:v>
                </c:pt>
                <c:pt idx="15">
                  <c:v>94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5-5A1C-4FD3-95D2-422255A011A6}"/>
            </c:ext>
          </c:extLst>
        </c:ser>
        <c:ser>
          <c:idx val="3"/>
          <c:order val="12"/>
          <c:spPr>
            <a:ln w="31750" cap="rnd">
              <a:solidFill>
                <a:schemeClr val="accent4"/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4"/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Hopp'!$C$5:$C$20</c:f>
              <c:strCache>
                <c:ptCount val="16"/>
                <c:pt idx="0">
                  <c:v>Thorvaldsson</c:v>
                </c:pt>
                <c:pt idx="1">
                  <c:v>Bengtsson</c:v>
                </c:pt>
                <c:pt idx="2">
                  <c:v>Nilsson</c:v>
                </c:pt>
                <c:pt idx="3">
                  <c:v>Simonsson</c:v>
                </c:pt>
                <c:pt idx="4">
                  <c:v>Åberg</c:v>
                </c:pt>
                <c:pt idx="5">
                  <c:v>Svensson</c:v>
                </c:pt>
                <c:pt idx="6">
                  <c:v>Backe</c:v>
                </c:pt>
                <c:pt idx="7">
                  <c:v>Källström</c:v>
                </c:pt>
                <c:pt idx="8">
                  <c:v>Johansson</c:v>
                </c:pt>
                <c:pt idx="9">
                  <c:v>Stranddahl</c:v>
                </c:pt>
                <c:pt idx="10">
                  <c:v>Johansson</c:v>
                </c:pt>
                <c:pt idx="11">
                  <c:v>Larsson</c:v>
                </c:pt>
                <c:pt idx="12">
                  <c:v>Söder</c:v>
                </c:pt>
                <c:pt idx="13">
                  <c:v>Ljung</c:v>
                </c:pt>
                <c:pt idx="14">
                  <c:v>Glyssbo</c:v>
                </c:pt>
                <c:pt idx="15">
                  <c:v>Johansson</c:v>
                </c:pt>
              </c:strCache>
            </c:strRef>
          </c:cat>
          <c:val>
            <c:numRef>
              <c:f>'DS Hopp'!$G$5:$G$20</c:f>
              <c:numCache>
                <c:formatCode>General</c:formatCode>
                <c:ptCount val="16"/>
                <c:pt idx="0">
                  <c:v>73</c:v>
                </c:pt>
                <c:pt idx="1">
                  <c:v>107</c:v>
                </c:pt>
                <c:pt idx="2">
                  <c:v>81</c:v>
                </c:pt>
                <c:pt idx="3">
                  <c:v>84</c:v>
                </c:pt>
                <c:pt idx="4">
                  <c:v>80</c:v>
                </c:pt>
                <c:pt idx="5">
                  <c:v>109</c:v>
                </c:pt>
                <c:pt idx="6">
                  <c:v>84</c:v>
                </c:pt>
                <c:pt idx="7">
                  <c:v>83</c:v>
                </c:pt>
                <c:pt idx="8">
                  <c:v>95</c:v>
                </c:pt>
                <c:pt idx="9">
                  <c:v>90</c:v>
                </c:pt>
                <c:pt idx="10">
                  <c:v>78</c:v>
                </c:pt>
                <c:pt idx="11">
                  <c:v>88</c:v>
                </c:pt>
                <c:pt idx="12">
                  <c:v>76</c:v>
                </c:pt>
                <c:pt idx="13">
                  <c:v>85</c:v>
                </c:pt>
                <c:pt idx="14">
                  <c:v>80</c:v>
                </c:pt>
                <c:pt idx="15">
                  <c:v>92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7-5A1C-4FD3-95D2-422255A011A6}"/>
            </c:ext>
          </c:extLst>
        </c:ser>
        <c:ser>
          <c:idx val="4"/>
          <c:order val="13"/>
          <c:spPr>
            <a:ln w="31750" cap="rnd">
              <a:solidFill>
                <a:schemeClr val="accent5"/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5"/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Hopp'!$C$5:$C$20</c:f>
              <c:strCache>
                <c:ptCount val="16"/>
                <c:pt idx="0">
                  <c:v>Thorvaldsson</c:v>
                </c:pt>
                <c:pt idx="1">
                  <c:v>Bengtsson</c:v>
                </c:pt>
                <c:pt idx="2">
                  <c:v>Nilsson</c:v>
                </c:pt>
                <c:pt idx="3">
                  <c:v>Simonsson</c:v>
                </c:pt>
                <c:pt idx="4">
                  <c:v>Åberg</c:v>
                </c:pt>
                <c:pt idx="5">
                  <c:v>Svensson</c:v>
                </c:pt>
                <c:pt idx="6">
                  <c:v>Backe</c:v>
                </c:pt>
                <c:pt idx="7">
                  <c:v>Källström</c:v>
                </c:pt>
                <c:pt idx="8">
                  <c:v>Johansson</c:v>
                </c:pt>
                <c:pt idx="9">
                  <c:v>Stranddahl</c:v>
                </c:pt>
                <c:pt idx="10">
                  <c:v>Johansson</c:v>
                </c:pt>
                <c:pt idx="11">
                  <c:v>Larsson</c:v>
                </c:pt>
                <c:pt idx="12">
                  <c:v>Söder</c:v>
                </c:pt>
                <c:pt idx="13">
                  <c:v>Ljung</c:v>
                </c:pt>
                <c:pt idx="14">
                  <c:v>Glyssbo</c:v>
                </c:pt>
                <c:pt idx="15">
                  <c:v>Johansson</c:v>
                </c:pt>
              </c:strCache>
            </c:strRef>
          </c:cat>
          <c:val>
            <c:numRef>
              <c:f>'DS Hopp'!$H$5:$H$20</c:f>
              <c:numCache>
                <c:formatCode>General</c:formatCode>
                <c:ptCount val="16"/>
                <c:pt idx="0">
                  <c:v>72</c:v>
                </c:pt>
                <c:pt idx="1">
                  <c:v>107</c:v>
                </c:pt>
                <c:pt idx="2">
                  <c:v>79</c:v>
                </c:pt>
                <c:pt idx="3">
                  <c:v>84</c:v>
                </c:pt>
                <c:pt idx="4">
                  <c:v>80</c:v>
                </c:pt>
                <c:pt idx="5">
                  <c:v>100</c:v>
                </c:pt>
                <c:pt idx="6">
                  <c:v>83</c:v>
                </c:pt>
                <c:pt idx="7">
                  <c:v>81</c:v>
                </c:pt>
                <c:pt idx="8">
                  <c:v>91</c:v>
                </c:pt>
                <c:pt idx="9">
                  <c:v>90</c:v>
                </c:pt>
                <c:pt idx="10">
                  <c:v>76</c:v>
                </c:pt>
                <c:pt idx="11">
                  <c:v>88</c:v>
                </c:pt>
                <c:pt idx="12">
                  <c:v>76</c:v>
                </c:pt>
                <c:pt idx="13">
                  <c:v>84</c:v>
                </c:pt>
                <c:pt idx="14">
                  <c:v>78</c:v>
                </c:pt>
                <c:pt idx="15">
                  <c:v>90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9-5A1C-4FD3-95D2-422255A011A6}"/>
            </c:ext>
          </c:extLst>
        </c:ser>
        <c:ser>
          <c:idx val="5"/>
          <c:order val="14"/>
          <c:spPr>
            <a:ln w="31750" cap="rnd">
              <a:solidFill>
                <a:schemeClr val="accent6"/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6"/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Hopp'!$C$5:$C$20</c:f>
              <c:strCache>
                <c:ptCount val="16"/>
                <c:pt idx="0">
                  <c:v>Thorvaldsson</c:v>
                </c:pt>
                <c:pt idx="1">
                  <c:v>Bengtsson</c:v>
                </c:pt>
                <c:pt idx="2">
                  <c:v>Nilsson</c:v>
                </c:pt>
                <c:pt idx="3">
                  <c:v>Simonsson</c:v>
                </c:pt>
                <c:pt idx="4">
                  <c:v>Åberg</c:v>
                </c:pt>
                <c:pt idx="5">
                  <c:v>Svensson</c:v>
                </c:pt>
                <c:pt idx="6">
                  <c:v>Backe</c:v>
                </c:pt>
                <c:pt idx="7">
                  <c:v>Källström</c:v>
                </c:pt>
                <c:pt idx="8">
                  <c:v>Johansson</c:v>
                </c:pt>
                <c:pt idx="9">
                  <c:v>Stranddahl</c:v>
                </c:pt>
                <c:pt idx="10">
                  <c:v>Johansson</c:v>
                </c:pt>
                <c:pt idx="11">
                  <c:v>Larsson</c:v>
                </c:pt>
                <c:pt idx="12">
                  <c:v>Söder</c:v>
                </c:pt>
                <c:pt idx="13">
                  <c:v>Ljung</c:v>
                </c:pt>
                <c:pt idx="14">
                  <c:v>Glyssbo</c:v>
                </c:pt>
                <c:pt idx="15">
                  <c:v>Johansson</c:v>
                </c:pt>
              </c:strCache>
            </c:strRef>
          </c:cat>
          <c:val>
            <c:numRef>
              <c:f>'DS Hopp'!$I$5:$I$20</c:f>
              <c:numCache>
                <c:formatCode>General</c:formatCode>
                <c:ptCount val="16"/>
                <c:pt idx="0">
                  <c:v>70</c:v>
                </c:pt>
                <c:pt idx="1">
                  <c:v>107</c:v>
                </c:pt>
                <c:pt idx="2">
                  <c:v>78</c:v>
                </c:pt>
                <c:pt idx="3">
                  <c:v>83</c:v>
                </c:pt>
                <c:pt idx="4">
                  <c:v>80</c:v>
                </c:pt>
                <c:pt idx="5">
                  <c:v>100</c:v>
                </c:pt>
                <c:pt idx="6">
                  <c:v>83</c:v>
                </c:pt>
                <c:pt idx="7">
                  <c:v>81</c:v>
                </c:pt>
                <c:pt idx="8">
                  <c:v>88</c:v>
                </c:pt>
                <c:pt idx="9">
                  <c:v>90</c:v>
                </c:pt>
                <c:pt idx="10">
                  <c:v>76</c:v>
                </c:pt>
                <c:pt idx="11">
                  <c:v>88</c:v>
                </c:pt>
                <c:pt idx="12">
                  <c:v>74</c:v>
                </c:pt>
                <c:pt idx="13">
                  <c:v>81</c:v>
                </c:pt>
                <c:pt idx="14">
                  <c:v>78</c:v>
                </c:pt>
                <c:pt idx="15">
                  <c:v>86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B-5A1C-4FD3-95D2-422255A011A6}"/>
            </c:ext>
          </c:extLst>
        </c:ser>
        <c:ser>
          <c:idx val="6"/>
          <c:order val="15"/>
          <c:spPr>
            <a:ln w="31750" cap="rnd">
              <a:solidFill>
                <a:schemeClr val="accent1">
                  <a:lumMod val="60000"/>
                </a:schemeClr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1">
                  <a:lumMod val="60000"/>
                </a:schemeClr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Hopp'!$C$5:$C$20</c:f>
              <c:strCache>
                <c:ptCount val="16"/>
                <c:pt idx="0">
                  <c:v>Thorvaldsson</c:v>
                </c:pt>
                <c:pt idx="1">
                  <c:v>Bengtsson</c:v>
                </c:pt>
                <c:pt idx="2">
                  <c:v>Nilsson</c:v>
                </c:pt>
                <c:pt idx="3">
                  <c:v>Simonsson</c:v>
                </c:pt>
                <c:pt idx="4">
                  <c:v>Åberg</c:v>
                </c:pt>
                <c:pt idx="5">
                  <c:v>Svensson</c:v>
                </c:pt>
                <c:pt idx="6">
                  <c:v>Backe</c:v>
                </c:pt>
                <c:pt idx="7">
                  <c:v>Källström</c:v>
                </c:pt>
                <c:pt idx="8">
                  <c:v>Johansson</c:v>
                </c:pt>
                <c:pt idx="9">
                  <c:v>Stranddahl</c:v>
                </c:pt>
                <c:pt idx="10">
                  <c:v>Johansson</c:v>
                </c:pt>
                <c:pt idx="11">
                  <c:v>Larsson</c:v>
                </c:pt>
                <c:pt idx="12">
                  <c:v>Söder</c:v>
                </c:pt>
                <c:pt idx="13">
                  <c:v>Ljung</c:v>
                </c:pt>
                <c:pt idx="14">
                  <c:v>Glyssbo</c:v>
                </c:pt>
                <c:pt idx="15">
                  <c:v>Johansson</c:v>
                </c:pt>
              </c:strCache>
            </c:strRef>
          </c:cat>
          <c:val>
            <c:numRef>
              <c:f>'DS Hopp'!$J$5:$J$20</c:f>
              <c:numCache>
                <c:formatCode>General</c:formatCode>
                <c:ptCount val="16"/>
                <c:pt idx="0">
                  <c:v>70</c:v>
                </c:pt>
                <c:pt idx="1">
                  <c:v>107</c:v>
                </c:pt>
                <c:pt idx="2">
                  <c:v>77</c:v>
                </c:pt>
                <c:pt idx="3">
                  <c:v>83</c:v>
                </c:pt>
                <c:pt idx="4">
                  <c:v>80</c:v>
                </c:pt>
                <c:pt idx="5">
                  <c:v>96</c:v>
                </c:pt>
                <c:pt idx="6">
                  <c:v>83</c:v>
                </c:pt>
                <c:pt idx="7">
                  <c:v>81</c:v>
                </c:pt>
                <c:pt idx="8">
                  <c:v>88</c:v>
                </c:pt>
                <c:pt idx="9">
                  <c:v>87</c:v>
                </c:pt>
                <c:pt idx="10">
                  <c:v>75</c:v>
                </c:pt>
                <c:pt idx="11">
                  <c:v>86</c:v>
                </c:pt>
                <c:pt idx="12">
                  <c:v>73</c:v>
                </c:pt>
                <c:pt idx="13">
                  <c:v>78</c:v>
                </c:pt>
                <c:pt idx="14">
                  <c:v>78</c:v>
                </c:pt>
                <c:pt idx="15">
                  <c:v>85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D-5A1C-4FD3-95D2-422255A011A6}"/>
            </c:ext>
          </c:extLst>
        </c:ser>
        <c:ser>
          <c:idx val="7"/>
          <c:order val="16"/>
          <c:spPr>
            <a:ln w="31750" cap="rnd">
              <a:solidFill>
                <a:schemeClr val="accent2">
                  <a:lumMod val="60000"/>
                </a:schemeClr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2">
                  <a:lumMod val="60000"/>
                </a:schemeClr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Hopp'!$C$5:$C$20</c:f>
              <c:strCache>
                <c:ptCount val="16"/>
                <c:pt idx="0">
                  <c:v>Thorvaldsson</c:v>
                </c:pt>
                <c:pt idx="1">
                  <c:v>Bengtsson</c:v>
                </c:pt>
                <c:pt idx="2">
                  <c:v>Nilsson</c:v>
                </c:pt>
                <c:pt idx="3">
                  <c:v>Simonsson</c:v>
                </c:pt>
                <c:pt idx="4">
                  <c:v>Åberg</c:v>
                </c:pt>
                <c:pt idx="5">
                  <c:v>Svensson</c:v>
                </c:pt>
                <c:pt idx="6">
                  <c:v>Backe</c:v>
                </c:pt>
                <c:pt idx="7">
                  <c:v>Källström</c:v>
                </c:pt>
                <c:pt idx="8">
                  <c:v>Johansson</c:v>
                </c:pt>
                <c:pt idx="9">
                  <c:v>Stranddahl</c:v>
                </c:pt>
                <c:pt idx="10">
                  <c:v>Johansson</c:v>
                </c:pt>
                <c:pt idx="11">
                  <c:v>Larsson</c:v>
                </c:pt>
                <c:pt idx="12">
                  <c:v>Söder</c:v>
                </c:pt>
                <c:pt idx="13">
                  <c:v>Ljung</c:v>
                </c:pt>
                <c:pt idx="14">
                  <c:v>Glyssbo</c:v>
                </c:pt>
                <c:pt idx="15">
                  <c:v>Johansson</c:v>
                </c:pt>
              </c:strCache>
            </c:strRef>
          </c:cat>
          <c:val>
            <c:numRef>
              <c:f>'DS Hopp'!$K$5:$K$20</c:f>
              <c:numCache>
                <c:formatCode>General</c:formatCode>
                <c:ptCount val="16"/>
                <c:pt idx="0">
                  <c:v>69</c:v>
                </c:pt>
                <c:pt idx="1">
                  <c:v>107</c:v>
                </c:pt>
                <c:pt idx="2">
                  <c:v>77</c:v>
                </c:pt>
                <c:pt idx="3">
                  <c:v>81</c:v>
                </c:pt>
                <c:pt idx="4">
                  <c:v>76</c:v>
                </c:pt>
                <c:pt idx="5">
                  <c:v>96</c:v>
                </c:pt>
                <c:pt idx="6">
                  <c:v>83</c:v>
                </c:pt>
                <c:pt idx="7">
                  <c:v>81</c:v>
                </c:pt>
                <c:pt idx="8">
                  <c:v>88</c:v>
                </c:pt>
                <c:pt idx="9">
                  <c:v>87</c:v>
                </c:pt>
                <c:pt idx="10">
                  <c:v>75</c:v>
                </c:pt>
                <c:pt idx="11">
                  <c:v>85</c:v>
                </c:pt>
                <c:pt idx="12">
                  <c:v>73</c:v>
                </c:pt>
                <c:pt idx="13">
                  <c:v>77</c:v>
                </c:pt>
                <c:pt idx="14">
                  <c:v>76</c:v>
                </c:pt>
                <c:pt idx="15">
                  <c:v>85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F-5A1C-4FD3-95D2-422255A011A6}"/>
            </c:ext>
          </c:extLst>
        </c:ser>
        <c:ser>
          <c:idx val="8"/>
          <c:order val="17"/>
          <c:spPr>
            <a:ln w="31750" cap="rnd">
              <a:solidFill>
                <a:schemeClr val="accent3">
                  <a:lumMod val="60000"/>
                </a:schemeClr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3">
                  <a:lumMod val="60000"/>
                </a:schemeClr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Hopp'!$C$5:$C$20</c:f>
              <c:strCache>
                <c:ptCount val="16"/>
                <c:pt idx="0">
                  <c:v>Thorvaldsson</c:v>
                </c:pt>
                <c:pt idx="1">
                  <c:v>Bengtsson</c:v>
                </c:pt>
                <c:pt idx="2">
                  <c:v>Nilsson</c:v>
                </c:pt>
                <c:pt idx="3">
                  <c:v>Simonsson</c:v>
                </c:pt>
                <c:pt idx="4">
                  <c:v>Åberg</c:v>
                </c:pt>
                <c:pt idx="5">
                  <c:v>Svensson</c:v>
                </c:pt>
                <c:pt idx="6">
                  <c:v>Backe</c:v>
                </c:pt>
                <c:pt idx="7">
                  <c:v>Källström</c:v>
                </c:pt>
                <c:pt idx="8">
                  <c:v>Johansson</c:v>
                </c:pt>
                <c:pt idx="9">
                  <c:v>Stranddahl</c:v>
                </c:pt>
                <c:pt idx="10">
                  <c:v>Johansson</c:v>
                </c:pt>
                <c:pt idx="11">
                  <c:v>Larsson</c:v>
                </c:pt>
                <c:pt idx="12">
                  <c:v>Söder</c:v>
                </c:pt>
                <c:pt idx="13">
                  <c:v>Ljung</c:v>
                </c:pt>
                <c:pt idx="14">
                  <c:v>Glyssbo</c:v>
                </c:pt>
                <c:pt idx="15">
                  <c:v>Johansson</c:v>
                </c:pt>
              </c:strCache>
            </c:strRef>
          </c:cat>
          <c:val>
            <c:numRef>
              <c:f>'DS Hopp'!$L$5:$L$20</c:f>
              <c:numCache>
                <c:formatCode>General</c:formatCode>
                <c:ptCount val="16"/>
                <c:pt idx="0">
                  <c:v>69</c:v>
                </c:pt>
                <c:pt idx="1">
                  <c:v>105</c:v>
                </c:pt>
                <c:pt idx="2">
                  <c:v>77</c:v>
                </c:pt>
                <c:pt idx="3">
                  <c:v>81</c:v>
                </c:pt>
                <c:pt idx="4">
                  <c:v>75</c:v>
                </c:pt>
                <c:pt idx="5">
                  <c:v>96</c:v>
                </c:pt>
                <c:pt idx="6">
                  <c:v>82</c:v>
                </c:pt>
                <c:pt idx="7">
                  <c:v>77</c:v>
                </c:pt>
                <c:pt idx="8">
                  <c:v>84</c:v>
                </c:pt>
                <c:pt idx="9">
                  <c:v>87</c:v>
                </c:pt>
                <c:pt idx="10">
                  <c:v>73</c:v>
                </c:pt>
                <c:pt idx="11">
                  <c:v>85</c:v>
                </c:pt>
                <c:pt idx="12">
                  <c:v>73</c:v>
                </c:pt>
                <c:pt idx="13">
                  <c:v>77</c:v>
                </c:pt>
                <c:pt idx="14">
                  <c:v>76</c:v>
                </c:pt>
                <c:pt idx="15">
                  <c:v>84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11-5A1C-4FD3-95D2-422255A011A6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marker val="1"/>
        <c:smooth val="0"/>
        <c:axId val="870961888"/>
        <c:axId val="870957624"/>
      </c:lineChart>
      <c:catAx>
        <c:axId val="870961888"/>
        <c:scaling>
          <c:orientation val="minMax"/>
        </c:scaling>
        <c:delete val="0"/>
        <c:axPos val="b"/>
        <c:majorGridlines>
          <c:spPr>
            <a:ln w="9525" cap="flat" cmpd="sng" algn="ctr">
              <a:gradFill>
                <a:gsLst>
                  <a:gs pos="100000">
                    <a:schemeClr val="dk1">
                      <a:lumMod val="95000"/>
                      <a:lumOff val="5000"/>
                      <a:alpha val="42000"/>
                    </a:schemeClr>
                  </a:gs>
                  <a:gs pos="0">
                    <a:schemeClr val="lt1">
                      <a:lumMod val="75000"/>
                      <a:alpha val="36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19050" cap="flat" cmpd="sng" algn="ctr">
            <a:solidFill>
              <a:schemeClr val="dk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cap="all" baseline="0">
                <a:solidFill>
                  <a:schemeClr val="dk1">
                    <a:lumMod val="75000"/>
                    <a:lumOff val="2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SE"/>
          </a:p>
        </c:txPr>
        <c:crossAx val="870957624"/>
        <c:crosses val="autoZero"/>
        <c:auto val="1"/>
        <c:lblAlgn val="ctr"/>
        <c:lblOffset val="100"/>
        <c:noMultiLvlLbl val="0"/>
      </c:catAx>
      <c:valAx>
        <c:axId val="870957624"/>
        <c:scaling>
          <c:orientation val="minMax"/>
        </c:scaling>
        <c:delete val="1"/>
        <c:axPos val="l"/>
        <c:majorGridlines>
          <c:spPr>
            <a:ln w="9525" cap="flat" cmpd="sng" algn="ctr">
              <a:gradFill>
                <a:gsLst>
                  <a:gs pos="100000">
                    <a:schemeClr val="dk1">
                      <a:lumMod val="95000"/>
                      <a:lumOff val="5000"/>
                      <a:alpha val="42000"/>
                    </a:schemeClr>
                  </a:gs>
                  <a:gs pos="0">
                    <a:schemeClr val="lt1">
                      <a:lumMod val="75000"/>
                      <a:alpha val="36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minorGridlines>
          <c:spPr>
            <a:ln>
              <a:gradFill>
                <a:gsLst>
                  <a:gs pos="100000">
                    <a:schemeClr val="dk1">
                      <a:lumMod val="95000"/>
                      <a:lumOff val="5000"/>
                      <a:alpha val="42000"/>
                    </a:schemeClr>
                  </a:gs>
                  <a:gs pos="0">
                    <a:schemeClr val="lt1">
                      <a:lumMod val="75000"/>
                      <a:alpha val="36000"/>
                    </a:schemeClr>
                  </a:gs>
                </a:gsLst>
                <a:lin ang="5400000" scaled="0"/>
              </a:gradFill>
            </a:ln>
            <a:effectLst/>
          </c:spPr>
        </c:minorGridlines>
        <c:numFmt formatCode="General" sourceLinked="1"/>
        <c:majorTickMark val="none"/>
        <c:minorTickMark val="none"/>
        <c:tickLblPos val="nextTo"/>
        <c:crossAx val="87096188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solidFill>
          <a:schemeClr val="lt1">
            <a:lumMod val="95000"/>
            <a:alpha val="39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dk1">
                  <a:lumMod val="75000"/>
                  <a:lumOff val="25000"/>
                </a:schemeClr>
              </a:solidFill>
              <a:latin typeface="+mn-lt"/>
              <a:ea typeface="+mn-ea"/>
              <a:cs typeface="+mn-cs"/>
            </a:defRPr>
          </a:pPr>
          <a:endParaRPr lang="sv-SE"/>
        </a:p>
      </c:txPr>
    </c:legend>
    <c:plotVisOnly val="1"/>
    <c:dispBlanksAs val="gap"/>
    <c:showDLblsOverMax val="0"/>
    <c:extLst/>
  </c:chart>
  <c:spPr>
    <a:gradFill flip="none" rotWithShape="1">
      <a:gsLst>
        <a:gs pos="0">
          <a:schemeClr val="lt1"/>
        </a:gs>
        <a:gs pos="39000">
          <a:schemeClr val="lt1"/>
        </a:gs>
        <a:gs pos="100000">
          <a:schemeClr val="lt1">
            <a:lumMod val="75000"/>
          </a:schemeClr>
        </a:gs>
      </a:gsLst>
      <a:path path="circle">
        <a:fillToRect l="50000" t="-80000" r="50000" b="180000"/>
      </a:path>
      <a:tileRect/>
    </a:gradFill>
    <a:ln w="9525" cap="flat" cmpd="sng" algn="ctr">
      <a:solidFill>
        <a:schemeClr val="dk1">
          <a:lumMod val="25000"/>
          <a:lumOff val="75000"/>
        </a:schemeClr>
      </a:solidFill>
      <a:round/>
    </a:ln>
    <a:effectLst/>
  </c:spPr>
  <c:txPr>
    <a:bodyPr/>
    <a:lstStyle/>
    <a:p>
      <a:pPr>
        <a:defRPr/>
      </a:pPr>
      <a:endParaRPr lang="sv-SE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v-S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800" b="1" i="0" u="none" strike="noStrike" kern="1200" baseline="0">
                <a:solidFill>
                  <a:schemeClr val="dk1">
                    <a:lumMod val="75000"/>
                    <a:lumOff val="2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sv-SE"/>
              <a:t>Korthålsutveckling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dk1">
                  <a:lumMod val="75000"/>
                  <a:lumOff val="25000"/>
                </a:schemeClr>
              </a:solidFill>
              <a:latin typeface="+mn-lt"/>
              <a:ea typeface="+mn-ea"/>
              <a:cs typeface="+mn-cs"/>
            </a:defRPr>
          </a:pPr>
          <a:endParaRPr lang="sv-SE"/>
        </a:p>
      </c:txPr>
    </c:title>
    <c:autoTitleDeleted val="0"/>
    <c:plotArea>
      <c:layout/>
      <c:lineChart>
        <c:grouping val="standard"/>
        <c:varyColors val="0"/>
        <c:ser>
          <c:idx val="0"/>
          <c:order val="0"/>
          <c:tx>
            <c:strRef>
              <c:f>'DS utveckling'!$C$22</c:f>
              <c:strCache>
                <c:ptCount val="1"/>
                <c:pt idx="0">
                  <c:v>Thorvaldsson</c:v>
                </c:pt>
              </c:strCache>
            </c:strRef>
          </c:tx>
          <c:spPr>
            <a:ln w="317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1"/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numRef>
              <c:f>'DS utveckling'!$D$21:$L$21</c:f>
              <c:numCache>
                <c:formatCode>General</c:formatCode>
                <c:ptCount val="9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  <c:pt idx="8">
                  <c:v>9</c:v>
                </c:pt>
              </c:numCache>
            </c:numRef>
          </c:cat>
          <c:val>
            <c:numRef>
              <c:f>'DS utveckling'!$D$22:$L$22</c:f>
              <c:numCache>
                <c:formatCode>General</c:formatCode>
                <c:ptCount val="9"/>
                <c:pt idx="0">
                  <c:v>9</c:v>
                </c:pt>
                <c:pt idx="1">
                  <c:v>17</c:v>
                </c:pt>
                <c:pt idx="2">
                  <c:v>25</c:v>
                </c:pt>
                <c:pt idx="3">
                  <c:v>32</c:v>
                </c:pt>
                <c:pt idx="4">
                  <c:v>45</c:v>
                </c:pt>
                <c:pt idx="5">
                  <c:v>48</c:v>
                </c:pt>
                <c:pt idx="6">
                  <c:v>55</c:v>
                </c:pt>
                <c:pt idx="7">
                  <c:v>62</c:v>
                </c:pt>
                <c:pt idx="8">
                  <c:v>70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849E-4452-B5C5-39AE1865BA2C}"/>
            </c:ext>
          </c:extLst>
        </c:ser>
        <c:ser>
          <c:idx val="1"/>
          <c:order val="1"/>
          <c:tx>
            <c:strRef>
              <c:f>'DS utveckling'!$C$23</c:f>
              <c:strCache>
                <c:ptCount val="1"/>
                <c:pt idx="0">
                  <c:v>Nilsson</c:v>
                </c:pt>
              </c:strCache>
            </c:strRef>
          </c:tx>
          <c:spPr>
            <a:ln w="317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2"/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numRef>
              <c:f>'DS utveckling'!$D$21:$L$21</c:f>
              <c:numCache>
                <c:formatCode>General</c:formatCode>
                <c:ptCount val="9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  <c:pt idx="8">
                  <c:v>9</c:v>
                </c:pt>
              </c:numCache>
            </c:numRef>
          </c:cat>
          <c:val>
            <c:numRef>
              <c:f>'DS utveckling'!$D$23:$L$23</c:f>
              <c:numCache>
                <c:formatCode>General</c:formatCode>
                <c:ptCount val="9"/>
                <c:pt idx="0">
                  <c:v>8</c:v>
                </c:pt>
                <c:pt idx="1">
                  <c:v>18</c:v>
                </c:pt>
                <c:pt idx="2">
                  <c:v>25</c:v>
                </c:pt>
                <c:pt idx="3">
                  <c:v>34</c:v>
                </c:pt>
                <c:pt idx="4">
                  <c:v>42</c:v>
                </c:pt>
                <c:pt idx="5">
                  <c:v>48</c:v>
                </c:pt>
                <c:pt idx="6">
                  <c:v>59</c:v>
                </c:pt>
                <c:pt idx="7">
                  <c:v>67</c:v>
                </c:pt>
                <c:pt idx="8">
                  <c:v>77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849E-4452-B5C5-39AE1865BA2C}"/>
            </c:ext>
          </c:extLst>
        </c:ser>
        <c:ser>
          <c:idx val="2"/>
          <c:order val="2"/>
          <c:tx>
            <c:strRef>
              <c:f>'DS utveckling'!$C$24</c:f>
              <c:strCache>
                <c:ptCount val="1"/>
                <c:pt idx="0">
                  <c:v>Bengtsson</c:v>
                </c:pt>
              </c:strCache>
            </c:strRef>
          </c:tx>
          <c:spPr>
            <a:ln w="317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3"/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numRef>
              <c:f>'DS utveckling'!$D$21:$L$21</c:f>
              <c:numCache>
                <c:formatCode>General</c:formatCode>
                <c:ptCount val="9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  <c:pt idx="8">
                  <c:v>9</c:v>
                </c:pt>
              </c:numCache>
            </c:numRef>
          </c:cat>
          <c:val>
            <c:numRef>
              <c:f>'DS utveckling'!$D$24:$L$24</c:f>
              <c:numCache>
                <c:formatCode>General</c:formatCode>
                <c:ptCount val="9"/>
                <c:pt idx="0">
                  <c:v>8</c:v>
                </c:pt>
                <c:pt idx="1">
                  <c:v>15</c:v>
                </c:pt>
                <c:pt idx="2">
                  <c:v>22</c:v>
                </c:pt>
                <c:pt idx="3">
                  <c:v>33</c:v>
                </c:pt>
                <c:pt idx="4">
                  <c:v>43</c:v>
                </c:pt>
                <c:pt idx="5">
                  <c:v>50</c:v>
                </c:pt>
                <c:pt idx="6">
                  <c:v>59</c:v>
                </c:pt>
                <c:pt idx="7">
                  <c:v>69</c:v>
                </c:pt>
                <c:pt idx="8">
                  <c:v>76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849E-4452-B5C5-39AE1865BA2C}"/>
            </c:ext>
          </c:extLst>
        </c:ser>
        <c:ser>
          <c:idx val="3"/>
          <c:order val="3"/>
          <c:tx>
            <c:strRef>
              <c:f>'DS utveckling'!$C$25</c:f>
              <c:strCache>
                <c:ptCount val="1"/>
                <c:pt idx="0">
                  <c:v>B Johansson</c:v>
                </c:pt>
              </c:strCache>
            </c:strRef>
          </c:tx>
          <c:spPr>
            <a:ln w="31750" cap="rnd">
              <a:solidFill>
                <a:schemeClr val="accent4"/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4"/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numRef>
              <c:f>'DS utveckling'!$D$21:$L$21</c:f>
              <c:numCache>
                <c:formatCode>General</c:formatCode>
                <c:ptCount val="9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  <c:pt idx="8">
                  <c:v>9</c:v>
                </c:pt>
              </c:numCache>
            </c:numRef>
          </c:cat>
          <c:val>
            <c:numRef>
              <c:f>'DS utveckling'!$D$25:$L$25</c:f>
              <c:numCache>
                <c:formatCode>General</c:formatCode>
                <c:ptCount val="9"/>
                <c:pt idx="0">
                  <c:v>7</c:v>
                </c:pt>
                <c:pt idx="1">
                  <c:v>19</c:v>
                </c:pt>
                <c:pt idx="2">
                  <c:v>19</c:v>
                </c:pt>
                <c:pt idx="3">
                  <c:v>28</c:v>
                </c:pt>
                <c:pt idx="4">
                  <c:v>39</c:v>
                </c:pt>
                <c:pt idx="5">
                  <c:v>42</c:v>
                </c:pt>
                <c:pt idx="6">
                  <c:v>48</c:v>
                </c:pt>
                <c:pt idx="7">
                  <c:v>54</c:v>
                </c:pt>
                <c:pt idx="8">
                  <c:v>61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849E-4452-B5C5-39AE1865BA2C}"/>
            </c:ext>
          </c:extLst>
        </c:ser>
        <c:ser>
          <c:idx val="4"/>
          <c:order val="4"/>
          <c:tx>
            <c:strRef>
              <c:f>'DS utveckling'!$C$26</c:f>
              <c:strCache>
                <c:ptCount val="1"/>
                <c:pt idx="0">
                  <c:v>Åberg</c:v>
                </c:pt>
              </c:strCache>
            </c:strRef>
          </c:tx>
          <c:spPr>
            <a:ln w="31750" cap="rnd">
              <a:solidFill>
                <a:schemeClr val="accent5"/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5"/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numRef>
              <c:f>'DS utveckling'!$D$21:$L$21</c:f>
              <c:numCache>
                <c:formatCode>General</c:formatCode>
                <c:ptCount val="9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  <c:pt idx="8">
                  <c:v>9</c:v>
                </c:pt>
              </c:numCache>
            </c:numRef>
          </c:cat>
          <c:val>
            <c:numRef>
              <c:f>'DS utveckling'!$D$26:$L$26</c:f>
              <c:numCache>
                <c:formatCode>General</c:formatCode>
                <c:ptCount val="9"/>
                <c:pt idx="0">
                  <c:v>12</c:v>
                </c:pt>
                <c:pt idx="1">
                  <c:v>20</c:v>
                </c:pt>
                <c:pt idx="2">
                  <c:v>32</c:v>
                </c:pt>
                <c:pt idx="3">
                  <c:v>45</c:v>
                </c:pt>
                <c:pt idx="4">
                  <c:v>54</c:v>
                </c:pt>
                <c:pt idx="5">
                  <c:v>59</c:v>
                </c:pt>
                <c:pt idx="6">
                  <c:v>66</c:v>
                </c:pt>
                <c:pt idx="7">
                  <c:v>76</c:v>
                </c:pt>
                <c:pt idx="8">
                  <c:v>85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849E-4452-B5C5-39AE1865BA2C}"/>
            </c:ext>
          </c:extLst>
        </c:ser>
        <c:ser>
          <c:idx val="5"/>
          <c:order val="5"/>
          <c:tx>
            <c:strRef>
              <c:f>'DS utveckling'!$C$27</c:f>
              <c:strCache>
                <c:ptCount val="1"/>
                <c:pt idx="0">
                  <c:v>Backe</c:v>
                </c:pt>
              </c:strCache>
            </c:strRef>
          </c:tx>
          <c:spPr>
            <a:ln w="31750" cap="rnd">
              <a:solidFill>
                <a:schemeClr val="accent6"/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6"/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numRef>
              <c:f>'DS utveckling'!$D$21:$L$21</c:f>
              <c:numCache>
                <c:formatCode>General</c:formatCode>
                <c:ptCount val="9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  <c:pt idx="8">
                  <c:v>9</c:v>
                </c:pt>
              </c:numCache>
            </c:numRef>
          </c:cat>
          <c:val>
            <c:numRef>
              <c:f>'DS utveckling'!$D$27:$L$27</c:f>
              <c:numCache>
                <c:formatCode>General</c:formatCode>
                <c:ptCount val="9"/>
                <c:pt idx="0">
                  <c:v>9</c:v>
                </c:pt>
                <c:pt idx="1">
                  <c:v>14</c:v>
                </c:pt>
                <c:pt idx="2">
                  <c:v>21</c:v>
                </c:pt>
                <c:pt idx="3">
                  <c:v>35</c:v>
                </c:pt>
                <c:pt idx="4">
                  <c:v>47</c:v>
                </c:pt>
                <c:pt idx="5">
                  <c:v>51</c:v>
                </c:pt>
                <c:pt idx="6">
                  <c:v>60</c:v>
                </c:pt>
                <c:pt idx="7">
                  <c:v>67</c:v>
                </c:pt>
                <c:pt idx="8">
                  <c:v>73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5-849E-4452-B5C5-39AE1865BA2C}"/>
            </c:ext>
          </c:extLst>
        </c:ser>
        <c:ser>
          <c:idx val="6"/>
          <c:order val="6"/>
          <c:tx>
            <c:strRef>
              <c:f>'DS utveckling'!$C$28</c:f>
              <c:strCache>
                <c:ptCount val="1"/>
                <c:pt idx="0">
                  <c:v>Simonsson</c:v>
                </c:pt>
              </c:strCache>
            </c:strRef>
          </c:tx>
          <c:spPr>
            <a:ln w="31750" cap="rnd">
              <a:solidFill>
                <a:schemeClr val="accent1">
                  <a:lumMod val="60000"/>
                </a:schemeClr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1">
                  <a:lumMod val="60000"/>
                </a:schemeClr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numRef>
              <c:f>'DS utveckling'!$D$21:$L$21</c:f>
              <c:numCache>
                <c:formatCode>General</c:formatCode>
                <c:ptCount val="9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  <c:pt idx="8">
                  <c:v>9</c:v>
                </c:pt>
              </c:numCache>
            </c:numRef>
          </c:cat>
          <c:val>
            <c:numRef>
              <c:f>'DS utveckling'!$D$28:$L$28</c:f>
              <c:numCache>
                <c:formatCode>General</c:formatCode>
                <c:ptCount val="9"/>
                <c:pt idx="0">
                  <c:v>10</c:v>
                </c:pt>
                <c:pt idx="1">
                  <c:v>18</c:v>
                </c:pt>
                <c:pt idx="2">
                  <c:v>20</c:v>
                </c:pt>
                <c:pt idx="3">
                  <c:v>28</c:v>
                </c:pt>
                <c:pt idx="4">
                  <c:v>39</c:v>
                </c:pt>
                <c:pt idx="5">
                  <c:v>45</c:v>
                </c:pt>
                <c:pt idx="6">
                  <c:v>52</c:v>
                </c:pt>
                <c:pt idx="7">
                  <c:v>60</c:v>
                </c:pt>
                <c:pt idx="8">
                  <c:v>60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6-849E-4452-B5C5-39AE1865BA2C}"/>
            </c:ext>
          </c:extLst>
        </c:ser>
        <c:ser>
          <c:idx val="7"/>
          <c:order val="7"/>
          <c:tx>
            <c:strRef>
              <c:f>'DS utveckling'!$C$29</c:f>
              <c:strCache>
                <c:ptCount val="1"/>
                <c:pt idx="0">
                  <c:v>Källström</c:v>
                </c:pt>
              </c:strCache>
            </c:strRef>
          </c:tx>
          <c:spPr>
            <a:ln w="31750" cap="rnd">
              <a:solidFill>
                <a:schemeClr val="accent2">
                  <a:lumMod val="60000"/>
                </a:schemeClr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2">
                  <a:lumMod val="60000"/>
                </a:schemeClr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numRef>
              <c:f>'DS utveckling'!$D$21:$L$21</c:f>
              <c:numCache>
                <c:formatCode>General</c:formatCode>
                <c:ptCount val="9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  <c:pt idx="8">
                  <c:v>9</c:v>
                </c:pt>
              </c:numCache>
            </c:numRef>
          </c:cat>
          <c:val>
            <c:numRef>
              <c:f>'DS utveckling'!$D$29:$L$29</c:f>
              <c:numCache>
                <c:formatCode>General</c:formatCode>
                <c:ptCount val="9"/>
                <c:pt idx="0">
                  <c:v>6</c:v>
                </c:pt>
                <c:pt idx="1">
                  <c:v>6</c:v>
                </c:pt>
                <c:pt idx="2">
                  <c:v>11</c:v>
                </c:pt>
                <c:pt idx="3">
                  <c:v>11</c:v>
                </c:pt>
                <c:pt idx="4">
                  <c:v>23</c:v>
                </c:pt>
                <c:pt idx="5">
                  <c:v>29</c:v>
                </c:pt>
                <c:pt idx="6">
                  <c:v>39</c:v>
                </c:pt>
                <c:pt idx="7">
                  <c:v>46</c:v>
                </c:pt>
                <c:pt idx="8">
                  <c:v>46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7-849E-4452-B5C5-39AE1865BA2C}"/>
            </c:ext>
          </c:extLst>
        </c:ser>
        <c:ser>
          <c:idx val="8"/>
          <c:order val="8"/>
          <c:tx>
            <c:strRef>
              <c:f>'DS utveckling'!$C$30</c:f>
              <c:strCache>
                <c:ptCount val="1"/>
                <c:pt idx="0">
                  <c:v>Larsson</c:v>
                </c:pt>
              </c:strCache>
            </c:strRef>
          </c:tx>
          <c:spPr>
            <a:ln w="31750" cap="rnd">
              <a:solidFill>
                <a:schemeClr val="accent3">
                  <a:lumMod val="60000"/>
                </a:schemeClr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3">
                  <a:lumMod val="60000"/>
                </a:schemeClr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numRef>
              <c:f>'DS utveckling'!$D$21:$L$21</c:f>
              <c:numCache>
                <c:formatCode>General</c:formatCode>
                <c:ptCount val="9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  <c:pt idx="8">
                  <c:v>9</c:v>
                </c:pt>
              </c:numCache>
            </c:numRef>
          </c:cat>
          <c:val>
            <c:numRef>
              <c:f>'DS utveckling'!$D$30:$L$30</c:f>
              <c:numCache>
                <c:formatCode>General</c:formatCode>
                <c:ptCount val="9"/>
                <c:pt idx="0">
                  <c:v>6</c:v>
                </c:pt>
                <c:pt idx="1">
                  <c:v>6</c:v>
                </c:pt>
                <c:pt idx="2">
                  <c:v>6</c:v>
                </c:pt>
                <c:pt idx="3">
                  <c:v>6</c:v>
                </c:pt>
                <c:pt idx="4">
                  <c:v>15</c:v>
                </c:pt>
                <c:pt idx="5">
                  <c:v>22</c:v>
                </c:pt>
                <c:pt idx="6">
                  <c:v>29</c:v>
                </c:pt>
                <c:pt idx="7">
                  <c:v>34</c:v>
                </c:pt>
                <c:pt idx="8">
                  <c:v>43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8-849E-4452-B5C5-39AE1865BA2C}"/>
            </c:ext>
          </c:extLst>
        </c:ser>
        <c:ser>
          <c:idx val="9"/>
          <c:order val="9"/>
          <c:tx>
            <c:strRef>
              <c:f>'DS utveckling'!$C$31</c:f>
              <c:strCache>
                <c:ptCount val="1"/>
                <c:pt idx="0">
                  <c:v>Svensson</c:v>
                </c:pt>
              </c:strCache>
            </c:strRef>
          </c:tx>
          <c:spPr>
            <a:ln w="31750" cap="rnd">
              <a:solidFill>
                <a:schemeClr val="accent4">
                  <a:lumMod val="60000"/>
                </a:schemeClr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4">
                  <a:lumMod val="60000"/>
                </a:schemeClr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numRef>
              <c:f>'DS utveckling'!$D$21:$L$21</c:f>
              <c:numCache>
                <c:formatCode>General</c:formatCode>
                <c:ptCount val="9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  <c:pt idx="8">
                  <c:v>9</c:v>
                </c:pt>
              </c:numCache>
            </c:numRef>
          </c:cat>
          <c:val>
            <c:numRef>
              <c:f>'DS utveckling'!$D$31:$L$31</c:f>
              <c:numCache>
                <c:formatCode>General</c:formatCode>
                <c:ptCount val="9"/>
                <c:pt idx="0">
                  <c:v>6</c:v>
                </c:pt>
                <c:pt idx="1">
                  <c:v>6</c:v>
                </c:pt>
                <c:pt idx="2">
                  <c:v>12</c:v>
                </c:pt>
                <c:pt idx="3">
                  <c:v>25</c:v>
                </c:pt>
                <c:pt idx="4">
                  <c:v>34</c:v>
                </c:pt>
                <c:pt idx="5">
                  <c:v>40</c:v>
                </c:pt>
                <c:pt idx="6">
                  <c:v>47</c:v>
                </c:pt>
                <c:pt idx="7">
                  <c:v>52</c:v>
                </c:pt>
                <c:pt idx="8">
                  <c:v>56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9-849E-4452-B5C5-39AE1865BA2C}"/>
            </c:ext>
          </c:extLst>
        </c:ser>
        <c:ser>
          <c:idx val="10"/>
          <c:order val="10"/>
          <c:tx>
            <c:strRef>
              <c:f>'DS utveckling'!$C$32</c:f>
              <c:strCache>
                <c:ptCount val="1"/>
                <c:pt idx="0">
                  <c:v>Ljung</c:v>
                </c:pt>
              </c:strCache>
            </c:strRef>
          </c:tx>
          <c:spPr>
            <a:ln w="31750" cap="rnd">
              <a:solidFill>
                <a:schemeClr val="accent5">
                  <a:lumMod val="60000"/>
                </a:schemeClr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5">
                  <a:lumMod val="60000"/>
                </a:schemeClr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numRef>
              <c:f>'DS utveckling'!$D$21:$L$21</c:f>
              <c:numCache>
                <c:formatCode>General</c:formatCode>
                <c:ptCount val="9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  <c:pt idx="8">
                  <c:v>9</c:v>
                </c:pt>
              </c:numCache>
            </c:numRef>
          </c:cat>
          <c:val>
            <c:numRef>
              <c:f>'DS utveckling'!$D$32:$L$32</c:f>
              <c:numCache>
                <c:formatCode>General</c:formatCode>
                <c:ptCount val="9"/>
                <c:pt idx="0">
                  <c:v>5</c:v>
                </c:pt>
                <c:pt idx="1">
                  <c:v>14</c:v>
                </c:pt>
                <c:pt idx="2">
                  <c:v>19</c:v>
                </c:pt>
                <c:pt idx="3">
                  <c:v>28</c:v>
                </c:pt>
                <c:pt idx="4">
                  <c:v>41</c:v>
                </c:pt>
                <c:pt idx="5">
                  <c:v>46</c:v>
                </c:pt>
                <c:pt idx="6">
                  <c:v>53</c:v>
                </c:pt>
                <c:pt idx="7">
                  <c:v>59</c:v>
                </c:pt>
                <c:pt idx="8">
                  <c:v>65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A-849E-4452-B5C5-39AE1865BA2C}"/>
            </c:ext>
          </c:extLst>
        </c:ser>
        <c:ser>
          <c:idx val="11"/>
          <c:order val="11"/>
          <c:tx>
            <c:strRef>
              <c:f>'DS utveckling'!$C$33</c:f>
              <c:strCache>
                <c:ptCount val="1"/>
                <c:pt idx="0">
                  <c:v>Stranddahl</c:v>
                </c:pt>
              </c:strCache>
            </c:strRef>
          </c:tx>
          <c:spPr>
            <a:ln w="31750" cap="rnd">
              <a:solidFill>
                <a:schemeClr val="accent6">
                  <a:lumMod val="60000"/>
                </a:schemeClr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6">
                  <a:lumMod val="60000"/>
                </a:schemeClr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numRef>
              <c:f>'DS utveckling'!$D$21:$L$21</c:f>
              <c:numCache>
                <c:formatCode>General</c:formatCode>
                <c:ptCount val="9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  <c:pt idx="8">
                  <c:v>9</c:v>
                </c:pt>
              </c:numCache>
            </c:numRef>
          </c:cat>
          <c:val>
            <c:numRef>
              <c:f>'DS utveckling'!$D$33:$L$33</c:f>
              <c:numCache>
                <c:formatCode>General</c:formatCode>
                <c:ptCount val="9"/>
                <c:pt idx="0">
                  <c:v>13</c:v>
                </c:pt>
                <c:pt idx="1">
                  <c:v>22</c:v>
                </c:pt>
                <c:pt idx="2">
                  <c:v>29</c:v>
                </c:pt>
                <c:pt idx="3">
                  <c:v>42</c:v>
                </c:pt>
                <c:pt idx="4">
                  <c:v>49</c:v>
                </c:pt>
                <c:pt idx="5">
                  <c:v>49</c:v>
                </c:pt>
                <c:pt idx="6">
                  <c:v>52</c:v>
                </c:pt>
                <c:pt idx="7">
                  <c:v>58</c:v>
                </c:pt>
                <c:pt idx="8">
                  <c:v>58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B-849E-4452-B5C5-39AE1865BA2C}"/>
            </c:ext>
          </c:extLst>
        </c:ser>
        <c:ser>
          <c:idx val="12"/>
          <c:order val="12"/>
          <c:tx>
            <c:strRef>
              <c:f>'DS utveckling'!$C$34</c:f>
              <c:strCache>
                <c:ptCount val="1"/>
                <c:pt idx="0">
                  <c:v>L Johansson</c:v>
                </c:pt>
              </c:strCache>
            </c:strRef>
          </c:tx>
          <c:spPr>
            <a:ln w="31750" cap="rnd">
              <a:solidFill>
                <a:schemeClr val="accent1">
                  <a:lumMod val="80000"/>
                  <a:lumOff val="20000"/>
                </a:schemeClr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1">
                  <a:lumMod val="80000"/>
                  <a:lumOff val="20000"/>
                </a:schemeClr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numRef>
              <c:f>'DS utveckling'!$D$21:$L$21</c:f>
              <c:numCache>
                <c:formatCode>General</c:formatCode>
                <c:ptCount val="9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  <c:pt idx="8">
                  <c:v>9</c:v>
                </c:pt>
              </c:numCache>
            </c:numRef>
          </c:cat>
          <c:val>
            <c:numRef>
              <c:f>'DS utveckling'!$D$34:$L$34</c:f>
              <c:numCache>
                <c:formatCode>General</c:formatCode>
                <c:ptCount val="9"/>
                <c:pt idx="0">
                  <c:v>8</c:v>
                </c:pt>
                <c:pt idx="1">
                  <c:v>13</c:v>
                </c:pt>
                <c:pt idx="2">
                  <c:v>23</c:v>
                </c:pt>
                <c:pt idx="3">
                  <c:v>33</c:v>
                </c:pt>
                <c:pt idx="4">
                  <c:v>46</c:v>
                </c:pt>
                <c:pt idx="5">
                  <c:v>54</c:v>
                </c:pt>
                <c:pt idx="6">
                  <c:v>54</c:v>
                </c:pt>
                <c:pt idx="7">
                  <c:v>60</c:v>
                </c:pt>
                <c:pt idx="8">
                  <c:v>67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C-849E-4452-B5C5-39AE1865BA2C}"/>
            </c:ext>
          </c:extLst>
        </c:ser>
        <c:ser>
          <c:idx val="13"/>
          <c:order val="13"/>
          <c:tx>
            <c:strRef>
              <c:f>'DS utveckling'!$C$35</c:f>
              <c:strCache>
                <c:ptCount val="1"/>
                <c:pt idx="0">
                  <c:v>Söder</c:v>
                </c:pt>
              </c:strCache>
            </c:strRef>
          </c:tx>
          <c:spPr>
            <a:ln w="31750" cap="rnd">
              <a:solidFill>
                <a:schemeClr val="accent2">
                  <a:lumMod val="80000"/>
                  <a:lumOff val="20000"/>
                </a:schemeClr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2">
                  <a:lumMod val="80000"/>
                  <a:lumOff val="20000"/>
                </a:schemeClr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numRef>
              <c:f>'DS utveckling'!$D$21:$L$21</c:f>
              <c:numCache>
                <c:formatCode>General</c:formatCode>
                <c:ptCount val="9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  <c:pt idx="8">
                  <c:v>9</c:v>
                </c:pt>
              </c:numCache>
            </c:numRef>
          </c:cat>
          <c:val>
            <c:numRef>
              <c:f>'DS utveckling'!$D$35:$L$35</c:f>
              <c:numCache>
                <c:formatCode>General</c:formatCode>
                <c:ptCount val="9"/>
                <c:pt idx="0">
                  <c:v>6</c:v>
                </c:pt>
                <c:pt idx="1">
                  <c:v>11</c:v>
                </c:pt>
                <c:pt idx="2">
                  <c:v>18</c:v>
                </c:pt>
                <c:pt idx="3">
                  <c:v>26</c:v>
                </c:pt>
                <c:pt idx="4">
                  <c:v>26</c:v>
                </c:pt>
                <c:pt idx="5">
                  <c:v>34</c:v>
                </c:pt>
                <c:pt idx="6">
                  <c:v>34</c:v>
                </c:pt>
                <c:pt idx="7">
                  <c:v>44</c:v>
                </c:pt>
                <c:pt idx="8">
                  <c:v>52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D-849E-4452-B5C5-39AE1865BA2C}"/>
            </c:ext>
          </c:extLst>
        </c:ser>
        <c:ser>
          <c:idx val="14"/>
          <c:order val="14"/>
          <c:tx>
            <c:strRef>
              <c:f>'DS utveckling'!$C$36</c:f>
              <c:strCache>
                <c:ptCount val="1"/>
                <c:pt idx="0">
                  <c:v>Glyssbo</c:v>
                </c:pt>
              </c:strCache>
            </c:strRef>
          </c:tx>
          <c:spPr>
            <a:ln w="31750" cap="rnd">
              <a:solidFill>
                <a:schemeClr val="accent3">
                  <a:lumMod val="80000"/>
                  <a:lumOff val="20000"/>
                </a:schemeClr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3">
                  <a:lumMod val="80000"/>
                  <a:lumOff val="20000"/>
                </a:schemeClr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numRef>
              <c:f>'DS utveckling'!$D$21:$L$21</c:f>
              <c:numCache>
                <c:formatCode>General</c:formatCode>
                <c:ptCount val="9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  <c:pt idx="8">
                  <c:v>9</c:v>
                </c:pt>
              </c:numCache>
            </c:numRef>
          </c:cat>
          <c:val>
            <c:numRef>
              <c:f>'DS utveckling'!$D$36:$L$36</c:f>
              <c:numCache>
                <c:formatCode>General</c:formatCode>
                <c:ptCount val="9"/>
                <c:pt idx="0">
                  <c:v>3</c:v>
                </c:pt>
                <c:pt idx="1">
                  <c:v>13</c:v>
                </c:pt>
                <c:pt idx="2">
                  <c:v>19</c:v>
                </c:pt>
                <c:pt idx="3">
                  <c:v>26</c:v>
                </c:pt>
                <c:pt idx="4">
                  <c:v>26</c:v>
                </c:pt>
                <c:pt idx="5">
                  <c:v>26</c:v>
                </c:pt>
                <c:pt idx="6">
                  <c:v>35</c:v>
                </c:pt>
                <c:pt idx="7">
                  <c:v>35</c:v>
                </c:pt>
                <c:pt idx="8">
                  <c:v>44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E-849E-4452-B5C5-39AE1865BA2C}"/>
            </c:ext>
          </c:extLst>
        </c:ser>
        <c:ser>
          <c:idx val="15"/>
          <c:order val="15"/>
          <c:tx>
            <c:strRef>
              <c:f>'DS utveckling'!$C$37</c:f>
              <c:strCache>
                <c:ptCount val="1"/>
                <c:pt idx="0">
                  <c:v>K Johansson</c:v>
                </c:pt>
              </c:strCache>
            </c:strRef>
          </c:tx>
          <c:spPr>
            <a:ln w="31750" cap="rnd">
              <a:solidFill>
                <a:schemeClr val="accent4">
                  <a:lumMod val="80000"/>
                  <a:lumOff val="20000"/>
                </a:schemeClr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4">
                  <a:lumMod val="80000"/>
                  <a:lumOff val="20000"/>
                </a:schemeClr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numRef>
              <c:f>'DS utveckling'!$D$21:$L$21</c:f>
              <c:numCache>
                <c:formatCode>General</c:formatCode>
                <c:ptCount val="9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  <c:pt idx="8">
                  <c:v>9</c:v>
                </c:pt>
              </c:numCache>
            </c:numRef>
          </c:cat>
          <c:val>
            <c:numRef>
              <c:f>'DS utveckling'!$D$37:$L$37</c:f>
              <c:numCache>
                <c:formatCode>General</c:formatCode>
                <c:ptCount val="9"/>
                <c:pt idx="0">
                  <c:v>5</c:v>
                </c:pt>
                <c:pt idx="1">
                  <c:v>11</c:v>
                </c:pt>
                <c:pt idx="2">
                  <c:v>17</c:v>
                </c:pt>
                <c:pt idx="3">
                  <c:v>27</c:v>
                </c:pt>
                <c:pt idx="4">
                  <c:v>35</c:v>
                </c:pt>
                <c:pt idx="5">
                  <c:v>40</c:v>
                </c:pt>
                <c:pt idx="6">
                  <c:v>52</c:v>
                </c:pt>
                <c:pt idx="7">
                  <c:v>61</c:v>
                </c:pt>
                <c:pt idx="8">
                  <c:v>74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F-849E-4452-B5C5-39AE1865BA2C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marker val="1"/>
        <c:smooth val="0"/>
        <c:axId val="988307432"/>
        <c:axId val="988313992"/>
      </c:lineChart>
      <c:catAx>
        <c:axId val="9883074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19050" cap="flat" cmpd="sng" algn="ctr">
            <a:solidFill>
              <a:schemeClr val="dk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cap="all" baseline="0">
                <a:solidFill>
                  <a:schemeClr val="dk1">
                    <a:lumMod val="75000"/>
                    <a:lumOff val="2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SE"/>
          </a:p>
        </c:txPr>
        <c:crossAx val="988313992"/>
        <c:crosses val="autoZero"/>
        <c:auto val="1"/>
        <c:lblAlgn val="ctr"/>
        <c:lblOffset val="100"/>
        <c:noMultiLvlLbl val="0"/>
      </c:catAx>
      <c:valAx>
        <c:axId val="988313992"/>
        <c:scaling>
          <c:orientation val="minMax"/>
        </c:scaling>
        <c:delete val="1"/>
        <c:axPos val="l"/>
        <c:majorGridlines>
          <c:spPr>
            <a:ln w="9525" cap="flat" cmpd="sng" algn="ctr">
              <a:gradFill>
                <a:gsLst>
                  <a:gs pos="100000">
                    <a:schemeClr val="dk1">
                      <a:lumMod val="95000"/>
                      <a:lumOff val="5000"/>
                      <a:alpha val="42000"/>
                    </a:schemeClr>
                  </a:gs>
                  <a:gs pos="0">
                    <a:schemeClr val="lt1">
                      <a:lumMod val="75000"/>
                      <a:alpha val="36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crossAx val="98830743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solidFill>
          <a:schemeClr val="lt1">
            <a:lumMod val="95000"/>
            <a:alpha val="39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dk1">
                  <a:lumMod val="75000"/>
                  <a:lumOff val="25000"/>
                </a:schemeClr>
              </a:solidFill>
              <a:latin typeface="+mn-lt"/>
              <a:ea typeface="+mn-ea"/>
              <a:cs typeface="+mn-cs"/>
            </a:defRPr>
          </a:pPr>
          <a:endParaRPr lang="sv-SE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lt1"/>
        </a:gs>
        <a:gs pos="39000">
          <a:schemeClr val="lt1"/>
        </a:gs>
        <a:gs pos="100000">
          <a:schemeClr val="lt1">
            <a:lumMod val="75000"/>
          </a:schemeClr>
        </a:gs>
      </a:gsLst>
      <a:path path="circle">
        <a:fillToRect l="50000" t="-80000" r="50000" b="180000"/>
      </a:path>
      <a:tileRect/>
    </a:gradFill>
    <a:ln w="9525" cap="flat" cmpd="sng" algn="ctr">
      <a:solidFill>
        <a:schemeClr val="dk1">
          <a:lumMod val="25000"/>
          <a:lumOff val="75000"/>
        </a:schemeClr>
      </a:solidFill>
      <a:round/>
    </a:ln>
    <a:effectLst/>
  </c:spPr>
  <c:txPr>
    <a:bodyPr/>
    <a:lstStyle/>
    <a:p>
      <a:pPr>
        <a:defRPr/>
      </a:pPr>
      <a:endParaRPr lang="sv-SE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v-S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800" b="1" i="0" u="none" strike="noStrike" kern="1200" baseline="0">
                <a:solidFill>
                  <a:schemeClr val="dk1">
                    <a:lumMod val="75000"/>
                    <a:lumOff val="2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sv-SE"/>
              <a:t>Utveckling Dreamscore - Hål för hål</a:t>
            </a:r>
          </a:p>
        </c:rich>
      </c:tx>
      <c:layout>
        <c:manualLayout>
          <c:xMode val="edge"/>
          <c:yMode val="edge"/>
          <c:x val="0.23205970149253732"/>
          <c:y val="1.2558869701726845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dk1">
                  <a:lumMod val="75000"/>
                  <a:lumOff val="25000"/>
                </a:schemeClr>
              </a:solidFill>
              <a:latin typeface="+mn-lt"/>
              <a:ea typeface="+mn-ea"/>
              <a:cs typeface="+mn-cs"/>
            </a:defRPr>
          </a:pPr>
          <a:endParaRPr lang="sv-SE"/>
        </a:p>
      </c:txPr>
    </c:title>
    <c:autoTitleDeleted val="0"/>
    <c:plotArea>
      <c:layout/>
      <c:lineChart>
        <c:grouping val="standard"/>
        <c:varyColors val="0"/>
        <c:ser>
          <c:idx val="16"/>
          <c:order val="0"/>
          <c:tx>
            <c:strRef>
              <c:f>'DS utveckling'!$B$58:$C$58</c:f>
              <c:strCache>
                <c:ptCount val="2"/>
                <c:pt idx="0">
                  <c:v>Göran</c:v>
                </c:pt>
                <c:pt idx="1">
                  <c:v>Backe</c:v>
                </c:pt>
              </c:strCache>
            </c:strRef>
          </c:tx>
          <c:spPr>
            <a:ln w="31750" cap="rnd">
              <a:solidFill>
                <a:schemeClr val="accent5">
                  <a:lumMod val="80000"/>
                  <a:lumOff val="20000"/>
                </a:schemeClr>
              </a:solidFill>
              <a:round/>
            </a:ln>
            <a:effectLst/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'DS utveckling'!$D$58:$U$58</c:f>
              <c:numCache>
                <c:formatCode>General</c:formatCode>
                <c:ptCount val="18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4</c:v>
                </c:pt>
                <c:pt idx="6">
                  <c:v>5</c:v>
                </c:pt>
                <c:pt idx="7">
                  <c:v>6</c:v>
                </c:pt>
                <c:pt idx="8">
                  <c:v>6</c:v>
                </c:pt>
                <c:pt idx="9">
                  <c:v>6</c:v>
                </c:pt>
                <c:pt idx="10">
                  <c:v>7</c:v>
                </c:pt>
                <c:pt idx="11">
                  <c:v>8</c:v>
                </c:pt>
                <c:pt idx="12">
                  <c:v>8</c:v>
                </c:pt>
                <c:pt idx="13">
                  <c:v>9</c:v>
                </c:pt>
                <c:pt idx="14">
                  <c:v>9</c:v>
                </c:pt>
                <c:pt idx="15">
                  <c:v>10</c:v>
                </c:pt>
                <c:pt idx="16">
                  <c:v>11</c:v>
                </c:pt>
                <c:pt idx="17">
                  <c:v>11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20-7C32-4A4D-8CEF-61DA33D38D82}"/>
            </c:ext>
          </c:extLst>
        </c:ser>
        <c:ser>
          <c:idx val="17"/>
          <c:order val="1"/>
          <c:tx>
            <c:strRef>
              <c:f>'DS utveckling'!$B$59:$C$59</c:f>
              <c:strCache>
                <c:ptCount val="2"/>
                <c:pt idx="0">
                  <c:v>Micke</c:v>
                </c:pt>
                <c:pt idx="1">
                  <c:v>Åberg</c:v>
                </c:pt>
              </c:strCache>
            </c:strRef>
          </c:tx>
          <c:spPr>
            <a:ln w="31750" cap="rnd">
              <a:solidFill>
                <a:schemeClr val="accent6">
                  <a:lumMod val="80000"/>
                  <a:lumOff val="20000"/>
                </a:schemeClr>
              </a:solidFill>
              <a:round/>
            </a:ln>
            <a:effectLst/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'DS utveckling'!$D$59:$U$59</c:f>
              <c:numCache>
                <c:formatCode>General</c:formatCode>
                <c:ptCount val="18"/>
                <c:pt idx="0">
                  <c:v>0</c:v>
                </c:pt>
                <c:pt idx="1">
                  <c:v>0</c:v>
                </c:pt>
                <c:pt idx="2">
                  <c:v>1</c:v>
                </c:pt>
                <c:pt idx="3">
                  <c:v>2</c:v>
                </c:pt>
                <c:pt idx="4">
                  <c:v>3</c:v>
                </c:pt>
                <c:pt idx="5">
                  <c:v>3</c:v>
                </c:pt>
                <c:pt idx="6">
                  <c:v>3</c:v>
                </c:pt>
                <c:pt idx="7">
                  <c:v>3</c:v>
                </c:pt>
                <c:pt idx="8">
                  <c:v>4</c:v>
                </c:pt>
                <c:pt idx="9">
                  <c:v>5</c:v>
                </c:pt>
                <c:pt idx="10">
                  <c:v>6</c:v>
                </c:pt>
                <c:pt idx="11">
                  <c:v>6</c:v>
                </c:pt>
                <c:pt idx="12">
                  <c:v>6</c:v>
                </c:pt>
                <c:pt idx="13">
                  <c:v>7</c:v>
                </c:pt>
                <c:pt idx="14">
                  <c:v>8</c:v>
                </c:pt>
                <c:pt idx="15">
                  <c:v>7</c:v>
                </c:pt>
                <c:pt idx="16">
                  <c:v>8</c:v>
                </c:pt>
                <c:pt idx="17">
                  <c:v>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21-7C32-4A4D-8CEF-61DA33D38D82}"/>
            </c:ext>
          </c:extLst>
        </c:ser>
        <c:ser>
          <c:idx val="18"/>
          <c:order val="2"/>
          <c:tx>
            <c:strRef>
              <c:f>'DS utveckling'!$B$60:$C$60</c:f>
              <c:strCache>
                <c:ptCount val="2"/>
                <c:pt idx="0">
                  <c:v>Börje</c:v>
                </c:pt>
                <c:pt idx="1">
                  <c:v>Johansson</c:v>
                </c:pt>
              </c:strCache>
            </c:strRef>
          </c:tx>
          <c:spPr>
            <a:ln w="31750" cap="rnd">
              <a:solidFill>
                <a:schemeClr val="accent1">
                  <a:lumMod val="80000"/>
                </a:schemeClr>
              </a:solidFill>
              <a:round/>
            </a:ln>
            <a:effectLst/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'DS utveckling'!$D$60:$U$60</c:f>
              <c:numCache>
                <c:formatCode>General</c:formatCode>
                <c:ptCount val="1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1</c:v>
                </c:pt>
                <c:pt idx="4">
                  <c:v>1</c:v>
                </c:pt>
                <c:pt idx="5">
                  <c:v>2</c:v>
                </c:pt>
                <c:pt idx="6">
                  <c:v>3</c:v>
                </c:pt>
                <c:pt idx="7">
                  <c:v>3</c:v>
                </c:pt>
                <c:pt idx="8">
                  <c:v>4</c:v>
                </c:pt>
                <c:pt idx="9">
                  <c:v>3</c:v>
                </c:pt>
                <c:pt idx="10">
                  <c:v>3</c:v>
                </c:pt>
                <c:pt idx="11">
                  <c:v>3</c:v>
                </c:pt>
                <c:pt idx="12">
                  <c:v>3</c:v>
                </c:pt>
                <c:pt idx="13">
                  <c:v>4</c:v>
                </c:pt>
                <c:pt idx="14">
                  <c:v>3</c:v>
                </c:pt>
                <c:pt idx="15">
                  <c:v>4</c:v>
                </c:pt>
                <c:pt idx="16">
                  <c:v>4</c:v>
                </c:pt>
                <c:pt idx="17">
                  <c:v>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22-7C32-4A4D-8CEF-61DA33D38D82}"/>
            </c:ext>
          </c:extLst>
        </c:ser>
        <c:ser>
          <c:idx val="19"/>
          <c:order val="3"/>
          <c:tx>
            <c:strRef>
              <c:f>'DS utveckling'!$B$61:$C$61</c:f>
              <c:strCache>
                <c:ptCount val="2"/>
                <c:pt idx="0">
                  <c:v>Jörgen</c:v>
                </c:pt>
                <c:pt idx="1">
                  <c:v>Simonsson</c:v>
                </c:pt>
              </c:strCache>
            </c:strRef>
          </c:tx>
          <c:spPr>
            <a:ln w="31750" cap="rnd">
              <a:solidFill>
                <a:schemeClr val="accent2">
                  <a:lumMod val="80000"/>
                </a:schemeClr>
              </a:solidFill>
              <a:round/>
            </a:ln>
            <a:effectLst/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'DS utveckling'!$D$61:$U$61</c:f>
              <c:numCache>
                <c:formatCode>General</c:formatCode>
                <c:ptCount val="18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2</c:v>
                </c:pt>
                <c:pt idx="4">
                  <c:v>2</c:v>
                </c:pt>
                <c:pt idx="5">
                  <c:v>3</c:v>
                </c:pt>
                <c:pt idx="6">
                  <c:v>4</c:v>
                </c:pt>
                <c:pt idx="7">
                  <c:v>4</c:v>
                </c:pt>
                <c:pt idx="8">
                  <c:v>5</c:v>
                </c:pt>
                <c:pt idx="9">
                  <c:v>6</c:v>
                </c:pt>
                <c:pt idx="10">
                  <c:v>7</c:v>
                </c:pt>
                <c:pt idx="11">
                  <c:v>7</c:v>
                </c:pt>
                <c:pt idx="12">
                  <c:v>7</c:v>
                </c:pt>
                <c:pt idx="13">
                  <c:v>8</c:v>
                </c:pt>
                <c:pt idx="14">
                  <c:v>9</c:v>
                </c:pt>
                <c:pt idx="15">
                  <c:v>10</c:v>
                </c:pt>
                <c:pt idx="16">
                  <c:v>10</c:v>
                </c:pt>
                <c:pt idx="17">
                  <c:v>11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23-7C32-4A4D-8CEF-61DA33D38D82}"/>
            </c:ext>
          </c:extLst>
        </c:ser>
        <c:ser>
          <c:idx val="20"/>
          <c:order val="4"/>
          <c:tx>
            <c:strRef>
              <c:f>'DS utveckling'!$B$62:$C$62</c:f>
              <c:strCache>
                <c:ptCount val="2"/>
                <c:pt idx="0">
                  <c:v>Claes</c:v>
                </c:pt>
                <c:pt idx="1">
                  <c:v>Svensson</c:v>
                </c:pt>
              </c:strCache>
            </c:strRef>
          </c:tx>
          <c:spPr>
            <a:ln w="31750" cap="rnd">
              <a:solidFill>
                <a:schemeClr val="accent3">
                  <a:lumMod val="80000"/>
                </a:schemeClr>
              </a:solidFill>
              <a:round/>
            </a:ln>
            <a:effectLst/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'DS utveckling'!$D$62:$U$62</c:f>
              <c:numCache>
                <c:formatCode>General</c:formatCode>
                <c:ptCount val="18"/>
                <c:pt idx="0">
                  <c:v>1</c:v>
                </c:pt>
                <c:pt idx="1">
                  <c:v>3</c:v>
                </c:pt>
                <c:pt idx="2">
                  <c:v>5</c:v>
                </c:pt>
                <c:pt idx="3">
                  <c:v>6</c:v>
                </c:pt>
                <c:pt idx="4">
                  <c:v>7</c:v>
                </c:pt>
                <c:pt idx="5">
                  <c:v>9</c:v>
                </c:pt>
                <c:pt idx="6">
                  <c:v>11</c:v>
                </c:pt>
                <c:pt idx="7">
                  <c:v>12</c:v>
                </c:pt>
                <c:pt idx="8">
                  <c:v>14</c:v>
                </c:pt>
                <c:pt idx="9">
                  <c:v>15</c:v>
                </c:pt>
                <c:pt idx="10">
                  <c:v>18</c:v>
                </c:pt>
                <c:pt idx="11">
                  <c:v>18</c:v>
                </c:pt>
                <c:pt idx="12">
                  <c:v>20</c:v>
                </c:pt>
                <c:pt idx="13">
                  <c:v>21</c:v>
                </c:pt>
                <c:pt idx="14">
                  <c:v>23</c:v>
                </c:pt>
                <c:pt idx="15">
                  <c:v>26</c:v>
                </c:pt>
                <c:pt idx="16">
                  <c:v>27</c:v>
                </c:pt>
                <c:pt idx="17">
                  <c:v>28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24-7C32-4A4D-8CEF-61DA33D38D82}"/>
            </c:ext>
          </c:extLst>
        </c:ser>
        <c:ser>
          <c:idx val="21"/>
          <c:order val="5"/>
          <c:tx>
            <c:strRef>
              <c:f>'DS utveckling'!$B$63:$C$63</c:f>
              <c:strCache>
                <c:ptCount val="2"/>
                <c:pt idx="0">
                  <c:v>Lalle</c:v>
                </c:pt>
                <c:pt idx="1">
                  <c:v>Johansson</c:v>
                </c:pt>
              </c:strCache>
            </c:strRef>
          </c:tx>
          <c:spPr>
            <a:ln w="31750" cap="rnd">
              <a:solidFill>
                <a:schemeClr val="accent4">
                  <a:lumMod val="80000"/>
                </a:schemeClr>
              </a:solidFill>
              <a:round/>
            </a:ln>
            <a:effectLst/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'DS utveckling'!$D$63:$U$63</c:f>
              <c:numCache>
                <c:formatCode>General</c:formatCode>
                <c:ptCount val="18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  <c:pt idx="8">
                  <c:v>9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12</c:v>
                </c:pt>
                <c:pt idx="14">
                  <c:v>13</c:v>
                </c:pt>
                <c:pt idx="15">
                  <c:v>14</c:v>
                </c:pt>
                <c:pt idx="16">
                  <c:v>16</c:v>
                </c:pt>
                <c:pt idx="17">
                  <c:v>16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25-7C32-4A4D-8CEF-61DA33D38D82}"/>
            </c:ext>
          </c:extLst>
        </c:ser>
        <c:ser>
          <c:idx val="22"/>
          <c:order val="6"/>
          <c:tx>
            <c:strRef>
              <c:f>'DS utveckling'!$B$64:$C$64</c:f>
              <c:strCache>
                <c:ptCount val="2"/>
                <c:pt idx="0">
                  <c:v>Peter</c:v>
                </c:pt>
                <c:pt idx="1">
                  <c:v>Nilsson</c:v>
                </c:pt>
              </c:strCache>
            </c:strRef>
          </c:tx>
          <c:spPr>
            <a:ln w="31750" cap="rnd">
              <a:solidFill>
                <a:schemeClr val="accent5">
                  <a:lumMod val="80000"/>
                </a:schemeClr>
              </a:solidFill>
              <a:round/>
            </a:ln>
            <a:effectLst/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'DS utveckling'!$D$64:$U$64</c:f>
              <c:numCache>
                <c:formatCode>General</c:formatCode>
                <c:ptCount val="18"/>
                <c:pt idx="0">
                  <c:v>1</c:v>
                </c:pt>
                <c:pt idx="1">
                  <c:v>1</c:v>
                </c:pt>
                <c:pt idx="2">
                  <c:v>1</c:v>
                </c:pt>
                <c:pt idx="3">
                  <c:v>1</c:v>
                </c:pt>
                <c:pt idx="4">
                  <c:v>1</c:v>
                </c:pt>
                <c:pt idx="5">
                  <c:v>1</c:v>
                </c:pt>
                <c:pt idx="6">
                  <c:v>1</c:v>
                </c:pt>
                <c:pt idx="7">
                  <c:v>1</c:v>
                </c:pt>
                <c:pt idx="8">
                  <c:v>1</c:v>
                </c:pt>
                <c:pt idx="9">
                  <c:v>1</c:v>
                </c:pt>
                <c:pt idx="10">
                  <c:v>1</c:v>
                </c:pt>
                <c:pt idx="11">
                  <c:v>2</c:v>
                </c:pt>
                <c:pt idx="12">
                  <c:v>2</c:v>
                </c:pt>
                <c:pt idx="13">
                  <c:v>3</c:v>
                </c:pt>
                <c:pt idx="14">
                  <c:v>4</c:v>
                </c:pt>
                <c:pt idx="15">
                  <c:v>5</c:v>
                </c:pt>
                <c:pt idx="16">
                  <c:v>5</c:v>
                </c:pt>
                <c:pt idx="17">
                  <c:v>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26-7C32-4A4D-8CEF-61DA33D38D82}"/>
            </c:ext>
          </c:extLst>
        </c:ser>
        <c:ser>
          <c:idx val="23"/>
          <c:order val="7"/>
          <c:tx>
            <c:strRef>
              <c:f>'DS utveckling'!$B$65:$C$65</c:f>
              <c:strCache>
                <c:ptCount val="2"/>
                <c:pt idx="0">
                  <c:v>Magnus</c:v>
                </c:pt>
                <c:pt idx="1">
                  <c:v>Bengtsson</c:v>
                </c:pt>
              </c:strCache>
            </c:strRef>
          </c:tx>
          <c:spPr>
            <a:ln w="31750" cap="rnd">
              <a:solidFill>
                <a:schemeClr val="accent6">
                  <a:lumMod val="80000"/>
                </a:schemeClr>
              </a:solidFill>
              <a:round/>
            </a:ln>
            <a:effectLst/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'DS utveckling'!$D$65:$U$65</c:f>
              <c:numCache>
                <c:formatCode>General</c:formatCode>
                <c:ptCount val="18"/>
                <c:pt idx="0">
                  <c:v>3</c:v>
                </c:pt>
                <c:pt idx="1">
                  <c:v>4</c:v>
                </c:pt>
                <c:pt idx="2">
                  <c:v>6</c:v>
                </c:pt>
                <c:pt idx="3">
                  <c:v>8</c:v>
                </c:pt>
                <c:pt idx="4">
                  <c:v>9</c:v>
                </c:pt>
                <c:pt idx="5">
                  <c:v>10</c:v>
                </c:pt>
                <c:pt idx="6">
                  <c:v>12</c:v>
                </c:pt>
                <c:pt idx="7">
                  <c:v>12</c:v>
                </c:pt>
                <c:pt idx="8">
                  <c:v>13</c:v>
                </c:pt>
                <c:pt idx="9">
                  <c:v>14</c:v>
                </c:pt>
                <c:pt idx="10">
                  <c:v>16</c:v>
                </c:pt>
                <c:pt idx="11">
                  <c:v>18</c:v>
                </c:pt>
                <c:pt idx="12">
                  <c:v>23</c:v>
                </c:pt>
                <c:pt idx="13">
                  <c:v>25</c:v>
                </c:pt>
                <c:pt idx="14">
                  <c:v>27</c:v>
                </c:pt>
                <c:pt idx="15">
                  <c:v>29</c:v>
                </c:pt>
                <c:pt idx="16">
                  <c:v>34</c:v>
                </c:pt>
                <c:pt idx="17">
                  <c:v>35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27-7C32-4A4D-8CEF-61DA33D38D82}"/>
            </c:ext>
          </c:extLst>
        </c:ser>
        <c:ser>
          <c:idx val="24"/>
          <c:order val="8"/>
          <c:tx>
            <c:strRef>
              <c:f>'DS utveckling'!$B$66:$C$66</c:f>
              <c:strCache>
                <c:ptCount val="2"/>
                <c:pt idx="0">
                  <c:v>Thomas</c:v>
                </c:pt>
                <c:pt idx="1">
                  <c:v>Larsson</c:v>
                </c:pt>
              </c:strCache>
            </c:strRef>
          </c:tx>
          <c:spPr>
            <a:ln w="31750" cap="rnd">
              <a:solidFill>
                <a:schemeClr val="accent1">
                  <a:lumMod val="60000"/>
                  <a:lumOff val="40000"/>
                </a:schemeClr>
              </a:solidFill>
              <a:round/>
            </a:ln>
            <a:effectLst/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'DS utveckling'!$D$66:$U$66</c:f>
              <c:numCache>
                <c:formatCode>General</c:formatCode>
                <c:ptCount val="18"/>
                <c:pt idx="0">
                  <c:v>1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6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9</c:v>
                </c:pt>
                <c:pt idx="11">
                  <c:v>10</c:v>
                </c:pt>
                <c:pt idx="12">
                  <c:v>11</c:v>
                </c:pt>
                <c:pt idx="13">
                  <c:v>11</c:v>
                </c:pt>
                <c:pt idx="14">
                  <c:v>12</c:v>
                </c:pt>
                <c:pt idx="15">
                  <c:v>14</c:v>
                </c:pt>
                <c:pt idx="16">
                  <c:v>15</c:v>
                </c:pt>
                <c:pt idx="17">
                  <c:v>16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28-7C32-4A4D-8CEF-61DA33D38D82}"/>
            </c:ext>
          </c:extLst>
        </c:ser>
        <c:ser>
          <c:idx val="25"/>
          <c:order val="9"/>
          <c:tx>
            <c:strRef>
              <c:f>'DS utveckling'!$B$67:$C$67</c:f>
              <c:strCache>
                <c:ptCount val="2"/>
                <c:pt idx="0">
                  <c:v>Jörgen</c:v>
                </c:pt>
                <c:pt idx="1">
                  <c:v>Stranddahl</c:v>
                </c:pt>
              </c:strCache>
            </c:strRef>
          </c:tx>
          <c:spPr>
            <a:ln w="31750" cap="rnd">
              <a:solidFill>
                <a:schemeClr val="accent2">
                  <a:lumMod val="60000"/>
                  <a:lumOff val="40000"/>
                </a:schemeClr>
              </a:solidFill>
              <a:round/>
            </a:ln>
            <a:effectLst/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'DS utveckling'!$D$67:$U$67</c:f>
              <c:numCache>
                <c:formatCode>General</c:formatCode>
                <c:ptCount val="18"/>
                <c:pt idx="0">
                  <c:v>1</c:v>
                </c:pt>
                <c:pt idx="1">
                  <c:v>1</c:v>
                </c:pt>
                <c:pt idx="2">
                  <c:v>4</c:v>
                </c:pt>
                <c:pt idx="3">
                  <c:v>5</c:v>
                </c:pt>
                <c:pt idx="4">
                  <c:v>5</c:v>
                </c:pt>
                <c:pt idx="5">
                  <c:v>6</c:v>
                </c:pt>
                <c:pt idx="6">
                  <c:v>6</c:v>
                </c:pt>
                <c:pt idx="7">
                  <c:v>8</c:v>
                </c:pt>
                <c:pt idx="8">
                  <c:v>9</c:v>
                </c:pt>
                <c:pt idx="9">
                  <c:v>11</c:v>
                </c:pt>
                <c:pt idx="10">
                  <c:v>11</c:v>
                </c:pt>
                <c:pt idx="11">
                  <c:v>13</c:v>
                </c:pt>
                <c:pt idx="12">
                  <c:v>14</c:v>
                </c:pt>
                <c:pt idx="13">
                  <c:v>15</c:v>
                </c:pt>
                <c:pt idx="14">
                  <c:v>15</c:v>
                </c:pt>
                <c:pt idx="15">
                  <c:v>17</c:v>
                </c:pt>
                <c:pt idx="16">
                  <c:v>18</c:v>
                </c:pt>
                <c:pt idx="17">
                  <c:v>19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29-7C32-4A4D-8CEF-61DA33D38D82}"/>
            </c:ext>
          </c:extLst>
        </c:ser>
        <c:ser>
          <c:idx val="26"/>
          <c:order val="10"/>
          <c:tx>
            <c:strRef>
              <c:f>'DS utveckling'!$B$68:$C$68</c:f>
              <c:strCache>
                <c:ptCount val="2"/>
                <c:pt idx="0">
                  <c:v>Stefan</c:v>
                </c:pt>
                <c:pt idx="1">
                  <c:v>Thorvaldsson</c:v>
                </c:pt>
              </c:strCache>
            </c:strRef>
          </c:tx>
          <c:spPr>
            <a:ln w="31750" cap="rnd">
              <a:solidFill>
                <a:schemeClr val="accent3">
                  <a:lumMod val="60000"/>
                  <a:lumOff val="40000"/>
                </a:schemeClr>
              </a:solidFill>
              <a:round/>
            </a:ln>
            <a:effectLst/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'DS utveckling'!$D$68:$U$68</c:f>
              <c:numCache>
                <c:formatCode>General</c:formatCode>
                <c:ptCount val="18"/>
                <c:pt idx="0">
                  <c:v>0</c:v>
                </c:pt>
                <c:pt idx="1">
                  <c:v>-1</c:v>
                </c:pt>
                <c:pt idx="2">
                  <c:v>-1</c:v>
                </c:pt>
                <c:pt idx="3">
                  <c:v>-1</c:v>
                </c:pt>
                <c:pt idx="4">
                  <c:v>-1</c:v>
                </c:pt>
                <c:pt idx="5">
                  <c:v>-2</c:v>
                </c:pt>
                <c:pt idx="6">
                  <c:v>-2</c:v>
                </c:pt>
                <c:pt idx="7">
                  <c:v>-3</c:v>
                </c:pt>
                <c:pt idx="8">
                  <c:v>-3</c:v>
                </c:pt>
                <c:pt idx="9">
                  <c:v>-3</c:v>
                </c:pt>
                <c:pt idx="10">
                  <c:v>-3</c:v>
                </c:pt>
                <c:pt idx="11">
                  <c:v>-3</c:v>
                </c:pt>
                <c:pt idx="12">
                  <c:v>-3</c:v>
                </c:pt>
                <c:pt idx="13">
                  <c:v>-3</c:v>
                </c:pt>
                <c:pt idx="14">
                  <c:v>-3</c:v>
                </c:pt>
                <c:pt idx="15">
                  <c:v>-4</c:v>
                </c:pt>
                <c:pt idx="16">
                  <c:v>-4</c:v>
                </c:pt>
                <c:pt idx="17">
                  <c:v>-3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2A-7C32-4A4D-8CEF-61DA33D38D82}"/>
            </c:ext>
          </c:extLst>
        </c:ser>
        <c:ser>
          <c:idx val="27"/>
          <c:order val="11"/>
          <c:tx>
            <c:strRef>
              <c:f>'DS utveckling'!$B$69:$C$69</c:f>
              <c:strCache>
                <c:ptCount val="2"/>
                <c:pt idx="0">
                  <c:v>Jocke</c:v>
                </c:pt>
                <c:pt idx="1">
                  <c:v>Söder</c:v>
                </c:pt>
              </c:strCache>
            </c:strRef>
          </c:tx>
          <c:spPr>
            <a:ln w="31750" cap="rnd">
              <a:solidFill>
                <a:schemeClr val="accent4">
                  <a:lumMod val="60000"/>
                  <a:lumOff val="40000"/>
                </a:schemeClr>
              </a:solidFill>
              <a:round/>
            </a:ln>
            <a:effectLst/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'DS utveckling'!$D$69:$U$69</c:f>
              <c:numCache>
                <c:formatCode>General</c:formatCode>
                <c:ptCount val="18"/>
                <c:pt idx="0">
                  <c:v>0</c:v>
                </c:pt>
                <c:pt idx="1">
                  <c:v>0</c:v>
                </c:pt>
                <c:pt idx="2">
                  <c:v>-1</c:v>
                </c:pt>
                <c:pt idx="3">
                  <c:v>0</c:v>
                </c:pt>
                <c:pt idx="4">
                  <c:v>-1</c:v>
                </c:pt>
                <c:pt idx="5">
                  <c:v>-1</c:v>
                </c:pt>
                <c:pt idx="6">
                  <c:v>-1</c:v>
                </c:pt>
                <c:pt idx="7">
                  <c:v>-1</c:v>
                </c:pt>
                <c:pt idx="8">
                  <c:v>-1</c:v>
                </c:pt>
                <c:pt idx="9">
                  <c:v>1</c:v>
                </c:pt>
                <c:pt idx="10">
                  <c:v>2</c:v>
                </c:pt>
                <c:pt idx="11">
                  <c:v>2</c:v>
                </c:pt>
                <c:pt idx="12">
                  <c:v>3</c:v>
                </c:pt>
                <c:pt idx="13">
                  <c:v>2</c:v>
                </c:pt>
                <c:pt idx="14">
                  <c:v>2</c:v>
                </c:pt>
                <c:pt idx="15">
                  <c:v>2</c:v>
                </c:pt>
                <c:pt idx="16">
                  <c:v>2</c:v>
                </c:pt>
                <c:pt idx="17">
                  <c:v>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2B-7C32-4A4D-8CEF-61DA33D38D82}"/>
            </c:ext>
          </c:extLst>
        </c:ser>
        <c:ser>
          <c:idx val="28"/>
          <c:order val="12"/>
          <c:tx>
            <c:strRef>
              <c:f>'DS utveckling'!$B$70:$C$70</c:f>
              <c:strCache>
                <c:ptCount val="2"/>
                <c:pt idx="0">
                  <c:v>Niklas</c:v>
                </c:pt>
                <c:pt idx="1">
                  <c:v>Ljung</c:v>
                </c:pt>
              </c:strCache>
            </c:strRef>
          </c:tx>
          <c:spPr>
            <a:ln w="31750" cap="rnd">
              <a:solidFill>
                <a:schemeClr val="accent5">
                  <a:lumMod val="60000"/>
                  <a:lumOff val="40000"/>
                </a:schemeClr>
              </a:solidFill>
              <a:round/>
            </a:ln>
            <a:effectLst/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'DS utveckling'!$D$70:$U$70</c:f>
              <c:numCache>
                <c:formatCode>General</c:formatCode>
                <c:ptCount val="18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2</c:v>
                </c:pt>
                <c:pt idx="4">
                  <c:v>2</c:v>
                </c:pt>
                <c:pt idx="5">
                  <c:v>2</c:v>
                </c:pt>
                <c:pt idx="6">
                  <c:v>4</c:v>
                </c:pt>
                <c:pt idx="7">
                  <c:v>5</c:v>
                </c:pt>
                <c:pt idx="8">
                  <c:v>5</c:v>
                </c:pt>
                <c:pt idx="9">
                  <c:v>4</c:v>
                </c:pt>
                <c:pt idx="10">
                  <c:v>5</c:v>
                </c:pt>
                <c:pt idx="11">
                  <c:v>6</c:v>
                </c:pt>
                <c:pt idx="12">
                  <c:v>7</c:v>
                </c:pt>
                <c:pt idx="13">
                  <c:v>8</c:v>
                </c:pt>
                <c:pt idx="14">
                  <c:v>8</c:v>
                </c:pt>
                <c:pt idx="15">
                  <c:v>8</c:v>
                </c:pt>
                <c:pt idx="16">
                  <c:v>8</c:v>
                </c:pt>
                <c:pt idx="17">
                  <c:v>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2C-7C32-4A4D-8CEF-61DA33D38D82}"/>
            </c:ext>
          </c:extLst>
        </c:ser>
        <c:ser>
          <c:idx val="29"/>
          <c:order val="13"/>
          <c:tx>
            <c:strRef>
              <c:f>'DS utveckling'!$B$71:$C$71</c:f>
              <c:strCache>
                <c:ptCount val="2"/>
                <c:pt idx="0">
                  <c:v>PJ</c:v>
                </c:pt>
                <c:pt idx="1">
                  <c:v>Glyssbo</c:v>
                </c:pt>
              </c:strCache>
            </c:strRef>
          </c:tx>
          <c:spPr>
            <a:ln w="31750" cap="rnd">
              <a:solidFill>
                <a:schemeClr val="accent6">
                  <a:lumMod val="60000"/>
                  <a:lumOff val="40000"/>
                </a:schemeClr>
              </a:solidFill>
              <a:round/>
            </a:ln>
            <a:effectLst/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'DS utveckling'!$D$71:$U$71</c:f>
              <c:numCache>
                <c:formatCode>General</c:formatCode>
                <c:ptCount val="18"/>
                <c:pt idx="0">
                  <c:v>0</c:v>
                </c:pt>
                <c:pt idx="1">
                  <c:v>2</c:v>
                </c:pt>
                <c:pt idx="2">
                  <c:v>1</c:v>
                </c:pt>
                <c:pt idx="3">
                  <c:v>1</c:v>
                </c:pt>
                <c:pt idx="4">
                  <c:v>2</c:v>
                </c:pt>
                <c:pt idx="5">
                  <c:v>3</c:v>
                </c:pt>
                <c:pt idx="6">
                  <c:v>3</c:v>
                </c:pt>
                <c:pt idx="7">
                  <c:v>3</c:v>
                </c:pt>
                <c:pt idx="8">
                  <c:v>3</c:v>
                </c:pt>
                <c:pt idx="9">
                  <c:v>4</c:v>
                </c:pt>
                <c:pt idx="10">
                  <c:v>5</c:v>
                </c:pt>
                <c:pt idx="11">
                  <c:v>5</c:v>
                </c:pt>
                <c:pt idx="12">
                  <c:v>5</c:v>
                </c:pt>
                <c:pt idx="13">
                  <c:v>4</c:v>
                </c:pt>
                <c:pt idx="14">
                  <c:v>5</c:v>
                </c:pt>
                <c:pt idx="15">
                  <c:v>5</c:v>
                </c:pt>
                <c:pt idx="16">
                  <c:v>5</c:v>
                </c:pt>
                <c:pt idx="17">
                  <c:v>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2D-7C32-4A4D-8CEF-61DA33D38D82}"/>
            </c:ext>
          </c:extLst>
        </c:ser>
        <c:ser>
          <c:idx val="30"/>
          <c:order val="14"/>
          <c:tx>
            <c:strRef>
              <c:f>'DS utveckling'!$B$72:$C$72</c:f>
              <c:strCache>
                <c:ptCount val="2"/>
                <c:pt idx="0">
                  <c:v>Stefan</c:v>
                </c:pt>
                <c:pt idx="1">
                  <c:v>Källström</c:v>
                </c:pt>
              </c:strCache>
            </c:strRef>
          </c:tx>
          <c:spPr>
            <a:ln w="31750" cap="rnd">
              <a:solidFill>
                <a:schemeClr val="accent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'DS utveckling'!$D$72:$U$72</c:f>
              <c:numCache>
                <c:formatCode>General</c:formatCode>
                <c:ptCount val="18"/>
                <c:pt idx="0">
                  <c:v>0</c:v>
                </c:pt>
                <c:pt idx="1">
                  <c:v>0</c:v>
                </c:pt>
                <c:pt idx="2">
                  <c:v>1</c:v>
                </c:pt>
                <c:pt idx="3">
                  <c:v>2</c:v>
                </c:pt>
                <c:pt idx="4">
                  <c:v>3</c:v>
                </c:pt>
                <c:pt idx="5">
                  <c:v>3</c:v>
                </c:pt>
                <c:pt idx="6">
                  <c:v>3</c:v>
                </c:pt>
                <c:pt idx="7">
                  <c:v>3</c:v>
                </c:pt>
                <c:pt idx="8">
                  <c:v>4</c:v>
                </c:pt>
                <c:pt idx="9">
                  <c:v>4</c:v>
                </c:pt>
                <c:pt idx="10">
                  <c:v>5</c:v>
                </c:pt>
                <c:pt idx="11">
                  <c:v>5</c:v>
                </c:pt>
                <c:pt idx="12">
                  <c:v>6</c:v>
                </c:pt>
                <c:pt idx="13">
                  <c:v>7</c:v>
                </c:pt>
                <c:pt idx="14">
                  <c:v>8</c:v>
                </c:pt>
                <c:pt idx="15">
                  <c:v>7</c:v>
                </c:pt>
                <c:pt idx="16">
                  <c:v>8</c:v>
                </c:pt>
                <c:pt idx="17">
                  <c:v>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2E-7C32-4A4D-8CEF-61DA33D38D82}"/>
            </c:ext>
          </c:extLst>
        </c:ser>
        <c:ser>
          <c:idx val="31"/>
          <c:order val="15"/>
          <c:tx>
            <c:strRef>
              <c:f>'DS utveckling'!$B$73:$C$73</c:f>
              <c:strCache>
                <c:ptCount val="2"/>
                <c:pt idx="0">
                  <c:v>Kent</c:v>
                </c:pt>
                <c:pt idx="1">
                  <c:v>Johansson</c:v>
                </c:pt>
              </c:strCache>
            </c:strRef>
          </c:tx>
          <c:spPr>
            <a:ln w="31750" cap="rnd">
              <a:solidFill>
                <a:schemeClr val="accent2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'DS utveckling'!$D$73:$U$73</c:f>
              <c:numCache>
                <c:formatCode>General</c:formatCode>
                <c:ptCount val="18"/>
                <c:pt idx="0">
                  <c:v>0</c:v>
                </c:pt>
                <c:pt idx="1">
                  <c:v>0</c:v>
                </c:pt>
                <c:pt idx="2">
                  <c:v>1</c:v>
                </c:pt>
                <c:pt idx="3">
                  <c:v>2</c:v>
                </c:pt>
                <c:pt idx="4">
                  <c:v>2</c:v>
                </c:pt>
                <c:pt idx="5">
                  <c:v>3</c:v>
                </c:pt>
                <c:pt idx="6">
                  <c:v>4</c:v>
                </c:pt>
                <c:pt idx="7">
                  <c:v>4</c:v>
                </c:pt>
                <c:pt idx="8">
                  <c:v>5</c:v>
                </c:pt>
                <c:pt idx="9">
                  <c:v>7</c:v>
                </c:pt>
                <c:pt idx="10">
                  <c:v>8</c:v>
                </c:pt>
                <c:pt idx="11">
                  <c:v>9</c:v>
                </c:pt>
                <c:pt idx="12">
                  <c:v>10</c:v>
                </c:pt>
                <c:pt idx="13">
                  <c:v>11</c:v>
                </c:pt>
                <c:pt idx="14">
                  <c:v>11</c:v>
                </c:pt>
                <c:pt idx="15">
                  <c:v>12</c:v>
                </c:pt>
                <c:pt idx="16">
                  <c:v>13</c:v>
                </c:pt>
                <c:pt idx="17">
                  <c:v>14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2F-7C32-4A4D-8CEF-61DA33D38D82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smooth val="0"/>
        <c:axId val="1026026792"/>
        <c:axId val="1026027448"/>
        <c:extLst>
          <c:ext xmlns:c15="http://schemas.microsoft.com/office/drawing/2012/chart" uri="{02D57815-91ED-43cb-92C2-25804820EDAC}">
            <c15:filteredLineSeries>
              <c15:ser>
                <c:idx val="0"/>
                <c:order val="16"/>
                <c:tx>
                  <c:strRef>
                    <c:extLst>
                      <c:ext uri="{02D57815-91ED-43cb-92C2-25804820EDAC}">
                        <c15:formulaRef>
                          <c15:sqref>'DS utveckling'!$B$58:$C$58</c15:sqref>
                        </c15:formulaRef>
                      </c:ext>
                    </c:extLst>
                    <c:strCache>
                      <c:ptCount val="2"/>
                      <c:pt idx="0">
                        <c:v>Göran</c:v>
                      </c:pt>
                      <c:pt idx="1">
                        <c:v>Backe</c:v>
                      </c:pt>
                    </c:strCache>
                  </c:strRef>
                </c:tx>
                <c:spPr>
                  <a:ln w="31750" cap="rnd">
                    <a:solidFill>
                      <a:schemeClr val="accent1"/>
                    </a:solidFill>
                    <a:round/>
                  </a:ln>
                  <a:effectLst/>
                </c:spPr>
                <c:marker>
                  <c:symbol val="none"/>
                </c:marker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900" b="1" i="0" u="none" strike="noStrike" kern="1200" baseline="0">
                          <a:solidFill>
                            <a:schemeClr val="lt1"/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sv-SE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>
                    <c:ext uri="{CE6537A1-D6FC-4f65-9D91-7224C49458BB}">
                      <c15:showLeaderLines val="1"/>
                      <c15:leaderLines>
                        <c:spPr>
                          <a:ln w="9525">
                            <a:solidFill>
                              <a:schemeClr val="dk1">
                                <a:lumMod val="50000"/>
                                <a:lumOff val="50000"/>
                              </a:schemeClr>
                            </a:solidFill>
                          </a:ln>
                          <a:effectLst/>
                        </c:spPr>
                      </c15:leaderLines>
                    </c:ext>
                  </c:extLst>
                </c:dLbls>
                <c:val>
                  <c:numRef>
                    <c:extLst>
                      <c:ext uri="{02D57815-91ED-43cb-92C2-25804820EDAC}">
                        <c15:formulaRef>
                          <c15:sqref>'DS utveckling'!$D$58:$U$58</c15:sqref>
                        </c15:formulaRef>
                      </c:ext>
                    </c:extLst>
                    <c:numCache>
                      <c:formatCode>General</c:formatCode>
                      <c:ptCount val="18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4</c:v>
                      </c:pt>
                      <c:pt idx="6">
                        <c:v>5</c:v>
                      </c:pt>
                      <c:pt idx="7">
                        <c:v>6</c:v>
                      </c:pt>
                      <c:pt idx="8">
                        <c:v>6</c:v>
                      </c:pt>
                      <c:pt idx="9">
                        <c:v>6</c:v>
                      </c:pt>
                      <c:pt idx="10">
                        <c:v>7</c:v>
                      </c:pt>
                      <c:pt idx="11">
                        <c:v>8</c:v>
                      </c:pt>
                      <c:pt idx="12">
                        <c:v>8</c:v>
                      </c:pt>
                      <c:pt idx="13">
                        <c:v>9</c:v>
                      </c:pt>
                      <c:pt idx="14">
                        <c:v>9</c:v>
                      </c:pt>
                      <c:pt idx="15">
                        <c:v>10</c:v>
                      </c:pt>
                      <c:pt idx="16">
                        <c:v>11</c:v>
                      </c:pt>
                      <c:pt idx="17">
                        <c:v>11</c:v>
                      </c:pt>
                    </c:numCache>
                  </c:numRef>
                </c:val>
                <c:smooth val="0"/>
                <c:extLst>
                  <c:ext xmlns:c16="http://schemas.microsoft.com/office/drawing/2014/chart" uri="{C3380CC4-5D6E-409C-BE32-E72D297353CC}">
                    <c16:uniqueId val="{00000001-7C32-4A4D-8CEF-61DA33D38D82}"/>
                  </c:ext>
                </c:extLst>
              </c15:ser>
            </c15:filteredLineSeries>
            <c15:filteredLineSeries>
              <c15:ser>
                <c:idx val="1"/>
                <c:order val="17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'DS utveckling'!$B$59:$C$59</c15:sqref>
                        </c15:formulaRef>
                      </c:ext>
                    </c:extLst>
                    <c:strCache>
                      <c:ptCount val="2"/>
                      <c:pt idx="0">
                        <c:v>Micke</c:v>
                      </c:pt>
                      <c:pt idx="1">
                        <c:v>Åberg</c:v>
                      </c:pt>
                    </c:strCache>
                  </c:strRef>
                </c:tx>
                <c:spPr>
                  <a:ln w="31750" cap="rnd">
                    <a:solidFill>
                      <a:schemeClr val="accent2"/>
                    </a:solidFill>
                    <a:round/>
                  </a:ln>
                  <a:effectLst/>
                </c:spPr>
                <c:marker>
                  <c:symbol val="none"/>
                </c:marker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900" b="1" i="0" u="none" strike="noStrike" kern="1200" baseline="0">
                          <a:solidFill>
                            <a:schemeClr val="lt1"/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sv-SE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 xmlns:c15="http://schemas.microsoft.com/office/drawing/2012/chart">
                    <c:ext xmlns:c15="http://schemas.microsoft.com/office/drawing/2012/chart" uri="{CE6537A1-D6FC-4f65-9D91-7224C49458BB}">
                      <c15:showLeaderLines val="1"/>
                      <c15:leaderLines>
                        <c:spPr>
                          <a:ln w="9525">
                            <a:solidFill>
                              <a:schemeClr val="dk1">
                                <a:lumMod val="50000"/>
                                <a:lumOff val="50000"/>
                              </a:schemeClr>
                            </a:solidFill>
                          </a:ln>
                          <a:effectLst/>
                        </c:spPr>
                      </c15:leaderLines>
                    </c:ext>
                  </c:extLst>
                </c:dLbls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'DS utveckling'!$D$59:$U$59</c15:sqref>
                        </c15:formulaRef>
                      </c:ext>
                    </c:extLst>
                    <c:numCache>
                      <c:formatCode>General</c:formatCode>
                      <c:ptCount val="18"/>
                      <c:pt idx="0">
                        <c:v>0</c:v>
                      </c:pt>
                      <c:pt idx="1">
                        <c:v>0</c:v>
                      </c:pt>
                      <c:pt idx="2">
                        <c:v>1</c:v>
                      </c:pt>
                      <c:pt idx="3">
                        <c:v>2</c:v>
                      </c:pt>
                      <c:pt idx="4">
                        <c:v>3</c:v>
                      </c:pt>
                      <c:pt idx="5">
                        <c:v>3</c:v>
                      </c:pt>
                      <c:pt idx="6">
                        <c:v>3</c:v>
                      </c:pt>
                      <c:pt idx="7">
                        <c:v>3</c:v>
                      </c:pt>
                      <c:pt idx="8">
                        <c:v>4</c:v>
                      </c:pt>
                      <c:pt idx="9">
                        <c:v>5</c:v>
                      </c:pt>
                      <c:pt idx="10">
                        <c:v>6</c:v>
                      </c:pt>
                      <c:pt idx="11">
                        <c:v>6</c:v>
                      </c:pt>
                      <c:pt idx="12">
                        <c:v>6</c:v>
                      </c:pt>
                      <c:pt idx="13">
                        <c:v>7</c:v>
                      </c:pt>
                      <c:pt idx="14">
                        <c:v>8</c:v>
                      </c:pt>
                      <c:pt idx="15">
                        <c:v>7</c:v>
                      </c:pt>
                      <c:pt idx="16">
                        <c:v>8</c:v>
                      </c:pt>
                      <c:pt idx="17">
                        <c:v>8</c:v>
                      </c:pt>
                    </c:numCache>
                  </c:numRef>
                </c:val>
                <c:smooth val="0"/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3-7C32-4A4D-8CEF-61DA33D38D82}"/>
                  </c:ext>
                </c:extLst>
              </c15:ser>
            </c15:filteredLineSeries>
            <c15:filteredLineSeries>
              <c15:ser>
                <c:idx val="2"/>
                <c:order val="18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'DS utveckling'!$B$60:$C$60</c15:sqref>
                        </c15:formulaRef>
                      </c:ext>
                    </c:extLst>
                    <c:strCache>
                      <c:ptCount val="2"/>
                      <c:pt idx="0">
                        <c:v>Börje</c:v>
                      </c:pt>
                      <c:pt idx="1">
                        <c:v>Johansson</c:v>
                      </c:pt>
                    </c:strCache>
                  </c:strRef>
                </c:tx>
                <c:spPr>
                  <a:ln w="31750" cap="rnd">
                    <a:solidFill>
                      <a:schemeClr val="accent3"/>
                    </a:solidFill>
                    <a:round/>
                  </a:ln>
                  <a:effectLst/>
                </c:spPr>
                <c:marker>
                  <c:symbol val="none"/>
                </c:marker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900" b="1" i="0" u="none" strike="noStrike" kern="1200" baseline="0">
                          <a:solidFill>
                            <a:schemeClr val="lt1"/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sv-SE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 xmlns:c15="http://schemas.microsoft.com/office/drawing/2012/chart">
                    <c:ext xmlns:c15="http://schemas.microsoft.com/office/drawing/2012/chart" uri="{CE6537A1-D6FC-4f65-9D91-7224C49458BB}">
                      <c15:showLeaderLines val="1"/>
                      <c15:leaderLines>
                        <c:spPr>
                          <a:ln w="9525">
                            <a:solidFill>
                              <a:schemeClr val="dk1">
                                <a:lumMod val="50000"/>
                                <a:lumOff val="50000"/>
                              </a:schemeClr>
                            </a:solidFill>
                          </a:ln>
                          <a:effectLst/>
                        </c:spPr>
                      </c15:leaderLines>
                    </c:ext>
                  </c:extLst>
                </c:dLbls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'DS utveckling'!$D$60:$U$60</c15:sqref>
                        </c15:formulaRef>
                      </c:ext>
                    </c:extLst>
                    <c:numCache>
                      <c:formatCode>General</c:formatCode>
                      <c:ptCount val="18"/>
                      <c:pt idx="0">
                        <c:v>0</c:v>
                      </c:pt>
                      <c:pt idx="1">
                        <c:v>0</c:v>
                      </c:pt>
                      <c:pt idx="2">
                        <c:v>0</c:v>
                      </c:pt>
                      <c:pt idx="3">
                        <c:v>1</c:v>
                      </c:pt>
                      <c:pt idx="4">
                        <c:v>1</c:v>
                      </c:pt>
                      <c:pt idx="5">
                        <c:v>2</c:v>
                      </c:pt>
                      <c:pt idx="6">
                        <c:v>3</c:v>
                      </c:pt>
                      <c:pt idx="7">
                        <c:v>3</c:v>
                      </c:pt>
                      <c:pt idx="8">
                        <c:v>4</c:v>
                      </c:pt>
                      <c:pt idx="9">
                        <c:v>3</c:v>
                      </c:pt>
                      <c:pt idx="10">
                        <c:v>3</c:v>
                      </c:pt>
                      <c:pt idx="11">
                        <c:v>3</c:v>
                      </c:pt>
                      <c:pt idx="12">
                        <c:v>3</c:v>
                      </c:pt>
                      <c:pt idx="13">
                        <c:v>4</c:v>
                      </c:pt>
                      <c:pt idx="14">
                        <c:v>3</c:v>
                      </c:pt>
                      <c:pt idx="15">
                        <c:v>4</c:v>
                      </c:pt>
                      <c:pt idx="16">
                        <c:v>4</c:v>
                      </c:pt>
                      <c:pt idx="17">
                        <c:v>4</c:v>
                      </c:pt>
                    </c:numCache>
                  </c:numRef>
                </c:val>
                <c:smooth val="0"/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5-7C32-4A4D-8CEF-61DA33D38D82}"/>
                  </c:ext>
                </c:extLst>
              </c15:ser>
            </c15:filteredLineSeries>
            <c15:filteredLineSeries>
              <c15:ser>
                <c:idx val="3"/>
                <c:order val="19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'DS utveckling'!$B$61:$C$61</c15:sqref>
                        </c15:formulaRef>
                      </c:ext>
                    </c:extLst>
                    <c:strCache>
                      <c:ptCount val="2"/>
                      <c:pt idx="0">
                        <c:v>Jörgen</c:v>
                      </c:pt>
                      <c:pt idx="1">
                        <c:v>Simonsson</c:v>
                      </c:pt>
                    </c:strCache>
                  </c:strRef>
                </c:tx>
                <c:spPr>
                  <a:ln w="31750" cap="rnd">
                    <a:solidFill>
                      <a:schemeClr val="accent4"/>
                    </a:solidFill>
                    <a:round/>
                  </a:ln>
                  <a:effectLst/>
                </c:spPr>
                <c:marker>
                  <c:symbol val="none"/>
                </c:marker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900" b="1" i="0" u="none" strike="noStrike" kern="1200" baseline="0">
                          <a:solidFill>
                            <a:schemeClr val="lt1"/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sv-SE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 xmlns:c15="http://schemas.microsoft.com/office/drawing/2012/chart">
                    <c:ext xmlns:c15="http://schemas.microsoft.com/office/drawing/2012/chart" uri="{CE6537A1-D6FC-4f65-9D91-7224C49458BB}">
                      <c15:showLeaderLines val="1"/>
                      <c15:leaderLines>
                        <c:spPr>
                          <a:ln w="9525">
                            <a:solidFill>
                              <a:schemeClr val="dk1">
                                <a:lumMod val="50000"/>
                                <a:lumOff val="50000"/>
                              </a:schemeClr>
                            </a:solidFill>
                          </a:ln>
                          <a:effectLst/>
                        </c:spPr>
                      </c15:leaderLines>
                    </c:ext>
                  </c:extLst>
                </c:dLbls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'DS utveckling'!$D$61:$U$61</c15:sqref>
                        </c15:formulaRef>
                      </c:ext>
                    </c:extLst>
                    <c:numCache>
                      <c:formatCode>General</c:formatCode>
                      <c:ptCount val="18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2</c:v>
                      </c:pt>
                      <c:pt idx="4">
                        <c:v>2</c:v>
                      </c:pt>
                      <c:pt idx="5">
                        <c:v>3</c:v>
                      </c:pt>
                      <c:pt idx="6">
                        <c:v>4</c:v>
                      </c:pt>
                      <c:pt idx="7">
                        <c:v>4</c:v>
                      </c:pt>
                      <c:pt idx="8">
                        <c:v>5</c:v>
                      </c:pt>
                      <c:pt idx="9">
                        <c:v>6</c:v>
                      </c:pt>
                      <c:pt idx="10">
                        <c:v>7</c:v>
                      </c:pt>
                      <c:pt idx="11">
                        <c:v>7</c:v>
                      </c:pt>
                      <c:pt idx="12">
                        <c:v>7</c:v>
                      </c:pt>
                      <c:pt idx="13">
                        <c:v>8</c:v>
                      </c:pt>
                      <c:pt idx="14">
                        <c:v>9</c:v>
                      </c:pt>
                      <c:pt idx="15">
                        <c:v>10</c:v>
                      </c:pt>
                      <c:pt idx="16">
                        <c:v>10</c:v>
                      </c:pt>
                      <c:pt idx="17">
                        <c:v>11</c:v>
                      </c:pt>
                    </c:numCache>
                  </c:numRef>
                </c:val>
                <c:smooth val="0"/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7-7C32-4A4D-8CEF-61DA33D38D82}"/>
                  </c:ext>
                </c:extLst>
              </c15:ser>
            </c15:filteredLineSeries>
            <c15:filteredLineSeries>
              <c15:ser>
                <c:idx val="4"/>
                <c:order val="20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'DS utveckling'!$B$62:$C$62</c15:sqref>
                        </c15:formulaRef>
                      </c:ext>
                    </c:extLst>
                    <c:strCache>
                      <c:ptCount val="2"/>
                      <c:pt idx="0">
                        <c:v>Claes</c:v>
                      </c:pt>
                      <c:pt idx="1">
                        <c:v>Svensson</c:v>
                      </c:pt>
                    </c:strCache>
                  </c:strRef>
                </c:tx>
                <c:spPr>
                  <a:ln w="31750" cap="rnd">
                    <a:solidFill>
                      <a:schemeClr val="accent5"/>
                    </a:solidFill>
                    <a:round/>
                  </a:ln>
                  <a:effectLst/>
                </c:spPr>
                <c:marker>
                  <c:symbol val="none"/>
                </c:marker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900" b="1" i="0" u="none" strike="noStrike" kern="1200" baseline="0">
                          <a:solidFill>
                            <a:schemeClr val="lt1"/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sv-SE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 xmlns:c15="http://schemas.microsoft.com/office/drawing/2012/chart">
                    <c:ext xmlns:c15="http://schemas.microsoft.com/office/drawing/2012/chart" uri="{CE6537A1-D6FC-4f65-9D91-7224C49458BB}">
                      <c15:showLeaderLines val="1"/>
                      <c15:leaderLines>
                        <c:spPr>
                          <a:ln w="9525">
                            <a:solidFill>
                              <a:schemeClr val="dk1">
                                <a:lumMod val="50000"/>
                                <a:lumOff val="50000"/>
                              </a:schemeClr>
                            </a:solidFill>
                          </a:ln>
                          <a:effectLst/>
                        </c:spPr>
                      </c15:leaderLines>
                    </c:ext>
                  </c:extLst>
                </c:dLbls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'DS utveckling'!$D$62:$U$62</c15:sqref>
                        </c15:formulaRef>
                      </c:ext>
                    </c:extLst>
                    <c:numCache>
                      <c:formatCode>General</c:formatCode>
                      <c:ptCount val="18"/>
                      <c:pt idx="0">
                        <c:v>1</c:v>
                      </c:pt>
                      <c:pt idx="1">
                        <c:v>3</c:v>
                      </c:pt>
                      <c:pt idx="2">
                        <c:v>5</c:v>
                      </c:pt>
                      <c:pt idx="3">
                        <c:v>6</c:v>
                      </c:pt>
                      <c:pt idx="4">
                        <c:v>7</c:v>
                      </c:pt>
                      <c:pt idx="5">
                        <c:v>9</c:v>
                      </c:pt>
                      <c:pt idx="6">
                        <c:v>11</c:v>
                      </c:pt>
                      <c:pt idx="7">
                        <c:v>12</c:v>
                      </c:pt>
                      <c:pt idx="8">
                        <c:v>14</c:v>
                      </c:pt>
                      <c:pt idx="9">
                        <c:v>15</c:v>
                      </c:pt>
                      <c:pt idx="10">
                        <c:v>18</c:v>
                      </c:pt>
                      <c:pt idx="11">
                        <c:v>18</c:v>
                      </c:pt>
                      <c:pt idx="12">
                        <c:v>20</c:v>
                      </c:pt>
                      <c:pt idx="13">
                        <c:v>21</c:v>
                      </c:pt>
                      <c:pt idx="14">
                        <c:v>23</c:v>
                      </c:pt>
                      <c:pt idx="15">
                        <c:v>26</c:v>
                      </c:pt>
                      <c:pt idx="16">
                        <c:v>27</c:v>
                      </c:pt>
                      <c:pt idx="17">
                        <c:v>28</c:v>
                      </c:pt>
                    </c:numCache>
                  </c:numRef>
                </c:val>
                <c:smooth val="0"/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9-7C32-4A4D-8CEF-61DA33D38D82}"/>
                  </c:ext>
                </c:extLst>
              </c15:ser>
            </c15:filteredLineSeries>
            <c15:filteredLineSeries>
              <c15:ser>
                <c:idx val="5"/>
                <c:order val="21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'DS utveckling'!$B$63:$C$63</c15:sqref>
                        </c15:formulaRef>
                      </c:ext>
                    </c:extLst>
                    <c:strCache>
                      <c:ptCount val="2"/>
                      <c:pt idx="0">
                        <c:v>Lalle</c:v>
                      </c:pt>
                      <c:pt idx="1">
                        <c:v>Johansson</c:v>
                      </c:pt>
                    </c:strCache>
                  </c:strRef>
                </c:tx>
                <c:spPr>
                  <a:ln w="31750" cap="rnd">
                    <a:solidFill>
                      <a:schemeClr val="accent6"/>
                    </a:solidFill>
                    <a:round/>
                  </a:ln>
                  <a:effectLst/>
                </c:spPr>
                <c:marker>
                  <c:symbol val="none"/>
                </c:marker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900" b="1" i="0" u="none" strike="noStrike" kern="1200" baseline="0">
                          <a:solidFill>
                            <a:schemeClr val="lt1"/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sv-SE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 xmlns:c15="http://schemas.microsoft.com/office/drawing/2012/chart">
                    <c:ext xmlns:c15="http://schemas.microsoft.com/office/drawing/2012/chart" uri="{CE6537A1-D6FC-4f65-9D91-7224C49458BB}">
                      <c15:showLeaderLines val="1"/>
                      <c15:leaderLines>
                        <c:spPr>
                          <a:ln w="9525">
                            <a:solidFill>
                              <a:schemeClr val="dk1">
                                <a:lumMod val="50000"/>
                                <a:lumOff val="50000"/>
                              </a:schemeClr>
                            </a:solidFill>
                          </a:ln>
                          <a:effectLst/>
                        </c:spPr>
                      </c15:leaderLines>
                    </c:ext>
                  </c:extLst>
                </c:dLbls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'DS utveckling'!$D$63:$U$63</c15:sqref>
                        </c15:formulaRef>
                      </c:ext>
                    </c:extLst>
                    <c:numCache>
                      <c:formatCode>General</c:formatCode>
                      <c:ptCount val="18"/>
                      <c:pt idx="0">
                        <c:v>1</c:v>
                      </c:pt>
                      <c:pt idx="1">
                        <c:v>2</c:v>
                      </c:pt>
                      <c:pt idx="2">
                        <c:v>3</c:v>
                      </c:pt>
                      <c:pt idx="3">
                        <c:v>4</c:v>
                      </c:pt>
                      <c:pt idx="4">
                        <c:v>5</c:v>
                      </c:pt>
                      <c:pt idx="5">
                        <c:v>6</c:v>
                      </c:pt>
                      <c:pt idx="6">
                        <c:v>7</c:v>
                      </c:pt>
                      <c:pt idx="7">
                        <c:v>8</c:v>
                      </c:pt>
                      <c:pt idx="8">
                        <c:v>9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12</c:v>
                      </c:pt>
                      <c:pt idx="14">
                        <c:v>13</c:v>
                      </c:pt>
                      <c:pt idx="15">
                        <c:v>14</c:v>
                      </c:pt>
                      <c:pt idx="16">
                        <c:v>16</c:v>
                      </c:pt>
                      <c:pt idx="17">
                        <c:v>16</c:v>
                      </c:pt>
                    </c:numCache>
                  </c:numRef>
                </c:val>
                <c:smooth val="0"/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B-7C32-4A4D-8CEF-61DA33D38D82}"/>
                  </c:ext>
                </c:extLst>
              </c15:ser>
            </c15:filteredLineSeries>
            <c15:filteredLineSeries>
              <c15:ser>
                <c:idx val="6"/>
                <c:order val="22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'DS utveckling'!$B$64:$C$64</c15:sqref>
                        </c15:formulaRef>
                      </c:ext>
                    </c:extLst>
                    <c:strCache>
                      <c:ptCount val="2"/>
                      <c:pt idx="0">
                        <c:v>Peter</c:v>
                      </c:pt>
                      <c:pt idx="1">
                        <c:v>Nilsson</c:v>
                      </c:pt>
                    </c:strCache>
                  </c:strRef>
                </c:tx>
                <c:spPr>
                  <a:ln w="31750" cap="rnd">
                    <a:solidFill>
                      <a:schemeClr val="accent1">
                        <a:lumMod val="60000"/>
                      </a:schemeClr>
                    </a:solidFill>
                    <a:round/>
                  </a:ln>
                  <a:effectLst/>
                </c:spPr>
                <c:marker>
                  <c:symbol val="none"/>
                </c:marker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900" b="1" i="0" u="none" strike="noStrike" kern="1200" baseline="0">
                          <a:solidFill>
                            <a:schemeClr val="lt1"/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sv-SE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 xmlns:c15="http://schemas.microsoft.com/office/drawing/2012/chart">
                    <c:ext xmlns:c15="http://schemas.microsoft.com/office/drawing/2012/chart" uri="{CE6537A1-D6FC-4f65-9D91-7224C49458BB}">
                      <c15:showLeaderLines val="1"/>
                      <c15:leaderLines>
                        <c:spPr>
                          <a:ln w="9525">
                            <a:solidFill>
                              <a:schemeClr val="dk1">
                                <a:lumMod val="50000"/>
                                <a:lumOff val="50000"/>
                              </a:schemeClr>
                            </a:solidFill>
                          </a:ln>
                          <a:effectLst/>
                        </c:spPr>
                      </c15:leaderLines>
                    </c:ext>
                  </c:extLst>
                </c:dLbls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'DS utveckling'!$D$64:$U$64</c15:sqref>
                        </c15:formulaRef>
                      </c:ext>
                    </c:extLst>
                    <c:numCache>
                      <c:formatCode>General</c:formatCode>
                      <c:ptCount val="18"/>
                      <c:pt idx="0">
                        <c:v>1</c:v>
                      </c:pt>
                      <c:pt idx="1">
                        <c:v>1</c:v>
                      </c:pt>
                      <c:pt idx="2">
                        <c:v>1</c:v>
                      </c:pt>
                      <c:pt idx="3">
                        <c:v>1</c:v>
                      </c:pt>
                      <c:pt idx="4">
                        <c:v>1</c:v>
                      </c:pt>
                      <c:pt idx="5">
                        <c:v>1</c:v>
                      </c:pt>
                      <c:pt idx="6">
                        <c:v>1</c:v>
                      </c:pt>
                      <c:pt idx="7">
                        <c:v>1</c:v>
                      </c:pt>
                      <c:pt idx="8">
                        <c:v>1</c:v>
                      </c:pt>
                      <c:pt idx="9">
                        <c:v>1</c:v>
                      </c:pt>
                      <c:pt idx="10">
                        <c:v>1</c:v>
                      </c:pt>
                      <c:pt idx="11">
                        <c:v>2</c:v>
                      </c:pt>
                      <c:pt idx="12">
                        <c:v>2</c:v>
                      </c:pt>
                      <c:pt idx="13">
                        <c:v>3</c:v>
                      </c:pt>
                      <c:pt idx="14">
                        <c:v>4</c:v>
                      </c:pt>
                      <c:pt idx="15">
                        <c:v>5</c:v>
                      </c:pt>
                      <c:pt idx="16">
                        <c:v>5</c:v>
                      </c:pt>
                      <c:pt idx="17">
                        <c:v>6</c:v>
                      </c:pt>
                    </c:numCache>
                  </c:numRef>
                </c:val>
                <c:smooth val="0"/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D-7C32-4A4D-8CEF-61DA33D38D82}"/>
                  </c:ext>
                </c:extLst>
              </c15:ser>
            </c15:filteredLineSeries>
            <c15:filteredLineSeries>
              <c15:ser>
                <c:idx val="7"/>
                <c:order val="23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'DS utveckling'!$B$65:$C$65</c15:sqref>
                        </c15:formulaRef>
                      </c:ext>
                    </c:extLst>
                    <c:strCache>
                      <c:ptCount val="2"/>
                      <c:pt idx="0">
                        <c:v>Magnus</c:v>
                      </c:pt>
                      <c:pt idx="1">
                        <c:v>Bengtsson</c:v>
                      </c:pt>
                    </c:strCache>
                  </c:strRef>
                </c:tx>
                <c:spPr>
                  <a:ln w="31750" cap="rnd">
                    <a:solidFill>
                      <a:schemeClr val="accent2">
                        <a:lumMod val="60000"/>
                      </a:schemeClr>
                    </a:solidFill>
                    <a:round/>
                  </a:ln>
                  <a:effectLst/>
                </c:spPr>
                <c:marker>
                  <c:symbol val="none"/>
                </c:marker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900" b="1" i="0" u="none" strike="noStrike" kern="1200" baseline="0">
                          <a:solidFill>
                            <a:schemeClr val="lt1"/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sv-SE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 xmlns:c15="http://schemas.microsoft.com/office/drawing/2012/chart">
                    <c:ext xmlns:c15="http://schemas.microsoft.com/office/drawing/2012/chart" uri="{CE6537A1-D6FC-4f65-9D91-7224C49458BB}">
                      <c15:showLeaderLines val="1"/>
                      <c15:leaderLines>
                        <c:spPr>
                          <a:ln w="9525">
                            <a:solidFill>
                              <a:schemeClr val="dk1">
                                <a:lumMod val="50000"/>
                                <a:lumOff val="50000"/>
                              </a:schemeClr>
                            </a:solidFill>
                          </a:ln>
                          <a:effectLst/>
                        </c:spPr>
                      </c15:leaderLines>
                    </c:ext>
                  </c:extLst>
                </c:dLbls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'DS utveckling'!$D$65:$U$65</c15:sqref>
                        </c15:formulaRef>
                      </c:ext>
                    </c:extLst>
                    <c:numCache>
                      <c:formatCode>General</c:formatCode>
                      <c:ptCount val="18"/>
                      <c:pt idx="0">
                        <c:v>3</c:v>
                      </c:pt>
                      <c:pt idx="1">
                        <c:v>4</c:v>
                      </c:pt>
                      <c:pt idx="2">
                        <c:v>6</c:v>
                      </c:pt>
                      <c:pt idx="3">
                        <c:v>8</c:v>
                      </c:pt>
                      <c:pt idx="4">
                        <c:v>9</c:v>
                      </c:pt>
                      <c:pt idx="5">
                        <c:v>10</c:v>
                      </c:pt>
                      <c:pt idx="6">
                        <c:v>12</c:v>
                      </c:pt>
                      <c:pt idx="7">
                        <c:v>12</c:v>
                      </c:pt>
                      <c:pt idx="8">
                        <c:v>13</c:v>
                      </c:pt>
                      <c:pt idx="9">
                        <c:v>14</c:v>
                      </c:pt>
                      <c:pt idx="10">
                        <c:v>16</c:v>
                      </c:pt>
                      <c:pt idx="11">
                        <c:v>18</c:v>
                      </c:pt>
                      <c:pt idx="12">
                        <c:v>23</c:v>
                      </c:pt>
                      <c:pt idx="13">
                        <c:v>25</c:v>
                      </c:pt>
                      <c:pt idx="14">
                        <c:v>27</c:v>
                      </c:pt>
                      <c:pt idx="15">
                        <c:v>29</c:v>
                      </c:pt>
                      <c:pt idx="16">
                        <c:v>34</c:v>
                      </c:pt>
                      <c:pt idx="17">
                        <c:v>35</c:v>
                      </c:pt>
                    </c:numCache>
                  </c:numRef>
                </c:val>
                <c:smooth val="0"/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F-7C32-4A4D-8CEF-61DA33D38D82}"/>
                  </c:ext>
                </c:extLst>
              </c15:ser>
            </c15:filteredLineSeries>
            <c15:filteredLineSeries>
              <c15:ser>
                <c:idx val="8"/>
                <c:order val="24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'DS utveckling'!$B$66:$C$66</c15:sqref>
                        </c15:formulaRef>
                      </c:ext>
                    </c:extLst>
                    <c:strCache>
                      <c:ptCount val="2"/>
                      <c:pt idx="0">
                        <c:v>Thomas</c:v>
                      </c:pt>
                      <c:pt idx="1">
                        <c:v>Larsson</c:v>
                      </c:pt>
                    </c:strCache>
                  </c:strRef>
                </c:tx>
                <c:spPr>
                  <a:ln w="31750" cap="rnd">
                    <a:solidFill>
                      <a:schemeClr val="accent3">
                        <a:lumMod val="60000"/>
                      </a:schemeClr>
                    </a:solidFill>
                    <a:round/>
                  </a:ln>
                  <a:effectLst/>
                </c:spPr>
                <c:marker>
                  <c:symbol val="none"/>
                </c:marker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900" b="1" i="0" u="none" strike="noStrike" kern="1200" baseline="0">
                          <a:solidFill>
                            <a:schemeClr val="lt1"/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sv-SE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 xmlns:c15="http://schemas.microsoft.com/office/drawing/2012/chart">
                    <c:ext xmlns:c15="http://schemas.microsoft.com/office/drawing/2012/chart" uri="{CE6537A1-D6FC-4f65-9D91-7224C49458BB}">
                      <c15:showLeaderLines val="1"/>
                      <c15:leaderLines>
                        <c:spPr>
                          <a:ln w="9525">
                            <a:solidFill>
                              <a:schemeClr val="dk1">
                                <a:lumMod val="50000"/>
                                <a:lumOff val="50000"/>
                              </a:schemeClr>
                            </a:solidFill>
                          </a:ln>
                          <a:effectLst/>
                        </c:spPr>
                      </c15:leaderLines>
                    </c:ext>
                  </c:extLst>
                </c:dLbls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'DS utveckling'!$D$66:$U$66</c15:sqref>
                        </c15:formulaRef>
                      </c:ext>
                    </c:extLst>
                    <c:numCache>
                      <c:formatCode>General</c:formatCode>
                      <c:ptCount val="18"/>
                      <c:pt idx="0">
                        <c:v>1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6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9</c:v>
                      </c:pt>
                      <c:pt idx="11">
                        <c:v>10</c:v>
                      </c:pt>
                      <c:pt idx="12">
                        <c:v>11</c:v>
                      </c:pt>
                      <c:pt idx="13">
                        <c:v>11</c:v>
                      </c:pt>
                      <c:pt idx="14">
                        <c:v>12</c:v>
                      </c:pt>
                      <c:pt idx="15">
                        <c:v>14</c:v>
                      </c:pt>
                      <c:pt idx="16">
                        <c:v>15</c:v>
                      </c:pt>
                      <c:pt idx="17">
                        <c:v>16</c:v>
                      </c:pt>
                    </c:numCache>
                  </c:numRef>
                </c:val>
                <c:smooth val="0"/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11-7C32-4A4D-8CEF-61DA33D38D82}"/>
                  </c:ext>
                </c:extLst>
              </c15:ser>
            </c15:filteredLineSeries>
            <c15:filteredLineSeries>
              <c15:ser>
                <c:idx val="9"/>
                <c:order val="25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'DS utveckling'!$B$67:$C$67</c15:sqref>
                        </c15:formulaRef>
                      </c:ext>
                    </c:extLst>
                    <c:strCache>
                      <c:ptCount val="2"/>
                      <c:pt idx="0">
                        <c:v>Jörgen</c:v>
                      </c:pt>
                      <c:pt idx="1">
                        <c:v>Stranddahl</c:v>
                      </c:pt>
                    </c:strCache>
                  </c:strRef>
                </c:tx>
                <c:spPr>
                  <a:ln w="31750" cap="rnd">
                    <a:solidFill>
                      <a:schemeClr val="accent4">
                        <a:lumMod val="60000"/>
                      </a:schemeClr>
                    </a:solidFill>
                    <a:round/>
                  </a:ln>
                  <a:effectLst/>
                </c:spPr>
                <c:marker>
                  <c:symbol val="none"/>
                </c:marker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900" b="1" i="0" u="none" strike="noStrike" kern="1200" baseline="0">
                          <a:solidFill>
                            <a:schemeClr val="lt1"/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sv-SE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 xmlns:c15="http://schemas.microsoft.com/office/drawing/2012/chart">
                    <c:ext xmlns:c15="http://schemas.microsoft.com/office/drawing/2012/chart" uri="{CE6537A1-D6FC-4f65-9D91-7224C49458BB}">
                      <c15:showLeaderLines val="1"/>
                      <c15:leaderLines>
                        <c:spPr>
                          <a:ln w="9525">
                            <a:solidFill>
                              <a:schemeClr val="dk1">
                                <a:lumMod val="50000"/>
                                <a:lumOff val="50000"/>
                              </a:schemeClr>
                            </a:solidFill>
                          </a:ln>
                          <a:effectLst/>
                        </c:spPr>
                      </c15:leaderLines>
                    </c:ext>
                  </c:extLst>
                </c:dLbls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'DS utveckling'!$D$67:$U$67</c15:sqref>
                        </c15:formulaRef>
                      </c:ext>
                    </c:extLst>
                    <c:numCache>
                      <c:formatCode>General</c:formatCode>
                      <c:ptCount val="18"/>
                      <c:pt idx="0">
                        <c:v>1</c:v>
                      </c:pt>
                      <c:pt idx="1">
                        <c:v>1</c:v>
                      </c:pt>
                      <c:pt idx="2">
                        <c:v>4</c:v>
                      </c:pt>
                      <c:pt idx="3">
                        <c:v>5</c:v>
                      </c:pt>
                      <c:pt idx="4">
                        <c:v>5</c:v>
                      </c:pt>
                      <c:pt idx="5">
                        <c:v>6</c:v>
                      </c:pt>
                      <c:pt idx="6">
                        <c:v>6</c:v>
                      </c:pt>
                      <c:pt idx="7">
                        <c:v>8</c:v>
                      </c:pt>
                      <c:pt idx="8">
                        <c:v>9</c:v>
                      </c:pt>
                      <c:pt idx="9">
                        <c:v>11</c:v>
                      </c:pt>
                      <c:pt idx="10">
                        <c:v>11</c:v>
                      </c:pt>
                      <c:pt idx="11">
                        <c:v>13</c:v>
                      </c:pt>
                      <c:pt idx="12">
                        <c:v>14</c:v>
                      </c:pt>
                      <c:pt idx="13">
                        <c:v>15</c:v>
                      </c:pt>
                      <c:pt idx="14">
                        <c:v>15</c:v>
                      </c:pt>
                      <c:pt idx="15">
                        <c:v>17</c:v>
                      </c:pt>
                      <c:pt idx="16">
                        <c:v>18</c:v>
                      </c:pt>
                      <c:pt idx="17">
                        <c:v>19</c:v>
                      </c:pt>
                    </c:numCache>
                  </c:numRef>
                </c:val>
                <c:smooth val="0"/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13-7C32-4A4D-8CEF-61DA33D38D82}"/>
                  </c:ext>
                </c:extLst>
              </c15:ser>
            </c15:filteredLineSeries>
            <c15:filteredLineSeries>
              <c15:ser>
                <c:idx val="10"/>
                <c:order val="26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Blad1!#REF!</c15:sqref>
                        </c15:formulaRef>
                      </c:ext>
                    </c:extLst>
                    <c:strCache>
                      <c:ptCount val="1"/>
                      <c:pt idx="0">
                        <c:v>#REF!</c:v>
                      </c:pt>
                    </c:strCache>
                  </c:strRef>
                </c:tx>
                <c:spPr>
                  <a:ln w="31750" cap="rnd">
                    <a:solidFill>
                      <a:schemeClr val="accent5">
                        <a:lumMod val="60000"/>
                      </a:schemeClr>
                    </a:solidFill>
                    <a:round/>
                  </a:ln>
                  <a:effectLst/>
                </c:spPr>
                <c:marker>
                  <c:symbol val="none"/>
                </c:marker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900" b="1" i="0" u="none" strike="noStrike" kern="1200" baseline="0">
                          <a:solidFill>
                            <a:schemeClr val="lt1"/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sv-SE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 xmlns:c15="http://schemas.microsoft.com/office/drawing/2012/chart">
                    <c:ext xmlns:c15="http://schemas.microsoft.com/office/drawing/2012/chart" uri="{CE6537A1-D6FC-4f65-9D91-7224C49458BB}">
                      <c15:showLeaderLines val="1"/>
                      <c15:leaderLines>
                        <c:spPr>
                          <a:ln w="9525">
                            <a:solidFill>
                              <a:schemeClr val="dk1">
                                <a:lumMod val="50000"/>
                                <a:lumOff val="50000"/>
                              </a:schemeClr>
                            </a:solidFill>
                          </a:ln>
                          <a:effectLst/>
                        </c:spPr>
                      </c15:leaderLines>
                    </c:ext>
                  </c:extLst>
                </c:dLbls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Blad1!#REF!</c15:sqref>
                        </c15:formulaRef>
                      </c:ext>
                    </c:extLst>
                    <c:numCache>
                      <c:formatCode>General</c:formatCode>
                      <c:ptCount val="1"/>
                      <c:pt idx="0">
                        <c:v>1</c:v>
                      </c:pt>
                    </c:numCache>
                  </c:numRef>
                </c:val>
                <c:smooth val="0"/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15-7C32-4A4D-8CEF-61DA33D38D82}"/>
                  </c:ext>
                </c:extLst>
              </c15:ser>
            </c15:filteredLineSeries>
            <c15:filteredLineSeries>
              <c15:ser>
                <c:idx val="11"/>
                <c:order val="27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'DS utveckling'!$B$68:$C$68</c15:sqref>
                        </c15:formulaRef>
                      </c:ext>
                    </c:extLst>
                    <c:strCache>
                      <c:ptCount val="2"/>
                      <c:pt idx="0">
                        <c:v>Stefan</c:v>
                      </c:pt>
                      <c:pt idx="1">
                        <c:v>Thorvaldsson</c:v>
                      </c:pt>
                    </c:strCache>
                  </c:strRef>
                </c:tx>
                <c:spPr>
                  <a:ln w="31750" cap="rnd">
                    <a:solidFill>
                      <a:schemeClr val="accent6">
                        <a:lumMod val="60000"/>
                      </a:schemeClr>
                    </a:solidFill>
                    <a:round/>
                  </a:ln>
                  <a:effectLst/>
                </c:spPr>
                <c:marker>
                  <c:symbol val="none"/>
                </c:marker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900" b="1" i="0" u="none" strike="noStrike" kern="1200" baseline="0">
                          <a:solidFill>
                            <a:schemeClr val="lt1"/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sv-SE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 xmlns:c15="http://schemas.microsoft.com/office/drawing/2012/chart">
                    <c:ext xmlns:c15="http://schemas.microsoft.com/office/drawing/2012/chart" uri="{CE6537A1-D6FC-4f65-9D91-7224C49458BB}">
                      <c15:showLeaderLines val="1"/>
                      <c15:leaderLines>
                        <c:spPr>
                          <a:ln w="9525">
                            <a:solidFill>
                              <a:schemeClr val="dk1">
                                <a:lumMod val="50000"/>
                                <a:lumOff val="50000"/>
                              </a:schemeClr>
                            </a:solidFill>
                          </a:ln>
                          <a:effectLst/>
                        </c:spPr>
                      </c15:leaderLines>
                    </c:ext>
                  </c:extLst>
                </c:dLbls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'DS utveckling'!$D$68:$U$68</c15:sqref>
                        </c15:formulaRef>
                      </c:ext>
                    </c:extLst>
                    <c:numCache>
                      <c:formatCode>General</c:formatCode>
                      <c:ptCount val="18"/>
                      <c:pt idx="0">
                        <c:v>0</c:v>
                      </c:pt>
                      <c:pt idx="1">
                        <c:v>-1</c:v>
                      </c:pt>
                      <c:pt idx="2">
                        <c:v>-1</c:v>
                      </c:pt>
                      <c:pt idx="3">
                        <c:v>-1</c:v>
                      </c:pt>
                      <c:pt idx="4">
                        <c:v>-1</c:v>
                      </c:pt>
                      <c:pt idx="5">
                        <c:v>-2</c:v>
                      </c:pt>
                      <c:pt idx="6">
                        <c:v>-2</c:v>
                      </c:pt>
                      <c:pt idx="7">
                        <c:v>-3</c:v>
                      </c:pt>
                      <c:pt idx="8">
                        <c:v>-3</c:v>
                      </c:pt>
                      <c:pt idx="9">
                        <c:v>-3</c:v>
                      </c:pt>
                      <c:pt idx="10">
                        <c:v>-3</c:v>
                      </c:pt>
                      <c:pt idx="11">
                        <c:v>-3</c:v>
                      </c:pt>
                      <c:pt idx="12">
                        <c:v>-3</c:v>
                      </c:pt>
                      <c:pt idx="13">
                        <c:v>-3</c:v>
                      </c:pt>
                      <c:pt idx="14">
                        <c:v>-3</c:v>
                      </c:pt>
                      <c:pt idx="15">
                        <c:v>-4</c:v>
                      </c:pt>
                      <c:pt idx="16">
                        <c:v>-4</c:v>
                      </c:pt>
                      <c:pt idx="17">
                        <c:v>-3</c:v>
                      </c:pt>
                    </c:numCache>
                  </c:numRef>
                </c:val>
                <c:smooth val="0"/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17-7C32-4A4D-8CEF-61DA33D38D82}"/>
                  </c:ext>
                </c:extLst>
              </c15:ser>
            </c15:filteredLineSeries>
            <c15:filteredLineSeries>
              <c15:ser>
                <c:idx val="12"/>
                <c:order val="28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'DS utveckling'!$B$69:$C$69</c15:sqref>
                        </c15:formulaRef>
                      </c:ext>
                    </c:extLst>
                    <c:strCache>
                      <c:ptCount val="2"/>
                      <c:pt idx="0">
                        <c:v>Jocke</c:v>
                      </c:pt>
                      <c:pt idx="1">
                        <c:v>Söder</c:v>
                      </c:pt>
                    </c:strCache>
                  </c:strRef>
                </c:tx>
                <c:spPr>
                  <a:ln w="31750" cap="rnd">
                    <a:solidFill>
                      <a:schemeClr val="accent1">
                        <a:lumMod val="80000"/>
                        <a:lumOff val="20000"/>
                      </a:schemeClr>
                    </a:solidFill>
                    <a:round/>
                  </a:ln>
                  <a:effectLst/>
                </c:spPr>
                <c:marker>
                  <c:symbol val="none"/>
                </c:marker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900" b="1" i="0" u="none" strike="noStrike" kern="1200" baseline="0">
                          <a:solidFill>
                            <a:schemeClr val="lt1"/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sv-SE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 xmlns:c15="http://schemas.microsoft.com/office/drawing/2012/chart">
                    <c:ext xmlns:c15="http://schemas.microsoft.com/office/drawing/2012/chart" uri="{CE6537A1-D6FC-4f65-9D91-7224C49458BB}">
                      <c15:showLeaderLines val="1"/>
                      <c15:leaderLines>
                        <c:spPr>
                          <a:ln w="9525">
                            <a:solidFill>
                              <a:schemeClr val="dk1">
                                <a:lumMod val="50000"/>
                                <a:lumOff val="50000"/>
                              </a:schemeClr>
                            </a:solidFill>
                          </a:ln>
                          <a:effectLst/>
                        </c:spPr>
                      </c15:leaderLines>
                    </c:ext>
                  </c:extLst>
                </c:dLbls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'DS utveckling'!$D$69:$U$69</c15:sqref>
                        </c15:formulaRef>
                      </c:ext>
                    </c:extLst>
                    <c:numCache>
                      <c:formatCode>General</c:formatCode>
                      <c:ptCount val="18"/>
                      <c:pt idx="0">
                        <c:v>0</c:v>
                      </c:pt>
                      <c:pt idx="1">
                        <c:v>0</c:v>
                      </c:pt>
                      <c:pt idx="2">
                        <c:v>-1</c:v>
                      </c:pt>
                      <c:pt idx="3">
                        <c:v>0</c:v>
                      </c:pt>
                      <c:pt idx="4">
                        <c:v>-1</c:v>
                      </c:pt>
                      <c:pt idx="5">
                        <c:v>-1</c:v>
                      </c:pt>
                      <c:pt idx="6">
                        <c:v>-1</c:v>
                      </c:pt>
                      <c:pt idx="7">
                        <c:v>-1</c:v>
                      </c:pt>
                      <c:pt idx="8">
                        <c:v>-1</c:v>
                      </c:pt>
                      <c:pt idx="9">
                        <c:v>1</c:v>
                      </c:pt>
                      <c:pt idx="10">
                        <c:v>2</c:v>
                      </c:pt>
                      <c:pt idx="11">
                        <c:v>2</c:v>
                      </c:pt>
                      <c:pt idx="12">
                        <c:v>3</c:v>
                      </c:pt>
                      <c:pt idx="13">
                        <c:v>2</c:v>
                      </c:pt>
                      <c:pt idx="14">
                        <c:v>2</c:v>
                      </c:pt>
                      <c:pt idx="15">
                        <c:v>2</c:v>
                      </c:pt>
                      <c:pt idx="16">
                        <c:v>2</c:v>
                      </c:pt>
                      <c:pt idx="17">
                        <c:v>2</c:v>
                      </c:pt>
                    </c:numCache>
                  </c:numRef>
                </c:val>
                <c:smooth val="0"/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19-7C32-4A4D-8CEF-61DA33D38D82}"/>
                  </c:ext>
                </c:extLst>
              </c15:ser>
            </c15:filteredLineSeries>
            <c15:filteredLineSeries>
              <c15:ser>
                <c:idx val="13"/>
                <c:order val="29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'DS utveckling'!$B$70:$C$70</c15:sqref>
                        </c15:formulaRef>
                      </c:ext>
                    </c:extLst>
                    <c:strCache>
                      <c:ptCount val="2"/>
                      <c:pt idx="0">
                        <c:v>Niklas</c:v>
                      </c:pt>
                      <c:pt idx="1">
                        <c:v>Ljung</c:v>
                      </c:pt>
                    </c:strCache>
                  </c:strRef>
                </c:tx>
                <c:spPr>
                  <a:ln w="31750" cap="rnd">
                    <a:solidFill>
                      <a:schemeClr val="accent2">
                        <a:lumMod val="80000"/>
                        <a:lumOff val="20000"/>
                      </a:schemeClr>
                    </a:solidFill>
                    <a:round/>
                  </a:ln>
                  <a:effectLst/>
                </c:spPr>
                <c:marker>
                  <c:symbol val="none"/>
                </c:marker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900" b="1" i="0" u="none" strike="noStrike" kern="1200" baseline="0">
                          <a:solidFill>
                            <a:schemeClr val="lt1"/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sv-SE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 xmlns:c15="http://schemas.microsoft.com/office/drawing/2012/chart">
                    <c:ext xmlns:c15="http://schemas.microsoft.com/office/drawing/2012/chart" uri="{CE6537A1-D6FC-4f65-9D91-7224C49458BB}">
                      <c15:showLeaderLines val="1"/>
                      <c15:leaderLines>
                        <c:spPr>
                          <a:ln w="9525">
                            <a:solidFill>
                              <a:schemeClr val="dk1">
                                <a:lumMod val="50000"/>
                                <a:lumOff val="50000"/>
                              </a:schemeClr>
                            </a:solidFill>
                          </a:ln>
                          <a:effectLst/>
                        </c:spPr>
                      </c15:leaderLines>
                    </c:ext>
                  </c:extLst>
                </c:dLbls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'DS utveckling'!$D$70:$U$70</c15:sqref>
                        </c15:formulaRef>
                      </c:ext>
                    </c:extLst>
                    <c:numCache>
                      <c:formatCode>General</c:formatCode>
                      <c:ptCount val="18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2</c:v>
                      </c:pt>
                      <c:pt idx="4">
                        <c:v>2</c:v>
                      </c:pt>
                      <c:pt idx="5">
                        <c:v>2</c:v>
                      </c:pt>
                      <c:pt idx="6">
                        <c:v>4</c:v>
                      </c:pt>
                      <c:pt idx="7">
                        <c:v>5</c:v>
                      </c:pt>
                      <c:pt idx="8">
                        <c:v>5</c:v>
                      </c:pt>
                      <c:pt idx="9">
                        <c:v>4</c:v>
                      </c:pt>
                      <c:pt idx="10">
                        <c:v>5</c:v>
                      </c:pt>
                      <c:pt idx="11">
                        <c:v>6</c:v>
                      </c:pt>
                      <c:pt idx="12">
                        <c:v>7</c:v>
                      </c:pt>
                      <c:pt idx="13">
                        <c:v>8</c:v>
                      </c:pt>
                      <c:pt idx="14">
                        <c:v>8</c:v>
                      </c:pt>
                      <c:pt idx="15">
                        <c:v>8</c:v>
                      </c:pt>
                      <c:pt idx="16">
                        <c:v>8</c:v>
                      </c:pt>
                      <c:pt idx="17">
                        <c:v>9</c:v>
                      </c:pt>
                    </c:numCache>
                  </c:numRef>
                </c:val>
                <c:smooth val="0"/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1B-7C32-4A4D-8CEF-61DA33D38D82}"/>
                  </c:ext>
                </c:extLst>
              </c15:ser>
            </c15:filteredLineSeries>
            <c15:filteredLineSeries>
              <c15:ser>
                <c:idx val="14"/>
                <c:order val="30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'DS utveckling'!$B$71:$C$71</c15:sqref>
                        </c15:formulaRef>
                      </c:ext>
                    </c:extLst>
                    <c:strCache>
                      <c:ptCount val="2"/>
                      <c:pt idx="0">
                        <c:v>PJ</c:v>
                      </c:pt>
                      <c:pt idx="1">
                        <c:v>Glyssbo</c:v>
                      </c:pt>
                    </c:strCache>
                  </c:strRef>
                </c:tx>
                <c:spPr>
                  <a:ln w="31750" cap="rnd">
                    <a:solidFill>
                      <a:schemeClr val="accent3">
                        <a:lumMod val="80000"/>
                        <a:lumOff val="20000"/>
                      </a:schemeClr>
                    </a:solidFill>
                    <a:round/>
                  </a:ln>
                  <a:effectLst/>
                </c:spPr>
                <c:marker>
                  <c:symbol val="none"/>
                </c:marker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900" b="1" i="0" u="none" strike="noStrike" kern="1200" baseline="0">
                          <a:solidFill>
                            <a:schemeClr val="lt1"/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sv-SE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 xmlns:c15="http://schemas.microsoft.com/office/drawing/2012/chart">
                    <c:ext xmlns:c15="http://schemas.microsoft.com/office/drawing/2012/chart" uri="{CE6537A1-D6FC-4f65-9D91-7224C49458BB}">
                      <c15:showLeaderLines val="1"/>
                      <c15:leaderLines>
                        <c:spPr>
                          <a:ln w="9525">
                            <a:solidFill>
                              <a:schemeClr val="dk1">
                                <a:lumMod val="50000"/>
                                <a:lumOff val="50000"/>
                              </a:schemeClr>
                            </a:solidFill>
                          </a:ln>
                          <a:effectLst/>
                        </c:spPr>
                      </c15:leaderLines>
                    </c:ext>
                  </c:extLst>
                </c:dLbls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'DS utveckling'!$D$71:$U$71</c15:sqref>
                        </c15:formulaRef>
                      </c:ext>
                    </c:extLst>
                    <c:numCache>
                      <c:formatCode>General</c:formatCode>
                      <c:ptCount val="18"/>
                      <c:pt idx="0">
                        <c:v>0</c:v>
                      </c:pt>
                      <c:pt idx="1">
                        <c:v>2</c:v>
                      </c:pt>
                      <c:pt idx="2">
                        <c:v>1</c:v>
                      </c:pt>
                      <c:pt idx="3">
                        <c:v>1</c:v>
                      </c:pt>
                      <c:pt idx="4">
                        <c:v>2</c:v>
                      </c:pt>
                      <c:pt idx="5">
                        <c:v>3</c:v>
                      </c:pt>
                      <c:pt idx="6">
                        <c:v>3</c:v>
                      </c:pt>
                      <c:pt idx="7">
                        <c:v>3</c:v>
                      </c:pt>
                      <c:pt idx="8">
                        <c:v>3</c:v>
                      </c:pt>
                      <c:pt idx="9">
                        <c:v>4</c:v>
                      </c:pt>
                      <c:pt idx="10">
                        <c:v>5</c:v>
                      </c:pt>
                      <c:pt idx="11">
                        <c:v>5</c:v>
                      </c:pt>
                      <c:pt idx="12">
                        <c:v>5</c:v>
                      </c:pt>
                      <c:pt idx="13">
                        <c:v>4</c:v>
                      </c:pt>
                      <c:pt idx="14">
                        <c:v>5</c:v>
                      </c:pt>
                      <c:pt idx="15">
                        <c:v>5</c:v>
                      </c:pt>
                      <c:pt idx="16">
                        <c:v>5</c:v>
                      </c:pt>
                      <c:pt idx="17">
                        <c:v>6</c:v>
                      </c:pt>
                    </c:numCache>
                  </c:numRef>
                </c:val>
                <c:smooth val="0"/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1D-7C32-4A4D-8CEF-61DA33D38D82}"/>
                  </c:ext>
                </c:extLst>
              </c15:ser>
            </c15:filteredLineSeries>
            <c15:filteredLineSeries>
              <c15:ser>
                <c:idx val="15"/>
                <c:order val="31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'DS utveckling'!$B$72:$C$72</c15:sqref>
                        </c15:formulaRef>
                      </c:ext>
                    </c:extLst>
                    <c:strCache>
                      <c:ptCount val="2"/>
                      <c:pt idx="0">
                        <c:v>Stefan</c:v>
                      </c:pt>
                      <c:pt idx="1">
                        <c:v>Källström</c:v>
                      </c:pt>
                    </c:strCache>
                  </c:strRef>
                </c:tx>
                <c:spPr>
                  <a:ln w="31750" cap="rnd">
                    <a:solidFill>
                      <a:schemeClr val="accent4">
                        <a:lumMod val="80000"/>
                        <a:lumOff val="20000"/>
                      </a:schemeClr>
                    </a:solidFill>
                    <a:round/>
                  </a:ln>
                  <a:effectLst/>
                </c:spPr>
                <c:marker>
                  <c:symbol val="none"/>
                </c:marker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900" b="1" i="0" u="none" strike="noStrike" kern="1200" baseline="0">
                          <a:solidFill>
                            <a:schemeClr val="lt1"/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sv-SE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 xmlns:c15="http://schemas.microsoft.com/office/drawing/2012/chart">
                    <c:ext xmlns:c15="http://schemas.microsoft.com/office/drawing/2012/chart" uri="{CE6537A1-D6FC-4f65-9D91-7224C49458BB}">
                      <c15:showLeaderLines val="1"/>
                      <c15:leaderLines>
                        <c:spPr>
                          <a:ln w="9525">
                            <a:solidFill>
                              <a:schemeClr val="dk1">
                                <a:lumMod val="50000"/>
                                <a:lumOff val="50000"/>
                              </a:schemeClr>
                            </a:solidFill>
                          </a:ln>
                          <a:effectLst/>
                        </c:spPr>
                      </c15:leaderLines>
                    </c:ext>
                  </c:extLst>
                </c:dLbls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'DS utveckling'!$D$72:$U$72</c15:sqref>
                        </c15:formulaRef>
                      </c:ext>
                    </c:extLst>
                    <c:numCache>
                      <c:formatCode>General</c:formatCode>
                      <c:ptCount val="18"/>
                      <c:pt idx="0">
                        <c:v>0</c:v>
                      </c:pt>
                      <c:pt idx="1">
                        <c:v>0</c:v>
                      </c:pt>
                      <c:pt idx="2">
                        <c:v>1</c:v>
                      </c:pt>
                      <c:pt idx="3">
                        <c:v>2</c:v>
                      </c:pt>
                      <c:pt idx="4">
                        <c:v>3</c:v>
                      </c:pt>
                      <c:pt idx="5">
                        <c:v>3</c:v>
                      </c:pt>
                      <c:pt idx="6">
                        <c:v>3</c:v>
                      </c:pt>
                      <c:pt idx="7">
                        <c:v>3</c:v>
                      </c:pt>
                      <c:pt idx="8">
                        <c:v>4</c:v>
                      </c:pt>
                      <c:pt idx="9">
                        <c:v>4</c:v>
                      </c:pt>
                      <c:pt idx="10">
                        <c:v>5</c:v>
                      </c:pt>
                      <c:pt idx="11">
                        <c:v>5</c:v>
                      </c:pt>
                      <c:pt idx="12">
                        <c:v>6</c:v>
                      </c:pt>
                      <c:pt idx="13">
                        <c:v>7</c:v>
                      </c:pt>
                      <c:pt idx="14">
                        <c:v>8</c:v>
                      </c:pt>
                      <c:pt idx="15">
                        <c:v>7</c:v>
                      </c:pt>
                      <c:pt idx="16">
                        <c:v>8</c:v>
                      </c:pt>
                      <c:pt idx="17">
                        <c:v>9</c:v>
                      </c:pt>
                    </c:numCache>
                  </c:numRef>
                </c:val>
                <c:smooth val="0"/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1F-7C32-4A4D-8CEF-61DA33D38D82}"/>
                  </c:ext>
                </c:extLst>
              </c15:ser>
            </c15:filteredLineSeries>
          </c:ext>
        </c:extLst>
      </c:lineChart>
      <c:catAx>
        <c:axId val="1026026792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900" b="1" i="0" u="none" strike="noStrike" kern="1200" baseline="0">
                    <a:solidFill>
                      <a:schemeClr val="dk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v-SE"/>
                  <a:t>Hål 1-18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900" b="1" i="0" u="none" strike="noStrike" kern="1200" baseline="0">
                  <a:solidFill>
                    <a:schemeClr val="dk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v-SE"/>
            </a:p>
          </c:txPr>
        </c:title>
        <c:majorTickMark val="none"/>
        <c:minorTickMark val="none"/>
        <c:tickLblPos val="nextTo"/>
        <c:spPr>
          <a:noFill/>
          <a:ln w="19050" cap="flat" cmpd="sng" algn="ctr">
            <a:solidFill>
              <a:schemeClr val="dk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cap="all" baseline="0">
                <a:solidFill>
                  <a:schemeClr val="dk1">
                    <a:lumMod val="75000"/>
                    <a:lumOff val="2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SE"/>
          </a:p>
        </c:txPr>
        <c:crossAx val="1026027448"/>
        <c:crosses val="autoZero"/>
        <c:auto val="1"/>
        <c:lblAlgn val="ctr"/>
        <c:lblOffset val="100"/>
        <c:noMultiLvlLbl val="0"/>
      </c:catAx>
      <c:valAx>
        <c:axId val="1026027448"/>
        <c:scaling>
          <c:orientation val="minMax"/>
        </c:scaling>
        <c:delete val="0"/>
        <c:axPos val="l"/>
        <c:majorGridlines>
          <c:spPr>
            <a:ln w="9525" cap="flat" cmpd="sng" algn="ctr">
              <a:gradFill>
                <a:gsLst>
                  <a:gs pos="100000">
                    <a:schemeClr val="dk1">
                      <a:lumMod val="95000"/>
                      <a:lumOff val="5000"/>
                      <a:alpha val="42000"/>
                    </a:schemeClr>
                  </a:gs>
                  <a:gs pos="0">
                    <a:schemeClr val="lt1">
                      <a:lumMod val="75000"/>
                      <a:alpha val="36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900" b="1" i="0" u="none" strike="noStrike" kern="1200" baseline="0">
                    <a:solidFill>
                      <a:schemeClr val="dk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v-SE"/>
                  <a:t>Resultat efter hål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900" b="1" i="0" u="none" strike="noStrike" kern="1200" baseline="0">
                  <a:solidFill>
                    <a:schemeClr val="dk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v-SE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dk1">
                    <a:lumMod val="75000"/>
                    <a:lumOff val="2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SE"/>
          </a:p>
        </c:txPr>
        <c:crossAx val="102602679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solidFill>
          <a:schemeClr val="lt1">
            <a:lumMod val="95000"/>
            <a:alpha val="39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dk1">
                  <a:lumMod val="75000"/>
                  <a:lumOff val="25000"/>
                </a:schemeClr>
              </a:solidFill>
              <a:latin typeface="+mn-lt"/>
              <a:ea typeface="+mn-ea"/>
              <a:cs typeface="+mn-cs"/>
            </a:defRPr>
          </a:pPr>
          <a:endParaRPr lang="sv-SE"/>
        </a:p>
      </c:txPr>
    </c:legend>
    <c:plotVisOnly val="1"/>
    <c:dispBlanksAs val="gap"/>
    <c:showDLblsOverMax val="0"/>
    <c:extLst/>
  </c:chart>
  <c:spPr>
    <a:gradFill flip="none" rotWithShape="1">
      <a:gsLst>
        <a:gs pos="0">
          <a:schemeClr val="lt1"/>
        </a:gs>
        <a:gs pos="39000">
          <a:schemeClr val="lt1"/>
        </a:gs>
        <a:gs pos="100000">
          <a:schemeClr val="lt1">
            <a:lumMod val="75000"/>
          </a:schemeClr>
        </a:gs>
      </a:gsLst>
      <a:path path="circle">
        <a:fillToRect l="50000" t="-80000" r="50000" b="180000"/>
      </a:path>
      <a:tileRect/>
    </a:gradFill>
    <a:ln w="9525" cap="flat" cmpd="sng" algn="ctr">
      <a:solidFill>
        <a:schemeClr val="dk1">
          <a:lumMod val="25000"/>
          <a:lumOff val="75000"/>
        </a:schemeClr>
      </a:solidFill>
      <a:round/>
    </a:ln>
    <a:effectLst/>
  </c:spPr>
  <c:txPr>
    <a:bodyPr/>
    <a:lstStyle/>
    <a:p>
      <a:pPr>
        <a:defRPr/>
      </a:pPr>
      <a:endParaRPr lang="sv-SE"/>
    </a:p>
  </c:txPr>
  <c:printSettings>
    <c:headerFooter/>
    <c:pageMargins b="0.75" l="0.7" r="0.7" t="0.75" header="0.3" footer="0.3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v-S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spc="100" baseline="0">
                <a:solidFill>
                  <a:schemeClr val="lt1">
                    <a:lumMod val="95000"/>
                  </a:schemeClr>
                </a:solidFill>
                <a:effectLst>
                  <a:outerShdw blurRad="50800" dist="38100" dir="5400000" algn="t" rotWithShape="0">
                    <a:prstClr val="black">
                      <a:alpha val="40000"/>
                    </a:prstClr>
                  </a:outerShdw>
                </a:effectLst>
                <a:latin typeface="+mn-lt"/>
                <a:ea typeface="+mn-ea"/>
                <a:cs typeface="+mn-cs"/>
              </a:defRPr>
            </a:pPr>
            <a:r>
              <a:rPr lang="sv-SE"/>
              <a:t>Procentkurvan</a:t>
            </a:r>
          </a:p>
        </c:rich>
      </c:tx>
      <c:layout>
        <c:manualLayout>
          <c:xMode val="edge"/>
          <c:yMode val="edge"/>
          <c:x val="0.41641876430205954"/>
          <c:y val="1.6047684548372305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spc="100" baseline="0">
              <a:solidFill>
                <a:schemeClr val="lt1">
                  <a:lumMod val="95000"/>
                </a:schemeClr>
              </a:solidFill>
              <a:effectLst>
                <a:outerShdw blurRad="50800" dist="38100" dir="5400000" algn="t" rotWithShape="0">
                  <a:prstClr val="black">
                    <a:alpha val="40000"/>
                  </a:prstClr>
                </a:outerShdw>
              </a:effectLst>
              <a:latin typeface="+mn-lt"/>
              <a:ea typeface="+mn-ea"/>
              <a:cs typeface="+mn-cs"/>
            </a:defRPr>
          </a:pPr>
          <a:endParaRPr lang="sv-SE"/>
        </a:p>
      </c:txPr>
    </c:title>
    <c:autoTitleDeleted val="0"/>
    <c:plotArea>
      <c:layout/>
      <c:lineChart>
        <c:grouping val="standard"/>
        <c:varyColors val="0"/>
        <c:ser>
          <c:idx val="0"/>
          <c:order val="0"/>
          <c:tx>
            <c:strRef>
              <c:f>'DS utveckling'!$D$94</c:f>
              <c:strCache>
                <c:ptCount val="1"/>
                <c:pt idx="0">
                  <c:v>Göran</c:v>
                </c:pt>
              </c:strCache>
            </c:strRef>
          </c:tx>
          <c:spPr>
            <a:ln w="34925" cap="rnd">
              <a:solidFill>
                <a:schemeClr val="accent1"/>
              </a:solidFill>
              <a:round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utveckling'!$E$93:$K$93</c:f>
              <c:strCache>
                <c:ptCount val="7"/>
                <c:pt idx="0">
                  <c:v>Bi</c:v>
                </c:pt>
                <c:pt idx="1">
                  <c:v>P</c:v>
                </c:pt>
                <c:pt idx="2">
                  <c:v>Bo</c:v>
                </c:pt>
                <c:pt idx="3">
                  <c:v>Db</c:v>
                </c:pt>
                <c:pt idx="4">
                  <c:v>Tb</c:v>
                </c:pt>
                <c:pt idx="5">
                  <c:v>Qb</c:v>
                </c:pt>
                <c:pt idx="6">
                  <c:v>S</c:v>
                </c:pt>
              </c:strCache>
            </c:strRef>
          </c:cat>
          <c:val>
            <c:numRef>
              <c:f>'DS utveckling'!$E$94:$K$94</c:f>
              <c:numCache>
                <c:formatCode>General</c:formatCode>
                <c:ptCount val="7"/>
                <c:pt idx="0">
                  <c:v>0</c:v>
                </c:pt>
                <c:pt idx="1">
                  <c:v>9.26</c:v>
                </c:pt>
                <c:pt idx="2">
                  <c:v>40.74</c:v>
                </c:pt>
                <c:pt idx="3">
                  <c:v>27.78</c:v>
                </c:pt>
                <c:pt idx="4">
                  <c:v>11.11</c:v>
                </c:pt>
                <c:pt idx="5">
                  <c:v>5.56</c:v>
                </c:pt>
                <c:pt idx="6">
                  <c:v>5.56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2765-4D9D-8349-FD3EA87A8A43}"/>
            </c:ext>
          </c:extLst>
        </c:ser>
        <c:ser>
          <c:idx val="1"/>
          <c:order val="1"/>
          <c:tx>
            <c:strRef>
              <c:f>'DS utveckling'!$D$95</c:f>
              <c:strCache>
                <c:ptCount val="1"/>
                <c:pt idx="0">
                  <c:v>Micke</c:v>
                </c:pt>
              </c:strCache>
            </c:strRef>
          </c:tx>
          <c:spPr>
            <a:ln w="34925" cap="rnd">
              <a:solidFill>
                <a:schemeClr val="accent2"/>
              </a:solidFill>
              <a:round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utveckling'!$E$93:$K$93</c:f>
              <c:strCache>
                <c:ptCount val="7"/>
                <c:pt idx="0">
                  <c:v>Bi</c:v>
                </c:pt>
                <c:pt idx="1">
                  <c:v>P</c:v>
                </c:pt>
                <c:pt idx="2">
                  <c:v>Bo</c:v>
                </c:pt>
                <c:pt idx="3">
                  <c:v>Db</c:v>
                </c:pt>
                <c:pt idx="4">
                  <c:v>Tb</c:v>
                </c:pt>
                <c:pt idx="5">
                  <c:v>Qb</c:v>
                </c:pt>
                <c:pt idx="6">
                  <c:v>S</c:v>
                </c:pt>
              </c:strCache>
            </c:strRef>
          </c:cat>
          <c:val>
            <c:numRef>
              <c:f>'DS utveckling'!$E$95:$K$95</c:f>
              <c:numCache>
                <c:formatCode>General</c:formatCode>
                <c:ptCount val="7"/>
                <c:pt idx="0">
                  <c:v>0</c:v>
                </c:pt>
                <c:pt idx="1">
                  <c:v>11.11</c:v>
                </c:pt>
                <c:pt idx="2">
                  <c:v>42.59</c:v>
                </c:pt>
                <c:pt idx="3">
                  <c:v>29.63</c:v>
                </c:pt>
                <c:pt idx="4">
                  <c:v>11.11</c:v>
                </c:pt>
                <c:pt idx="5">
                  <c:v>1.85</c:v>
                </c:pt>
                <c:pt idx="6">
                  <c:v>3.7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2765-4D9D-8349-FD3EA87A8A43}"/>
            </c:ext>
          </c:extLst>
        </c:ser>
        <c:ser>
          <c:idx val="2"/>
          <c:order val="2"/>
          <c:tx>
            <c:strRef>
              <c:f>'DS utveckling'!$D$96</c:f>
              <c:strCache>
                <c:ptCount val="1"/>
                <c:pt idx="0">
                  <c:v>Börje</c:v>
                </c:pt>
              </c:strCache>
            </c:strRef>
          </c:tx>
          <c:spPr>
            <a:ln w="34925" cap="rnd">
              <a:solidFill>
                <a:schemeClr val="accent3"/>
              </a:solidFill>
              <a:round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utveckling'!$E$93:$K$93</c:f>
              <c:strCache>
                <c:ptCount val="7"/>
                <c:pt idx="0">
                  <c:v>Bi</c:v>
                </c:pt>
                <c:pt idx="1">
                  <c:v>P</c:v>
                </c:pt>
                <c:pt idx="2">
                  <c:v>Bo</c:v>
                </c:pt>
                <c:pt idx="3">
                  <c:v>Db</c:v>
                </c:pt>
                <c:pt idx="4">
                  <c:v>Tb</c:v>
                </c:pt>
                <c:pt idx="5">
                  <c:v>Qb</c:v>
                </c:pt>
                <c:pt idx="6">
                  <c:v>S</c:v>
                </c:pt>
              </c:strCache>
            </c:strRef>
          </c:cat>
          <c:val>
            <c:numRef>
              <c:f>'DS utveckling'!$E$96:$K$96</c:f>
              <c:numCache>
                <c:formatCode>General</c:formatCode>
                <c:ptCount val="7"/>
                <c:pt idx="0">
                  <c:v>5.56</c:v>
                </c:pt>
                <c:pt idx="1">
                  <c:v>25</c:v>
                </c:pt>
                <c:pt idx="2">
                  <c:v>47.22</c:v>
                </c:pt>
                <c:pt idx="3">
                  <c:v>22.22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2765-4D9D-8349-FD3EA87A8A43}"/>
            </c:ext>
          </c:extLst>
        </c:ser>
        <c:ser>
          <c:idx val="3"/>
          <c:order val="3"/>
          <c:tx>
            <c:strRef>
              <c:f>'DS utveckling'!$D$97</c:f>
              <c:strCache>
                <c:ptCount val="1"/>
                <c:pt idx="0">
                  <c:v>Simonsson</c:v>
                </c:pt>
              </c:strCache>
            </c:strRef>
          </c:tx>
          <c:spPr>
            <a:ln w="34925" cap="rnd">
              <a:solidFill>
                <a:schemeClr val="accent4"/>
              </a:solidFill>
              <a:round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utveckling'!$E$93:$K$93</c:f>
              <c:strCache>
                <c:ptCount val="7"/>
                <c:pt idx="0">
                  <c:v>Bi</c:v>
                </c:pt>
                <c:pt idx="1">
                  <c:v>P</c:v>
                </c:pt>
                <c:pt idx="2">
                  <c:v>Bo</c:v>
                </c:pt>
                <c:pt idx="3">
                  <c:v>Db</c:v>
                </c:pt>
                <c:pt idx="4">
                  <c:v>Tb</c:v>
                </c:pt>
                <c:pt idx="5">
                  <c:v>Qb</c:v>
                </c:pt>
                <c:pt idx="6">
                  <c:v>S</c:v>
                </c:pt>
              </c:strCache>
            </c:strRef>
          </c:cat>
          <c:val>
            <c:numRef>
              <c:f>'DS utveckling'!$E$97:$K$97</c:f>
              <c:numCache>
                <c:formatCode>General</c:formatCode>
                <c:ptCount val="7"/>
                <c:pt idx="0">
                  <c:v>0</c:v>
                </c:pt>
                <c:pt idx="1">
                  <c:v>5.56</c:v>
                </c:pt>
                <c:pt idx="2">
                  <c:v>44.44</c:v>
                </c:pt>
                <c:pt idx="3">
                  <c:v>29.63</c:v>
                </c:pt>
                <c:pt idx="4">
                  <c:v>12.96</c:v>
                </c:pt>
                <c:pt idx="5">
                  <c:v>1.85</c:v>
                </c:pt>
                <c:pt idx="6">
                  <c:v>5.56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2765-4D9D-8349-FD3EA87A8A43}"/>
            </c:ext>
          </c:extLst>
        </c:ser>
        <c:ser>
          <c:idx val="4"/>
          <c:order val="4"/>
          <c:tx>
            <c:strRef>
              <c:f>'DS utveckling'!$D$98</c:f>
              <c:strCache>
                <c:ptCount val="1"/>
                <c:pt idx="0">
                  <c:v>Claes</c:v>
                </c:pt>
              </c:strCache>
            </c:strRef>
          </c:tx>
          <c:spPr>
            <a:ln w="34925" cap="rnd">
              <a:solidFill>
                <a:schemeClr val="accent5"/>
              </a:solidFill>
              <a:round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utveckling'!$E$93:$K$93</c:f>
              <c:strCache>
                <c:ptCount val="7"/>
                <c:pt idx="0">
                  <c:v>Bi</c:v>
                </c:pt>
                <c:pt idx="1">
                  <c:v>P</c:v>
                </c:pt>
                <c:pt idx="2">
                  <c:v>Bo</c:v>
                </c:pt>
                <c:pt idx="3">
                  <c:v>Db</c:v>
                </c:pt>
                <c:pt idx="4">
                  <c:v>Tb</c:v>
                </c:pt>
                <c:pt idx="5">
                  <c:v>Qb</c:v>
                </c:pt>
                <c:pt idx="6">
                  <c:v>S</c:v>
                </c:pt>
              </c:strCache>
            </c:strRef>
          </c:cat>
          <c:val>
            <c:numRef>
              <c:f>'DS utveckling'!$E$98:$K$98</c:f>
              <c:numCache>
                <c:formatCode>General</c:formatCode>
                <c:ptCount val="7"/>
                <c:pt idx="0">
                  <c:v>0</c:v>
                </c:pt>
                <c:pt idx="1">
                  <c:v>5.56</c:v>
                </c:pt>
                <c:pt idx="2">
                  <c:v>33.33</c:v>
                </c:pt>
                <c:pt idx="3">
                  <c:v>27.78</c:v>
                </c:pt>
                <c:pt idx="4">
                  <c:v>16.670000000000002</c:v>
                </c:pt>
                <c:pt idx="5">
                  <c:v>16.670000000000002</c:v>
                </c:pt>
                <c:pt idx="6">
                  <c:v>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2765-4D9D-8349-FD3EA87A8A43}"/>
            </c:ext>
          </c:extLst>
        </c:ser>
        <c:ser>
          <c:idx val="5"/>
          <c:order val="5"/>
          <c:tx>
            <c:strRef>
              <c:f>'DS utveckling'!$D$99</c:f>
              <c:strCache>
                <c:ptCount val="1"/>
                <c:pt idx="0">
                  <c:v>Lalle</c:v>
                </c:pt>
              </c:strCache>
            </c:strRef>
          </c:tx>
          <c:spPr>
            <a:ln w="34925" cap="rnd">
              <a:solidFill>
                <a:schemeClr val="accent6"/>
              </a:solidFill>
              <a:round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utveckling'!$E$93:$K$93</c:f>
              <c:strCache>
                <c:ptCount val="7"/>
                <c:pt idx="0">
                  <c:v>Bi</c:v>
                </c:pt>
                <c:pt idx="1">
                  <c:v>P</c:v>
                </c:pt>
                <c:pt idx="2">
                  <c:v>Bo</c:v>
                </c:pt>
                <c:pt idx="3">
                  <c:v>Db</c:v>
                </c:pt>
                <c:pt idx="4">
                  <c:v>Tb</c:v>
                </c:pt>
                <c:pt idx="5">
                  <c:v>Qb</c:v>
                </c:pt>
                <c:pt idx="6">
                  <c:v>S</c:v>
                </c:pt>
              </c:strCache>
            </c:strRef>
          </c:cat>
          <c:val>
            <c:numRef>
              <c:f>'DS utveckling'!$E$99:$K$99</c:f>
              <c:numCache>
                <c:formatCode>General</c:formatCode>
                <c:ptCount val="7"/>
                <c:pt idx="0">
                  <c:v>0</c:v>
                </c:pt>
                <c:pt idx="1">
                  <c:v>2.78</c:v>
                </c:pt>
                <c:pt idx="2">
                  <c:v>27.78</c:v>
                </c:pt>
                <c:pt idx="3">
                  <c:v>38.89</c:v>
                </c:pt>
                <c:pt idx="4">
                  <c:v>19.440000000000001</c:v>
                </c:pt>
                <c:pt idx="5">
                  <c:v>2.78</c:v>
                </c:pt>
                <c:pt idx="6">
                  <c:v>8.33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5-2765-4D9D-8349-FD3EA87A8A43}"/>
            </c:ext>
          </c:extLst>
        </c:ser>
        <c:ser>
          <c:idx val="6"/>
          <c:order val="6"/>
          <c:tx>
            <c:strRef>
              <c:f>'DS utveckling'!$D$100</c:f>
              <c:strCache>
                <c:ptCount val="1"/>
                <c:pt idx="0">
                  <c:v>Peter</c:v>
                </c:pt>
              </c:strCache>
            </c:strRef>
          </c:tx>
          <c:spPr>
            <a:ln w="34925" cap="rnd">
              <a:solidFill>
                <a:schemeClr val="accent1">
                  <a:lumMod val="60000"/>
                </a:schemeClr>
              </a:solidFill>
              <a:round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utveckling'!$E$93:$K$93</c:f>
              <c:strCache>
                <c:ptCount val="7"/>
                <c:pt idx="0">
                  <c:v>Bi</c:v>
                </c:pt>
                <c:pt idx="1">
                  <c:v>P</c:v>
                </c:pt>
                <c:pt idx="2">
                  <c:v>Bo</c:v>
                </c:pt>
                <c:pt idx="3">
                  <c:v>Db</c:v>
                </c:pt>
                <c:pt idx="4">
                  <c:v>Tb</c:v>
                </c:pt>
                <c:pt idx="5">
                  <c:v>Qb</c:v>
                </c:pt>
                <c:pt idx="6">
                  <c:v>S</c:v>
                </c:pt>
              </c:strCache>
            </c:strRef>
          </c:cat>
          <c:val>
            <c:numRef>
              <c:f>'DS utveckling'!$E$100:$K$100</c:f>
              <c:numCache>
                <c:formatCode>General</c:formatCode>
                <c:ptCount val="7"/>
                <c:pt idx="0">
                  <c:v>0</c:v>
                </c:pt>
                <c:pt idx="1">
                  <c:v>19.440000000000001</c:v>
                </c:pt>
                <c:pt idx="2">
                  <c:v>50</c:v>
                </c:pt>
                <c:pt idx="3">
                  <c:v>19.440000000000001</c:v>
                </c:pt>
                <c:pt idx="4">
                  <c:v>8.33</c:v>
                </c:pt>
                <c:pt idx="5">
                  <c:v>2.78</c:v>
                </c:pt>
                <c:pt idx="6">
                  <c:v>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6-2765-4D9D-8349-FD3EA87A8A43}"/>
            </c:ext>
          </c:extLst>
        </c:ser>
        <c:ser>
          <c:idx val="7"/>
          <c:order val="7"/>
          <c:tx>
            <c:strRef>
              <c:f>'DS utveckling'!$D$101</c:f>
              <c:strCache>
                <c:ptCount val="1"/>
                <c:pt idx="0">
                  <c:v>Magnus</c:v>
                </c:pt>
              </c:strCache>
            </c:strRef>
          </c:tx>
          <c:spPr>
            <a:ln w="34925" cap="rnd">
              <a:solidFill>
                <a:schemeClr val="accent2">
                  <a:lumMod val="60000"/>
                </a:schemeClr>
              </a:solidFill>
              <a:round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utveckling'!$E$93:$K$93</c:f>
              <c:strCache>
                <c:ptCount val="7"/>
                <c:pt idx="0">
                  <c:v>Bi</c:v>
                </c:pt>
                <c:pt idx="1">
                  <c:v>P</c:v>
                </c:pt>
                <c:pt idx="2">
                  <c:v>Bo</c:v>
                </c:pt>
                <c:pt idx="3">
                  <c:v>Db</c:v>
                </c:pt>
                <c:pt idx="4">
                  <c:v>Tb</c:v>
                </c:pt>
                <c:pt idx="5">
                  <c:v>Qb</c:v>
                </c:pt>
                <c:pt idx="6">
                  <c:v>S</c:v>
                </c:pt>
              </c:strCache>
            </c:strRef>
          </c:cat>
          <c:val>
            <c:numRef>
              <c:f>'DS utveckling'!$E$101:$K$101</c:f>
              <c:numCache>
                <c:formatCode>General</c:formatCode>
                <c:ptCount val="7"/>
                <c:pt idx="0">
                  <c:v>0</c:v>
                </c:pt>
                <c:pt idx="1">
                  <c:v>5.56</c:v>
                </c:pt>
                <c:pt idx="2">
                  <c:v>33.33</c:v>
                </c:pt>
                <c:pt idx="3">
                  <c:v>44.44</c:v>
                </c:pt>
                <c:pt idx="4">
                  <c:v>5.56</c:v>
                </c:pt>
                <c:pt idx="5">
                  <c:v>0</c:v>
                </c:pt>
                <c:pt idx="6">
                  <c:v>11.11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7-2765-4D9D-8349-FD3EA87A8A43}"/>
            </c:ext>
          </c:extLst>
        </c:ser>
        <c:ser>
          <c:idx val="8"/>
          <c:order val="8"/>
          <c:tx>
            <c:strRef>
              <c:f>'DS utveckling'!$D$102</c:f>
              <c:strCache>
                <c:ptCount val="1"/>
                <c:pt idx="0">
                  <c:v>Thomas</c:v>
                </c:pt>
              </c:strCache>
            </c:strRef>
          </c:tx>
          <c:spPr>
            <a:ln w="34925" cap="rnd">
              <a:solidFill>
                <a:schemeClr val="accent3">
                  <a:lumMod val="60000"/>
                </a:schemeClr>
              </a:solidFill>
              <a:round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utveckling'!$E$93:$K$93</c:f>
              <c:strCache>
                <c:ptCount val="7"/>
                <c:pt idx="0">
                  <c:v>Bi</c:v>
                </c:pt>
                <c:pt idx="1">
                  <c:v>P</c:v>
                </c:pt>
                <c:pt idx="2">
                  <c:v>Bo</c:v>
                </c:pt>
                <c:pt idx="3">
                  <c:v>Db</c:v>
                </c:pt>
                <c:pt idx="4">
                  <c:v>Tb</c:v>
                </c:pt>
                <c:pt idx="5">
                  <c:v>Qb</c:v>
                </c:pt>
                <c:pt idx="6">
                  <c:v>S</c:v>
                </c:pt>
              </c:strCache>
            </c:strRef>
          </c:cat>
          <c:val>
            <c:numRef>
              <c:f>'DS utveckling'!$E$102:$K$102</c:f>
              <c:numCache>
                <c:formatCode>General</c:formatCode>
                <c:ptCount val="7"/>
                <c:pt idx="0">
                  <c:v>0</c:v>
                </c:pt>
                <c:pt idx="1">
                  <c:v>7.41</c:v>
                </c:pt>
                <c:pt idx="2">
                  <c:v>35.19</c:v>
                </c:pt>
                <c:pt idx="3">
                  <c:v>38.89</c:v>
                </c:pt>
                <c:pt idx="4">
                  <c:v>16.670000000000002</c:v>
                </c:pt>
                <c:pt idx="5">
                  <c:v>1.85</c:v>
                </c:pt>
                <c:pt idx="6">
                  <c:v>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8-2765-4D9D-8349-FD3EA87A8A43}"/>
            </c:ext>
          </c:extLst>
        </c:ser>
        <c:ser>
          <c:idx val="9"/>
          <c:order val="9"/>
          <c:tx>
            <c:strRef>
              <c:f>'DS utveckling'!$D$103</c:f>
              <c:strCache>
                <c:ptCount val="1"/>
                <c:pt idx="0">
                  <c:v>Strandahl</c:v>
                </c:pt>
              </c:strCache>
            </c:strRef>
          </c:tx>
          <c:spPr>
            <a:ln w="34925" cap="rnd">
              <a:solidFill>
                <a:schemeClr val="accent4">
                  <a:lumMod val="60000"/>
                </a:schemeClr>
              </a:solidFill>
              <a:round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utveckling'!$E$93:$K$93</c:f>
              <c:strCache>
                <c:ptCount val="7"/>
                <c:pt idx="0">
                  <c:v>Bi</c:v>
                </c:pt>
                <c:pt idx="1">
                  <c:v>P</c:v>
                </c:pt>
                <c:pt idx="2">
                  <c:v>Bo</c:v>
                </c:pt>
                <c:pt idx="3">
                  <c:v>Db</c:v>
                </c:pt>
                <c:pt idx="4">
                  <c:v>Tb</c:v>
                </c:pt>
                <c:pt idx="5">
                  <c:v>Qb</c:v>
                </c:pt>
                <c:pt idx="6">
                  <c:v>S</c:v>
                </c:pt>
              </c:strCache>
            </c:strRef>
          </c:cat>
          <c:val>
            <c:numRef>
              <c:f>'DS utveckling'!$E$103:$K$103</c:f>
              <c:numCache>
                <c:formatCode>General</c:formatCode>
                <c:ptCount val="7"/>
                <c:pt idx="0">
                  <c:v>0</c:v>
                </c:pt>
                <c:pt idx="1">
                  <c:v>9.26</c:v>
                </c:pt>
                <c:pt idx="2">
                  <c:v>22.22</c:v>
                </c:pt>
                <c:pt idx="3">
                  <c:v>22.22</c:v>
                </c:pt>
                <c:pt idx="4">
                  <c:v>31.48</c:v>
                </c:pt>
                <c:pt idx="5">
                  <c:v>11.11</c:v>
                </c:pt>
                <c:pt idx="6">
                  <c:v>3.7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9-2765-4D9D-8349-FD3EA87A8A43}"/>
            </c:ext>
          </c:extLst>
        </c:ser>
        <c:ser>
          <c:idx val="10"/>
          <c:order val="10"/>
          <c:tx>
            <c:strRef>
              <c:f>'DS utveckling'!$D$104</c:f>
              <c:strCache>
                <c:ptCount val="1"/>
                <c:pt idx="0">
                  <c:v>Kent</c:v>
                </c:pt>
              </c:strCache>
            </c:strRef>
          </c:tx>
          <c:spPr>
            <a:ln w="34925" cap="rnd">
              <a:solidFill>
                <a:schemeClr val="accent5">
                  <a:lumMod val="60000"/>
                </a:schemeClr>
              </a:solidFill>
              <a:round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utveckling'!$E$93:$K$93</c:f>
              <c:strCache>
                <c:ptCount val="7"/>
                <c:pt idx="0">
                  <c:v>Bi</c:v>
                </c:pt>
                <c:pt idx="1">
                  <c:v>P</c:v>
                </c:pt>
                <c:pt idx="2">
                  <c:v>Bo</c:v>
                </c:pt>
                <c:pt idx="3">
                  <c:v>Db</c:v>
                </c:pt>
                <c:pt idx="4">
                  <c:v>Tb</c:v>
                </c:pt>
                <c:pt idx="5">
                  <c:v>Qb</c:v>
                </c:pt>
                <c:pt idx="6">
                  <c:v>S</c:v>
                </c:pt>
              </c:strCache>
            </c:strRef>
          </c:cat>
          <c:val>
            <c:numRef>
              <c:f>'DS utveckling'!$E$104:$K$104</c:f>
              <c:numCache>
                <c:formatCode>General</c:formatCode>
                <c:ptCount val="7"/>
                <c:pt idx="0">
                  <c:v>0</c:v>
                </c:pt>
                <c:pt idx="1">
                  <c:v>5.56</c:v>
                </c:pt>
                <c:pt idx="2">
                  <c:v>33.33</c:v>
                </c:pt>
                <c:pt idx="3">
                  <c:v>22.22</c:v>
                </c:pt>
                <c:pt idx="4">
                  <c:v>20.37</c:v>
                </c:pt>
                <c:pt idx="5">
                  <c:v>12.96</c:v>
                </c:pt>
                <c:pt idx="6">
                  <c:v>5.56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A-2765-4D9D-8349-FD3EA87A8A43}"/>
            </c:ext>
          </c:extLst>
        </c:ser>
        <c:ser>
          <c:idx val="11"/>
          <c:order val="11"/>
          <c:tx>
            <c:strRef>
              <c:f>'DS utveckling'!$D$105</c:f>
              <c:strCache>
                <c:ptCount val="1"/>
                <c:pt idx="0">
                  <c:v>Stefan</c:v>
                </c:pt>
              </c:strCache>
            </c:strRef>
          </c:tx>
          <c:spPr>
            <a:ln w="34925" cap="rnd">
              <a:solidFill>
                <a:schemeClr val="accent6">
                  <a:lumMod val="60000"/>
                </a:schemeClr>
              </a:solidFill>
              <a:round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utveckling'!$E$93:$K$93</c:f>
              <c:strCache>
                <c:ptCount val="7"/>
                <c:pt idx="0">
                  <c:v>Bi</c:v>
                </c:pt>
                <c:pt idx="1">
                  <c:v>P</c:v>
                </c:pt>
                <c:pt idx="2">
                  <c:v>Bo</c:v>
                </c:pt>
                <c:pt idx="3">
                  <c:v>Db</c:v>
                </c:pt>
                <c:pt idx="4">
                  <c:v>Tb</c:v>
                </c:pt>
                <c:pt idx="5">
                  <c:v>Qb</c:v>
                </c:pt>
                <c:pt idx="6">
                  <c:v>S</c:v>
                </c:pt>
              </c:strCache>
            </c:strRef>
          </c:cat>
          <c:val>
            <c:numRef>
              <c:f>'DS utveckling'!$E$105:$K$105</c:f>
              <c:numCache>
                <c:formatCode>General</c:formatCode>
                <c:ptCount val="7"/>
                <c:pt idx="0">
                  <c:v>3.7</c:v>
                </c:pt>
                <c:pt idx="1">
                  <c:v>27.78</c:v>
                </c:pt>
                <c:pt idx="2">
                  <c:v>40.74</c:v>
                </c:pt>
                <c:pt idx="3">
                  <c:v>16.670000000000002</c:v>
                </c:pt>
                <c:pt idx="4">
                  <c:v>9.26</c:v>
                </c:pt>
                <c:pt idx="5">
                  <c:v>1.85</c:v>
                </c:pt>
                <c:pt idx="6">
                  <c:v>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B-2765-4D9D-8349-FD3EA87A8A43}"/>
            </c:ext>
          </c:extLst>
        </c:ser>
        <c:ser>
          <c:idx val="12"/>
          <c:order val="12"/>
          <c:tx>
            <c:strRef>
              <c:f>'DS utveckling'!$D$106</c:f>
              <c:strCache>
                <c:ptCount val="1"/>
                <c:pt idx="0">
                  <c:v>Niklas</c:v>
                </c:pt>
              </c:strCache>
            </c:strRef>
          </c:tx>
          <c:spPr>
            <a:ln w="34925" cap="rnd">
              <a:solidFill>
                <a:schemeClr val="accent1">
                  <a:lumMod val="80000"/>
                  <a:lumOff val="20000"/>
                </a:schemeClr>
              </a:solidFill>
              <a:round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utveckling'!$E$93:$K$93</c:f>
              <c:strCache>
                <c:ptCount val="7"/>
                <c:pt idx="0">
                  <c:v>Bi</c:v>
                </c:pt>
                <c:pt idx="1">
                  <c:v>P</c:v>
                </c:pt>
                <c:pt idx="2">
                  <c:v>Bo</c:v>
                </c:pt>
                <c:pt idx="3">
                  <c:v>Db</c:v>
                </c:pt>
                <c:pt idx="4">
                  <c:v>Tb</c:v>
                </c:pt>
                <c:pt idx="5">
                  <c:v>Qb</c:v>
                </c:pt>
                <c:pt idx="6">
                  <c:v>S</c:v>
                </c:pt>
              </c:strCache>
            </c:strRef>
          </c:cat>
          <c:val>
            <c:numRef>
              <c:f>'DS utveckling'!$E$106:$K$106</c:f>
              <c:numCache>
                <c:formatCode>General</c:formatCode>
                <c:ptCount val="7"/>
                <c:pt idx="0">
                  <c:v>0</c:v>
                </c:pt>
                <c:pt idx="1">
                  <c:v>12.96</c:v>
                </c:pt>
                <c:pt idx="2">
                  <c:v>33.33</c:v>
                </c:pt>
                <c:pt idx="3">
                  <c:v>37.04</c:v>
                </c:pt>
                <c:pt idx="4">
                  <c:v>11.11</c:v>
                </c:pt>
                <c:pt idx="5">
                  <c:v>5.56</c:v>
                </c:pt>
                <c:pt idx="6">
                  <c:v>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C-2765-4D9D-8349-FD3EA87A8A43}"/>
            </c:ext>
          </c:extLst>
        </c:ser>
        <c:ser>
          <c:idx val="13"/>
          <c:order val="13"/>
          <c:tx>
            <c:strRef>
              <c:f>'DS utveckling'!$D$107</c:f>
              <c:strCache>
                <c:ptCount val="1"/>
                <c:pt idx="0">
                  <c:v>Jocke</c:v>
                </c:pt>
              </c:strCache>
            </c:strRef>
          </c:tx>
          <c:spPr>
            <a:ln w="34925" cap="rnd">
              <a:solidFill>
                <a:schemeClr val="accent2">
                  <a:lumMod val="80000"/>
                  <a:lumOff val="20000"/>
                </a:schemeClr>
              </a:solidFill>
              <a:round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utveckling'!$E$93:$K$93</c:f>
              <c:strCache>
                <c:ptCount val="7"/>
                <c:pt idx="0">
                  <c:v>Bi</c:v>
                </c:pt>
                <c:pt idx="1">
                  <c:v>P</c:v>
                </c:pt>
                <c:pt idx="2">
                  <c:v>Bo</c:v>
                </c:pt>
                <c:pt idx="3">
                  <c:v>Db</c:v>
                </c:pt>
                <c:pt idx="4">
                  <c:v>Tb</c:v>
                </c:pt>
                <c:pt idx="5">
                  <c:v>Qb</c:v>
                </c:pt>
                <c:pt idx="6">
                  <c:v>S</c:v>
                </c:pt>
              </c:strCache>
            </c:strRef>
          </c:cat>
          <c:val>
            <c:numRef>
              <c:f>'DS utveckling'!$E$107:$K$107</c:f>
              <c:numCache>
                <c:formatCode>General</c:formatCode>
                <c:ptCount val="7"/>
                <c:pt idx="0">
                  <c:v>8.33</c:v>
                </c:pt>
                <c:pt idx="1">
                  <c:v>22.22</c:v>
                </c:pt>
                <c:pt idx="2">
                  <c:v>25</c:v>
                </c:pt>
                <c:pt idx="3">
                  <c:v>27.78</c:v>
                </c:pt>
                <c:pt idx="4">
                  <c:v>11.11</c:v>
                </c:pt>
                <c:pt idx="5">
                  <c:v>0</c:v>
                </c:pt>
                <c:pt idx="6">
                  <c:v>5.56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D-2765-4D9D-8349-FD3EA87A8A43}"/>
            </c:ext>
          </c:extLst>
        </c:ser>
        <c:ser>
          <c:idx val="14"/>
          <c:order val="14"/>
          <c:tx>
            <c:strRef>
              <c:f>'DS utveckling'!$D$108</c:f>
              <c:strCache>
                <c:ptCount val="1"/>
                <c:pt idx="0">
                  <c:v>P-J</c:v>
                </c:pt>
              </c:strCache>
            </c:strRef>
          </c:tx>
          <c:spPr>
            <a:ln w="34925" cap="rnd">
              <a:solidFill>
                <a:schemeClr val="accent3">
                  <a:lumMod val="80000"/>
                  <a:lumOff val="20000"/>
                </a:schemeClr>
              </a:solidFill>
              <a:round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utveckling'!$E$93:$K$93</c:f>
              <c:strCache>
                <c:ptCount val="7"/>
                <c:pt idx="0">
                  <c:v>Bi</c:v>
                </c:pt>
                <c:pt idx="1">
                  <c:v>P</c:v>
                </c:pt>
                <c:pt idx="2">
                  <c:v>Bo</c:v>
                </c:pt>
                <c:pt idx="3">
                  <c:v>Db</c:v>
                </c:pt>
                <c:pt idx="4">
                  <c:v>Tb</c:v>
                </c:pt>
                <c:pt idx="5">
                  <c:v>Qb</c:v>
                </c:pt>
                <c:pt idx="6">
                  <c:v>S</c:v>
                </c:pt>
              </c:strCache>
            </c:strRef>
          </c:cat>
          <c:val>
            <c:numRef>
              <c:f>'DS utveckling'!$E$108:$K$108</c:f>
              <c:numCache>
                <c:formatCode>General</c:formatCode>
                <c:ptCount val="7"/>
                <c:pt idx="0">
                  <c:v>2.78</c:v>
                </c:pt>
                <c:pt idx="1">
                  <c:v>16.670000000000002</c:v>
                </c:pt>
                <c:pt idx="2">
                  <c:v>33.33</c:v>
                </c:pt>
                <c:pt idx="3">
                  <c:v>25</c:v>
                </c:pt>
                <c:pt idx="4">
                  <c:v>13.89</c:v>
                </c:pt>
                <c:pt idx="5">
                  <c:v>8.33</c:v>
                </c:pt>
                <c:pt idx="6">
                  <c:v>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E-2765-4D9D-8349-FD3EA87A8A43}"/>
            </c:ext>
          </c:extLst>
        </c:ser>
        <c:ser>
          <c:idx val="15"/>
          <c:order val="15"/>
          <c:tx>
            <c:strRef>
              <c:f>'DS utveckling'!$D$109</c:f>
              <c:strCache>
                <c:ptCount val="1"/>
                <c:pt idx="0">
                  <c:v>Källström</c:v>
                </c:pt>
              </c:strCache>
            </c:strRef>
          </c:tx>
          <c:spPr>
            <a:ln w="34925" cap="rnd">
              <a:solidFill>
                <a:schemeClr val="accent4">
                  <a:lumMod val="80000"/>
                  <a:lumOff val="20000"/>
                </a:schemeClr>
              </a:solidFill>
              <a:round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95000"/>
                          <a:alpha val="54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'DS utveckling'!$E$93:$K$93</c:f>
              <c:strCache>
                <c:ptCount val="7"/>
                <c:pt idx="0">
                  <c:v>Bi</c:v>
                </c:pt>
                <c:pt idx="1">
                  <c:v>P</c:v>
                </c:pt>
                <c:pt idx="2">
                  <c:v>Bo</c:v>
                </c:pt>
                <c:pt idx="3">
                  <c:v>Db</c:v>
                </c:pt>
                <c:pt idx="4">
                  <c:v>Tb</c:v>
                </c:pt>
                <c:pt idx="5">
                  <c:v>Qb</c:v>
                </c:pt>
                <c:pt idx="6">
                  <c:v>S</c:v>
                </c:pt>
              </c:strCache>
            </c:strRef>
          </c:cat>
          <c:val>
            <c:numRef>
              <c:f>'DS utveckling'!$E$109:$K$109</c:f>
              <c:numCache>
                <c:formatCode>General</c:formatCode>
                <c:ptCount val="7"/>
                <c:pt idx="0">
                  <c:v>1.85</c:v>
                </c:pt>
                <c:pt idx="1">
                  <c:v>11.11</c:v>
                </c:pt>
                <c:pt idx="2">
                  <c:v>33.33</c:v>
                </c:pt>
                <c:pt idx="3">
                  <c:v>35.19</c:v>
                </c:pt>
                <c:pt idx="4">
                  <c:v>11.11</c:v>
                </c:pt>
                <c:pt idx="5">
                  <c:v>3.7</c:v>
                </c:pt>
                <c:pt idx="6">
                  <c:v>3.7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F-2765-4D9D-8349-FD3EA87A8A43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smooth val="0"/>
        <c:axId val="483821480"/>
        <c:axId val="483820040"/>
      </c:lineChart>
      <c:catAx>
        <c:axId val="4838214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lt1">
                <a:lumMod val="95000"/>
                <a:alpha val="10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SE"/>
          </a:p>
        </c:txPr>
        <c:crossAx val="483820040"/>
        <c:crosses val="autoZero"/>
        <c:auto val="1"/>
        <c:lblAlgn val="ctr"/>
        <c:lblOffset val="100"/>
        <c:noMultiLvlLbl val="0"/>
      </c:catAx>
      <c:valAx>
        <c:axId val="48382004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lt1">
                  <a:lumMod val="95000"/>
                  <a:alpha val="10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SE"/>
          </a:p>
        </c:txPr>
        <c:crossAx val="48382148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lt1">
                  <a:lumMod val="85000"/>
                </a:schemeClr>
              </a:solidFill>
              <a:latin typeface="+mn-lt"/>
              <a:ea typeface="+mn-ea"/>
              <a:cs typeface="+mn-cs"/>
            </a:defRPr>
          </a:pPr>
          <a:endParaRPr lang="sv-SE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dk1">
            <a:lumMod val="65000"/>
            <a:lumOff val="35000"/>
          </a:schemeClr>
        </a:gs>
        <a:gs pos="100000">
          <a:schemeClr val="dk1">
            <a:lumMod val="85000"/>
            <a:lumOff val="15000"/>
          </a:schemeClr>
        </a:gs>
      </a:gsLst>
      <a:path path="circle">
        <a:fillToRect l="50000" t="50000" r="50000" b="50000"/>
      </a:path>
      <a:tileRect/>
    </a:gradFill>
    <a:ln>
      <a:noFill/>
    </a:ln>
    <a:effectLst/>
  </c:spPr>
  <c:txPr>
    <a:bodyPr/>
    <a:lstStyle/>
    <a:p>
      <a:pPr>
        <a:defRPr/>
      </a:pPr>
      <a:endParaRPr lang="sv-SE"/>
    </a:p>
  </c:txPr>
  <c:printSettings>
    <c:headerFooter/>
    <c:pageMargins b="0.75" l="0.7" r="0.7" t="0.75" header="0.3" footer="0.3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v-S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800" b="1" i="0" u="none" strike="noStrike" kern="1200" baseline="0">
                <a:solidFill>
                  <a:schemeClr val="dk1">
                    <a:lumMod val="75000"/>
                    <a:lumOff val="2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sv-SE"/>
              <a:t>Missade rundor genom åren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dk1">
                  <a:lumMod val="75000"/>
                  <a:lumOff val="25000"/>
                </a:schemeClr>
              </a:solidFill>
              <a:latin typeface="+mn-lt"/>
              <a:ea typeface="+mn-ea"/>
              <a:cs typeface="+mn-cs"/>
            </a:defRPr>
          </a:pPr>
          <a:endParaRPr lang="sv-SE"/>
        </a:p>
      </c:txPr>
    </c:title>
    <c:autoTitleDeleted val="0"/>
    <c:plotArea>
      <c:layout/>
      <c:lineChart>
        <c:grouping val="standard"/>
        <c:varyColors val="0"/>
        <c:ser>
          <c:idx val="0"/>
          <c:order val="0"/>
          <c:tx>
            <c:strRef>
              <c:f>'Missade rundor'!$C$4</c:f>
              <c:strCache>
                <c:ptCount val="1"/>
                <c:pt idx="0">
                  <c:v>Antal</c:v>
                </c:pt>
              </c:strCache>
            </c:strRef>
          </c:tx>
          <c:spPr>
            <a:ln w="317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1"/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numRef>
              <c:f>'Missade rundor'!$B$5:$B$19</c:f>
              <c:numCache>
                <c:formatCode>General</c:formatCode>
                <c:ptCount val="15"/>
                <c:pt idx="0">
                  <c:v>2009</c:v>
                </c:pt>
                <c:pt idx="1">
                  <c:v>2010</c:v>
                </c:pt>
                <c:pt idx="2">
                  <c:v>2011</c:v>
                </c:pt>
                <c:pt idx="3">
                  <c:v>2012</c:v>
                </c:pt>
                <c:pt idx="4">
                  <c:v>2013</c:v>
                </c:pt>
                <c:pt idx="5">
                  <c:v>2014</c:v>
                </c:pt>
                <c:pt idx="6">
                  <c:v>2015</c:v>
                </c:pt>
                <c:pt idx="7">
                  <c:v>2016</c:v>
                </c:pt>
                <c:pt idx="8">
                  <c:v>2017</c:v>
                </c:pt>
                <c:pt idx="9">
                  <c:v>2018</c:v>
                </c:pt>
                <c:pt idx="10">
                  <c:v>2019</c:v>
                </c:pt>
                <c:pt idx="11">
                  <c:v>2020</c:v>
                </c:pt>
                <c:pt idx="12">
                  <c:v>2021</c:v>
                </c:pt>
                <c:pt idx="13">
                  <c:v>2022</c:v>
                </c:pt>
                <c:pt idx="14">
                  <c:v>2023</c:v>
                </c:pt>
              </c:numCache>
            </c:numRef>
          </c:cat>
          <c:val>
            <c:numRef>
              <c:f>'Missade rundor'!$C$5:$C$19</c:f>
              <c:numCache>
                <c:formatCode>General</c:formatCode>
                <c:ptCount val="15"/>
                <c:pt idx="0">
                  <c:v>23</c:v>
                </c:pt>
                <c:pt idx="1">
                  <c:v>28</c:v>
                </c:pt>
                <c:pt idx="2">
                  <c:v>34</c:v>
                </c:pt>
                <c:pt idx="3">
                  <c:v>25</c:v>
                </c:pt>
                <c:pt idx="4">
                  <c:v>20</c:v>
                </c:pt>
                <c:pt idx="5">
                  <c:v>38</c:v>
                </c:pt>
                <c:pt idx="6">
                  <c:v>43</c:v>
                </c:pt>
                <c:pt idx="7">
                  <c:v>32</c:v>
                </c:pt>
                <c:pt idx="8">
                  <c:v>36</c:v>
                </c:pt>
                <c:pt idx="9">
                  <c:v>42</c:v>
                </c:pt>
                <c:pt idx="10">
                  <c:v>38</c:v>
                </c:pt>
                <c:pt idx="11">
                  <c:v>8</c:v>
                </c:pt>
                <c:pt idx="12">
                  <c:v>10</c:v>
                </c:pt>
                <c:pt idx="13">
                  <c:v>16</c:v>
                </c:pt>
                <c:pt idx="14">
                  <c:v>31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9E3D-4A94-9D47-F0A1796DFCD8}"/>
            </c:ext>
          </c:extLst>
        </c:ser>
        <c:ser>
          <c:idx val="1"/>
          <c:order val="1"/>
          <c:tx>
            <c:strRef>
              <c:f>'Missade rundor'!$D$4</c:f>
              <c:strCache>
                <c:ptCount val="1"/>
                <c:pt idx="0">
                  <c:v>Spelare/omg</c:v>
                </c:pt>
              </c:strCache>
            </c:strRef>
          </c:tx>
          <c:spPr>
            <a:ln w="317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17"/>
            <c:spPr>
              <a:solidFill>
                <a:schemeClr val="accent2"/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numRef>
              <c:f>'Missade rundor'!$B$5:$B$19</c:f>
              <c:numCache>
                <c:formatCode>General</c:formatCode>
                <c:ptCount val="15"/>
                <c:pt idx="0">
                  <c:v>2009</c:v>
                </c:pt>
                <c:pt idx="1">
                  <c:v>2010</c:v>
                </c:pt>
                <c:pt idx="2">
                  <c:v>2011</c:v>
                </c:pt>
                <c:pt idx="3">
                  <c:v>2012</c:v>
                </c:pt>
                <c:pt idx="4">
                  <c:v>2013</c:v>
                </c:pt>
                <c:pt idx="5">
                  <c:v>2014</c:v>
                </c:pt>
                <c:pt idx="6">
                  <c:v>2015</c:v>
                </c:pt>
                <c:pt idx="7">
                  <c:v>2016</c:v>
                </c:pt>
                <c:pt idx="8">
                  <c:v>2017</c:v>
                </c:pt>
                <c:pt idx="9">
                  <c:v>2018</c:v>
                </c:pt>
                <c:pt idx="10">
                  <c:v>2019</c:v>
                </c:pt>
                <c:pt idx="11">
                  <c:v>2020</c:v>
                </c:pt>
                <c:pt idx="12">
                  <c:v>2021</c:v>
                </c:pt>
                <c:pt idx="13">
                  <c:v>2022</c:v>
                </c:pt>
                <c:pt idx="14">
                  <c:v>2023</c:v>
                </c:pt>
              </c:numCache>
            </c:numRef>
          </c:cat>
          <c:val>
            <c:numRef>
              <c:f>'Missade rundor'!$D$5:$D$19</c:f>
              <c:numCache>
                <c:formatCode>0.00</c:formatCode>
                <c:ptCount val="15"/>
                <c:pt idx="0">
                  <c:v>2.2999999999999998</c:v>
                </c:pt>
                <c:pt idx="1">
                  <c:v>3.1111111111111112</c:v>
                </c:pt>
                <c:pt idx="2">
                  <c:v>3.7777777777777777</c:v>
                </c:pt>
                <c:pt idx="3">
                  <c:v>2.7777777777777777</c:v>
                </c:pt>
                <c:pt idx="4">
                  <c:v>2</c:v>
                </c:pt>
                <c:pt idx="5">
                  <c:v>4.2222222222222223</c:v>
                </c:pt>
                <c:pt idx="6">
                  <c:v>4.7777777777777777</c:v>
                </c:pt>
                <c:pt idx="7">
                  <c:v>3.2</c:v>
                </c:pt>
                <c:pt idx="8">
                  <c:v>4</c:v>
                </c:pt>
                <c:pt idx="9">
                  <c:v>4.666666666666667</c:v>
                </c:pt>
                <c:pt idx="10">
                  <c:v>3.8</c:v>
                </c:pt>
                <c:pt idx="11">
                  <c:v>0.88888888888888884</c:v>
                </c:pt>
                <c:pt idx="12">
                  <c:v>1.1111111111111112</c:v>
                </c:pt>
                <c:pt idx="13">
                  <c:v>1.7777777777777777</c:v>
                </c:pt>
                <c:pt idx="14">
                  <c:v>3.4444444444444446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9E3D-4A94-9D47-F0A1796DFCD8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marker val="1"/>
        <c:smooth val="0"/>
        <c:axId val="821789248"/>
        <c:axId val="374229456"/>
      </c:lineChart>
      <c:catAx>
        <c:axId val="82178924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900" b="1" i="0" u="none" strike="noStrike" kern="1200" baseline="0">
                    <a:solidFill>
                      <a:schemeClr val="dk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v-SE"/>
                  <a:t>Åren genom åren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900" b="1" i="0" u="none" strike="noStrike" kern="1200" baseline="0">
                  <a:solidFill>
                    <a:schemeClr val="dk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v-SE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19050" cap="flat" cmpd="sng" algn="ctr">
            <a:solidFill>
              <a:schemeClr val="dk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cap="all" baseline="0">
                <a:solidFill>
                  <a:schemeClr val="dk1">
                    <a:lumMod val="75000"/>
                    <a:lumOff val="2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SE"/>
          </a:p>
        </c:txPr>
        <c:crossAx val="374229456"/>
        <c:crosses val="autoZero"/>
        <c:auto val="1"/>
        <c:lblAlgn val="ctr"/>
        <c:lblOffset val="100"/>
        <c:noMultiLvlLbl val="0"/>
      </c:catAx>
      <c:valAx>
        <c:axId val="374229456"/>
        <c:scaling>
          <c:orientation val="minMax"/>
        </c:scaling>
        <c:delete val="1"/>
        <c:axPos val="l"/>
        <c:majorGridlines>
          <c:spPr>
            <a:ln w="9525" cap="flat" cmpd="sng" algn="ctr">
              <a:gradFill>
                <a:gsLst>
                  <a:gs pos="100000">
                    <a:schemeClr val="dk1">
                      <a:lumMod val="95000"/>
                      <a:lumOff val="5000"/>
                      <a:alpha val="42000"/>
                    </a:schemeClr>
                  </a:gs>
                  <a:gs pos="0">
                    <a:schemeClr val="lt1">
                      <a:lumMod val="75000"/>
                      <a:alpha val="36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900" b="1" i="0" u="none" strike="noStrike" kern="1200" baseline="0">
                    <a:solidFill>
                      <a:schemeClr val="dk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v-SE"/>
                  <a:t>Antal rundor (Röd = snitt gubbar per runda)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900" b="1" i="0" u="none" strike="noStrike" kern="1200" baseline="0">
                  <a:solidFill>
                    <a:schemeClr val="dk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v-SE"/>
            </a:p>
          </c:txPr>
        </c:title>
        <c:numFmt formatCode="General" sourceLinked="1"/>
        <c:majorTickMark val="none"/>
        <c:minorTickMark val="none"/>
        <c:tickLblPos val="nextTo"/>
        <c:crossAx val="821789248"/>
        <c:crosses val="autoZero"/>
        <c:crossBetween val="between"/>
      </c:valAx>
      <c:dTable>
        <c:showHorzBorder val="1"/>
        <c:showVertBorder val="1"/>
        <c:showOutline val="1"/>
        <c:showKeys val="1"/>
        <c:spPr>
          <a:noFill/>
          <a:ln w="9525">
            <a:solidFill>
              <a:schemeClr val="dk1">
                <a:lumMod val="35000"/>
                <a:lumOff val="65000"/>
              </a:schemeClr>
            </a:solidFill>
          </a:ln>
          <a:effectLst/>
        </c:spPr>
        <c:txPr>
          <a:bodyPr rot="0" spcFirstLastPara="1" vertOverflow="ellipsis" vert="horz" wrap="square" anchor="ctr" anchorCtr="1"/>
          <a:lstStyle/>
          <a:p>
            <a:pPr rtl="0">
              <a:defRPr sz="900" b="0" i="0" u="none" strike="noStrike" kern="1200" baseline="0">
                <a:solidFill>
                  <a:schemeClr val="dk1">
                    <a:lumMod val="75000"/>
                    <a:lumOff val="2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SE"/>
          </a:p>
        </c:txPr>
      </c:dTable>
      <c:spPr>
        <a:noFill/>
        <a:ln>
          <a:noFill/>
        </a:ln>
        <a:effectLst/>
      </c:spPr>
    </c:plotArea>
    <c:legend>
      <c:legendPos val="b"/>
      <c:overlay val="0"/>
      <c:spPr>
        <a:solidFill>
          <a:schemeClr val="lt1">
            <a:lumMod val="95000"/>
            <a:alpha val="39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dk1">
                  <a:lumMod val="75000"/>
                  <a:lumOff val="25000"/>
                </a:schemeClr>
              </a:solidFill>
              <a:latin typeface="+mn-lt"/>
              <a:ea typeface="+mn-ea"/>
              <a:cs typeface="+mn-cs"/>
            </a:defRPr>
          </a:pPr>
          <a:endParaRPr lang="sv-SE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lt1"/>
        </a:gs>
        <a:gs pos="39000">
          <a:schemeClr val="lt1"/>
        </a:gs>
        <a:gs pos="100000">
          <a:schemeClr val="lt1">
            <a:lumMod val="75000"/>
          </a:schemeClr>
        </a:gs>
      </a:gsLst>
      <a:path path="circle">
        <a:fillToRect l="50000" t="-80000" r="50000" b="180000"/>
      </a:path>
      <a:tileRect/>
    </a:gradFill>
    <a:ln w="9525" cap="flat" cmpd="sng" algn="ctr">
      <a:solidFill>
        <a:schemeClr val="dk1">
          <a:lumMod val="25000"/>
          <a:lumOff val="75000"/>
        </a:schemeClr>
      </a:solidFill>
      <a:round/>
    </a:ln>
    <a:effectLst/>
  </c:spPr>
  <c:txPr>
    <a:bodyPr/>
    <a:lstStyle/>
    <a:p>
      <a:pPr>
        <a:defRPr/>
      </a:pPr>
      <a:endParaRPr lang="sv-SE"/>
    </a:p>
  </c:txPr>
  <c:printSettings>
    <c:headerFooter/>
    <c:pageMargins b="0.75" l="0.7" r="0.7" t="0.75" header="0.3" footer="0.3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v-S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spc="100" baseline="0">
                <a:solidFill>
                  <a:schemeClr val="lt1">
                    <a:lumMod val="95000"/>
                  </a:schemeClr>
                </a:solidFill>
                <a:effectLst>
                  <a:outerShdw blurRad="50800" dist="38100" dir="5400000" algn="t" rotWithShape="0">
                    <a:prstClr val="black">
                      <a:alpha val="40000"/>
                    </a:prstClr>
                  </a:outerShdw>
                </a:effectLst>
                <a:latin typeface="+mn-lt"/>
                <a:ea typeface="+mn-ea"/>
                <a:cs typeface="+mn-cs"/>
              </a:defRPr>
            </a:pPr>
            <a:r>
              <a:rPr lang="sv-SE"/>
              <a:t>Jämförelse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spc="100" baseline="0">
              <a:solidFill>
                <a:schemeClr val="lt1">
                  <a:lumMod val="95000"/>
                </a:schemeClr>
              </a:solidFill>
              <a:effectLst>
                <a:outerShdw blurRad="50800" dist="38100" dir="5400000" algn="t" rotWithShape="0">
                  <a:prstClr val="black">
                    <a:alpha val="40000"/>
                  </a:prstClr>
                </a:outerShdw>
              </a:effectLst>
              <a:latin typeface="+mn-lt"/>
              <a:ea typeface="+mn-ea"/>
              <a:cs typeface="+mn-cs"/>
            </a:defRPr>
          </a:pPr>
          <a:endParaRPr lang="sv-SE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Snittscorer!$F$70</c:f>
              <c:strCache>
                <c:ptCount val="1"/>
                <c:pt idx="0">
                  <c:v>Ligan 2021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hade val="51000"/>
                    <a:satMod val="130000"/>
                  </a:schemeClr>
                </a:gs>
                <a:gs pos="80000">
                  <a:schemeClr val="accent1">
                    <a:shade val="93000"/>
                    <a:satMod val="130000"/>
                  </a:schemeClr>
                </a:gs>
                <a:gs pos="100000">
                  <a:schemeClr val="accent1">
                    <a:shade val="94000"/>
                    <a:satMod val="135000"/>
                  </a:schemeClr>
                </a:gs>
              </a:gsLst>
              <a:lin ang="16200000" scaled="0"/>
            </a:gradFill>
            <a:ln>
              <a:noFill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  <a:scene3d>
              <a:camera prst="orthographicFront">
                <a:rot lat="0" lon="0" rev="0"/>
              </a:camera>
              <a:lightRig rig="threePt" dir="t">
                <a:rot lat="0" lon="0" rev="1200000"/>
              </a:lightRig>
            </a:scene3d>
            <a:sp3d>
              <a:bevelT w="63500" h="25400"/>
            </a:sp3d>
          </c:spPr>
          <c:invertIfNegative val="0"/>
          <c:cat>
            <c:strRef>
              <c:f>Snittscorer!$C$71:$C$77</c:f>
              <c:strCache>
                <c:ptCount val="7"/>
                <c:pt idx="0">
                  <c:v>Birdies</c:v>
                </c:pt>
                <c:pt idx="1">
                  <c:v>Par</c:v>
                </c:pt>
                <c:pt idx="2">
                  <c:v>Bogeys</c:v>
                </c:pt>
                <c:pt idx="3">
                  <c:v>Dubbel</c:v>
                </c:pt>
                <c:pt idx="4">
                  <c:v>Trippel</c:v>
                </c:pt>
                <c:pt idx="5">
                  <c:v>Quattro</c:v>
                </c:pt>
                <c:pt idx="6">
                  <c:v>Shit</c:v>
                </c:pt>
              </c:strCache>
            </c:strRef>
          </c:cat>
          <c:val>
            <c:numRef>
              <c:f>Snittscorer!$F$71:$F$77</c:f>
              <c:numCache>
                <c:formatCode>0.00%</c:formatCode>
                <c:ptCount val="7"/>
                <c:pt idx="0">
                  <c:v>1.5873015873015872E-2</c:v>
                </c:pt>
                <c:pt idx="1">
                  <c:v>0.13095238095238096</c:v>
                </c:pt>
                <c:pt idx="2">
                  <c:v>0.37698412698412698</c:v>
                </c:pt>
                <c:pt idx="3">
                  <c:v>0.27380952380952384</c:v>
                </c:pt>
                <c:pt idx="4">
                  <c:v>9.5238095238095233E-2</c:v>
                </c:pt>
                <c:pt idx="5">
                  <c:v>4.3650793650793648E-2</c:v>
                </c:pt>
                <c:pt idx="6">
                  <c:v>6.3492063492063489E-2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92F-4EC9-A71F-1CFCB06C78F8}"/>
            </c:ext>
          </c:extLst>
        </c:ser>
        <c:ser>
          <c:idx val="1"/>
          <c:order val="1"/>
          <c:tx>
            <c:strRef>
              <c:f>Snittscorer!$E$70</c:f>
              <c:strCache>
                <c:ptCount val="1"/>
                <c:pt idx="0">
                  <c:v>Ligan 2022</c:v>
                </c:pt>
              </c:strCache>
            </c:strRef>
          </c:tx>
          <c:spPr>
            <a:gradFill rotWithShape="1">
              <a:gsLst>
                <a:gs pos="0">
                  <a:schemeClr val="accent2">
                    <a:shade val="51000"/>
                    <a:satMod val="130000"/>
                  </a:schemeClr>
                </a:gs>
                <a:gs pos="80000">
                  <a:schemeClr val="accent2">
                    <a:shade val="93000"/>
                    <a:satMod val="130000"/>
                  </a:schemeClr>
                </a:gs>
                <a:gs pos="100000">
                  <a:schemeClr val="accent2">
                    <a:shade val="94000"/>
                    <a:satMod val="135000"/>
                  </a:schemeClr>
                </a:gs>
              </a:gsLst>
              <a:lin ang="16200000" scaled="0"/>
            </a:gradFill>
            <a:ln>
              <a:noFill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  <a:scene3d>
              <a:camera prst="orthographicFront">
                <a:rot lat="0" lon="0" rev="0"/>
              </a:camera>
              <a:lightRig rig="threePt" dir="t">
                <a:rot lat="0" lon="0" rev="1200000"/>
              </a:lightRig>
            </a:scene3d>
            <a:sp3d>
              <a:bevelT w="63500" h="25400"/>
            </a:sp3d>
          </c:spPr>
          <c:invertIfNegative val="0"/>
          <c:cat>
            <c:strRef>
              <c:f>Snittscorer!$C$71:$C$77</c:f>
              <c:strCache>
                <c:ptCount val="7"/>
                <c:pt idx="0">
                  <c:v>Birdies</c:v>
                </c:pt>
                <c:pt idx="1">
                  <c:v>Par</c:v>
                </c:pt>
                <c:pt idx="2">
                  <c:v>Bogeys</c:v>
                </c:pt>
                <c:pt idx="3">
                  <c:v>Dubbel</c:v>
                </c:pt>
                <c:pt idx="4">
                  <c:v>Trippel</c:v>
                </c:pt>
                <c:pt idx="5">
                  <c:v>Quattro</c:v>
                </c:pt>
                <c:pt idx="6">
                  <c:v>Shit</c:v>
                </c:pt>
              </c:strCache>
            </c:strRef>
          </c:cat>
          <c:val>
            <c:numRef>
              <c:f>Snittscorer!$E$71:$E$77</c:f>
              <c:numCache>
                <c:formatCode>0.00%</c:formatCode>
                <c:ptCount val="7"/>
                <c:pt idx="0">
                  <c:v>8.727606798346348E-3</c:v>
                </c:pt>
                <c:pt idx="1">
                  <c:v>0.12677997243913641</c:v>
                </c:pt>
                <c:pt idx="2">
                  <c:v>0.34359209921910888</c:v>
                </c:pt>
                <c:pt idx="3">
                  <c:v>0.27652733118971062</c:v>
                </c:pt>
                <c:pt idx="4">
                  <c:v>0.14423518603582913</c:v>
                </c:pt>
                <c:pt idx="5">
                  <c:v>5.8337161231051905E-2</c:v>
                </c:pt>
                <c:pt idx="6">
                  <c:v>4.1800643086816719E-2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92F-4EC9-A71F-1CFCB06C78F8}"/>
            </c:ext>
          </c:extLst>
        </c:ser>
        <c:ser>
          <c:idx val="2"/>
          <c:order val="2"/>
          <c:tx>
            <c:strRef>
              <c:f>Snittscorer!#REF!</c:f>
              <c:strCache>
                <c:ptCount val="1"/>
                <c:pt idx="0">
                  <c:v>#REF!</c:v>
                </c:pt>
              </c:strCache>
            </c:strRef>
          </c:tx>
          <c:spPr>
            <a:gradFill rotWithShape="1">
              <a:gsLst>
                <a:gs pos="0">
                  <a:schemeClr val="accent3">
                    <a:shade val="51000"/>
                    <a:satMod val="130000"/>
                  </a:schemeClr>
                </a:gs>
                <a:gs pos="80000">
                  <a:schemeClr val="accent3">
                    <a:shade val="93000"/>
                    <a:satMod val="130000"/>
                  </a:schemeClr>
                </a:gs>
                <a:gs pos="100000">
                  <a:schemeClr val="accent3">
                    <a:shade val="94000"/>
                    <a:satMod val="135000"/>
                  </a:schemeClr>
                </a:gs>
              </a:gsLst>
              <a:lin ang="16200000" scaled="0"/>
            </a:gradFill>
            <a:ln>
              <a:noFill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  <a:scene3d>
              <a:camera prst="orthographicFront">
                <a:rot lat="0" lon="0" rev="0"/>
              </a:camera>
              <a:lightRig rig="threePt" dir="t">
                <a:rot lat="0" lon="0" rev="1200000"/>
              </a:lightRig>
            </a:scene3d>
            <a:sp3d>
              <a:bevelT w="63500" h="25400"/>
            </a:sp3d>
          </c:spPr>
          <c:invertIfNegative val="0"/>
          <c:cat>
            <c:strRef>
              <c:f>Snittscorer!$C$71:$C$77</c:f>
              <c:strCache>
                <c:ptCount val="7"/>
                <c:pt idx="0">
                  <c:v>Birdies</c:v>
                </c:pt>
                <c:pt idx="1">
                  <c:v>Par</c:v>
                </c:pt>
                <c:pt idx="2">
                  <c:v>Bogeys</c:v>
                </c:pt>
                <c:pt idx="3">
                  <c:v>Dubbel</c:v>
                </c:pt>
                <c:pt idx="4">
                  <c:v>Trippel</c:v>
                </c:pt>
                <c:pt idx="5">
                  <c:v>Quattro</c:v>
                </c:pt>
                <c:pt idx="6">
                  <c:v>Shit</c:v>
                </c:pt>
              </c:strCache>
            </c:strRef>
          </c:cat>
          <c:val>
            <c:numRef>
              <c:f>Snittscorer!#REF!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892F-4EC9-A71F-1CFCB06C78F8}"/>
            </c:ext>
          </c:extLst>
        </c:ser>
        <c:ser>
          <c:idx val="3"/>
          <c:order val="3"/>
          <c:tx>
            <c:strRef>
              <c:f>Snittscorer!$G$70</c:f>
              <c:strCache>
                <c:ptCount val="1"/>
                <c:pt idx="0">
                  <c:v>Ligan 2020</c:v>
                </c:pt>
              </c:strCache>
            </c:strRef>
          </c:tx>
          <c:spPr>
            <a:gradFill rotWithShape="1">
              <a:gsLst>
                <a:gs pos="0">
                  <a:schemeClr val="accent4">
                    <a:shade val="51000"/>
                    <a:satMod val="130000"/>
                  </a:schemeClr>
                </a:gs>
                <a:gs pos="80000">
                  <a:schemeClr val="accent4">
                    <a:shade val="93000"/>
                    <a:satMod val="130000"/>
                  </a:schemeClr>
                </a:gs>
                <a:gs pos="100000">
                  <a:schemeClr val="accent4">
                    <a:shade val="94000"/>
                    <a:satMod val="135000"/>
                  </a:schemeClr>
                </a:gs>
              </a:gsLst>
              <a:lin ang="16200000" scaled="0"/>
            </a:gradFill>
            <a:ln>
              <a:noFill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  <a:scene3d>
              <a:camera prst="orthographicFront">
                <a:rot lat="0" lon="0" rev="0"/>
              </a:camera>
              <a:lightRig rig="threePt" dir="t">
                <a:rot lat="0" lon="0" rev="1200000"/>
              </a:lightRig>
            </a:scene3d>
            <a:sp3d>
              <a:bevelT w="63500" h="25400"/>
            </a:sp3d>
          </c:spPr>
          <c:invertIfNegative val="0"/>
          <c:cat>
            <c:strRef>
              <c:f>Snittscorer!$C$71:$C$77</c:f>
              <c:strCache>
                <c:ptCount val="7"/>
                <c:pt idx="0">
                  <c:v>Birdies</c:v>
                </c:pt>
                <c:pt idx="1">
                  <c:v>Par</c:v>
                </c:pt>
                <c:pt idx="2">
                  <c:v>Bogeys</c:v>
                </c:pt>
                <c:pt idx="3">
                  <c:v>Dubbel</c:v>
                </c:pt>
                <c:pt idx="4">
                  <c:v>Trippel</c:v>
                </c:pt>
                <c:pt idx="5">
                  <c:v>Quattro</c:v>
                </c:pt>
                <c:pt idx="6">
                  <c:v>Shit</c:v>
                </c:pt>
              </c:strCache>
            </c:strRef>
          </c:cat>
          <c:val>
            <c:numRef>
              <c:f>Snittscorer!$G$71:$G$77</c:f>
              <c:numCache>
                <c:formatCode>0.00%</c:formatCode>
                <c:ptCount val="7"/>
                <c:pt idx="0">
                  <c:v>1.3939393939393939E-2</c:v>
                </c:pt>
                <c:pt idx="1">
                  <c:v>0.15636363636363637</c:v>
                </c:pt>
                <c:pt idx="2">
                  <c:v>0.33333333333333331</c:v>
                </c:pt>
                <c:pt idx="3">
                  <c:v>0.27393939393939393</c:v>
                </c:pt>
                <c:pt idx="4">
                  <c:v>0.12727272727272726</c:v>
                </c:pt>
                <c:pt idx="5">
                  <c:v>4.9696969696969698E-2</c:v>
                </c:pt>
                <c:pt idx="6">
                  <c:v>4.5454545454545456E-2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892F-4EC9-A71F-1CFCB06C78F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15"/>
        <c:overlap val="-20"/>
        <c:axId val="663920272"/>
        <c:axId val="663928472"/>
      </c:barChart>
      <c:catAx>
        <c:axId val="663920272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12700" cap="flat" cmpd="sng" algn="ctr">
            <a:solidFill>
              <a:schemeClr val="lt1">
                <a:lumMod val="95000"/>
                <a:alpha val="54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SE"/>
          </a:p>
        </c:txPr>
        <c:crossAx val="663928472"/>
        <c:crosses val="autoZero"/>
        <c:auto val="1"/>
        <c:lblAlgn val="ctr"/>
        <c:lblOffset val="100"/>
        <c:noMultiLvlLbl val="0"/>
      </c:catAx>
      <c:valAx>
        <c:axId val="66392847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lt1">
                  <a:lumMod val="95000"/>
                  <a:alpha val="10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lt1">
                    <a:lumMod val="8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SE"/>
          </a:p>
        </c:txPr>
        <c:crossAx val="66392027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lt1">
                  <a:lumMod val="85000"/>
                </a:schemeClr>
              </a:solidFill>
              <a:latin typeface="+mn-lt"/>
              <a:ea typeface="+mn-ea"/>
              <a:cs typeface="+mn-cs"/>
            </a:defRPr>
          </a:pPr>
          <a:endParaRPr lang="sv-SE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dk1">
            <a:lumMod val="65000"/>
            <a:lumOff val="35000"/>
          </a:schemeClr>
        </a:gs>
        <a:gs pos="100000">
          <a:schemeClr val="dk1">
            <a:lumMod val="85000"/>
            <a:lumOff val="15000"/>
          </a:schemeClr>
        </a:gs>
      </a:gsLst>
      <a:path path="circle">
        <a:fillToRect l="50000" t="50000" r="50000" b="50000"/>
      </a:path>
      <a:tileRect/>
    </a:gradFill>
    <a:ln>
      <a:noFill/>
    </a:ln>
    <a:effectLst/>
  </c:spPr>
  <c:txPr>
    <a:bodyPr/>
    <a:lstStyle/>
    <a:p>
      <a:pPr>
        <a:defRPr/>
      </a:pPr>
      <a:endParaRPr lang="sv-SE"/>
    </a:p>
  </c:txPr>
  <c:printSettings>
    <c:headerFooter/>
    <c:pageMargins b="0.75" l="0.7" r="0.7" t="0.75" header="0.3" footer="0.3"/>
    <c:pageSetup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v-S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800" b="1" i="0" u="none" strike="noStrike" kern="1200" baseline="0">
                <a:solidFill>
                  <a:schemeClr val="dk1">
                    <a:lumMod val="75000"/>
                    <a:lumOff val="2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sv-SE"/>
              <a:t>Typ</a:t>
            </a:r>
            <a:r>
              <a:rPr lang="sv-SE" baseline="0"/>
              <a:t> av slag %</a:t>
            </a:r>
            <a:endParaRPr lang="sv-SE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dk1">
                  <a:lumMod val="75000"/>
                  <a:lumOff val="25000"/>
                </a:schemeClr>
              </a:solidFill>
              <a:latin typeface="+mn-lt"/>
              <a:ea typeface="+mn-ea"/>
              <a:cs typeface="+mn-cs"/>
            </a:defRPr>
          </a:pPr>
          <a:endParaRPr lang="sv-SE"/>
        </a:p>
      </c:txPr>
    </c:title>
    <c:autoTitleDeleted val="0"/>
    <c:plotArea>
      <c:layout/>
      <c:barChart>
        <c:barDir val="col"/>
        <c:grouping val="percentStacked"/>
        <c:varyColors val="0"/>
        <c:ser>
          <c:idx val="0"/>
          <c:order val="0"/>
          <c:tx>
            <c:strRef>
              <c:f>Snittscorer!$C$71</c:f>
              <c:strCache>
                <c:ptCount val="1"/>
                <c:pt idx="0">
                  <c:v>Birdies</c:v>
                </c:pt>
              </c:strCache>
            </c:strRef>
          </c:tx>
          <c:spPr>
            <a:solidFill>
              <a:schemeClr val="accent1">
                <a:alpha val="85000"/>
              </a:schemeClr>
            </a:solidFill>
            <a:ln w="9525" cap="flat" cmpd="sng" algn="ctr">
              <a:solidFill>
                <a:schemeClr val="lt1">
                  <a:alpha val="50000"/>
                </a:schemeClr>
              </a:solidFill>
              <a:round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Snittscorer!$D$70:$G$70</c:f>
              <c:strCache>
                <c:ptCount val="4"/>
                <c:pt idx="0">
                  <c:v>Ligan 2023</c:v>
                </c:pt>
                <c:pt idx="1">
                  <c:v>Ligan 2022</c:v>
                </c:pt>
                <c:pt idx="2">
                  <c:v>Ligan 2021</c:v>
                </c:pt>
                <c:pt idx="3">
                  <c:v>Ligan 2020</c:v>
                </c:pt>
              </c:strCache>
            </c:strRef>
          </c:cat>
          <c:val>
            <c:numRef>
              <c:f>Snittscorer!$D$71:$G$71</c:f>
              <c:numCache>
                <c:formatCode>0.00%</c:formatCode>
                <c:ptCount val="4"/>
                <c:pt idx="0">
                  <c:v>8.5061137692716646E-3</c:v>
                </c:pt>
                <c:pt idx="1">
                  <c:v>8.727606798346348E-3</c:v>
                </c:pt>
                <c:pt idx="2">
                  <c:v>1.5873015873015872E-2</c:v>
                </c:pt>
                <c:pt idx="3">
                  <c:v>1.3939393939393939E-2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F27-4332-918D-8668ACEB89E5}"/>
            </c:ext>
          </c:extLst>
        </c:ser>
        <c:ser>
          <c:idx val="1"/>
          <c:order val="1"/>
          <c:tx>
            <c:strRef>
              <c:f>Snittscorer!$C$72</c:f>
              <c:strCache>
                <c:ptCount val="1"/>
                <c:pt idx="0">
                  <c:v>Par</c:v>
                </c:pt>
              </c:strCache>
            </c:strRef>
          </c:tx>
          <c:spPr>
            <a:solidFill>
              <a:schemeClr val="accent2">
                <a:alpha val="85000"/>
              </a:schemeClr>
            </a:solidFill>
            <a:ln w="9525" cap="flat" cmpd="sng" algn="ctr">
              <a:solidFill>
                <a:schemeClr val="lt1">
                  <a:alpha val="50000"/>
                </a:schemeClr>
              </a:solidFill>
              <a:round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Snittscorer!$D$70:$G$70</c:f>
              <c:strCache>
                <c:ptCount val="4"/>
                <c:pt idx="0">
                  <c:v>Ligan 2023</c:v>
                </c:pt>
                <c:pt idx="1">
                  <c:v>Ligan 2022</c:v>
                </c:pt>
                <c:pt idx="2">
                  <c:v>Ligan 2021</c:v>
                </c:pt>
                <c:pt idx="3">
                  <c:v>Ligan 2020</c:v>
                </c:pt>
              </c:strCache>
            </c:strRef>
          </c:cat>
          <c:val>
            <c:numRef>
              <c:f>Snittscorer!$D$72:$G$72</c:f>
              <c:numCache>
                <c:formatCode>0.00%</c:formatCode>
                <c:ptCount val="4"/>
                <c:pt idx="0">
                  <c:v>0.12546517809675706</c:v>
                </c:pt>
                <c:pt idx="1">
                  <c:v>0.12677997243913641</c:v>
                </c:pt>
                <c:pt idx="2">
                  <c:v>0.13095238095238096</c:v>
                </c:pt>
                <c:pt idx="3">
                  <c:v>0.15636363636363637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F27-4332-918D-8668ACEB89E5}"/>
            </c:ext>
          </c:extLst>
        </c:ser>
        <c:ser>
          <c:idx val="2"/>
          <c:order val="2"/>
          <c:tx>
            <c:strRef>
              <c:f>Snittscorer!$C$73</c:f>
              <c:strCache>
                <c:ptCount val="1"/>
                <c:pt idx="0">
                  <c:v>Bogeys</c:v>
                </c:pt>
              </c:strCache>
            </c:strRef>
          </c:tx>
          <c:spPr>
            <a:solidFill>
              <a:schemeClr val="accent3">
                <a:alpha val="85000"/>
              </a:schemeClr>
            </a:solidFill>
            <a:ln w="9525" cap="flat" cmpd="sng" algn="ctr">
              <a:solidFill>
                <a:schemeClr val="lt1">
                  <a:alpha val="50000"/>
                </a:schemeClr>
              </a:solidFill>
              <a:round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Snittscorer!$D$70:$G$70</c:f>
              <c:strCache>
                <c:ptCount val="4"/>
                <c:pt idx="0">
                  <c:v>Ligan 2023</c:v>
                </c:pt>
                <c:pt idx="1">
                  <c:v>Ligan 2022</c:v>
                </c:pt>
                <c:pt idx="2">
                  <c:v>Ligan 2021</c:v>
                </c:pt>
                <c:pt idx="3">
                  <c:v>Ligan 2020</c:v>
                </c:pt>
              </c:strCache>
            </c:strRef>
          </c:cat>
          <c:val>
            <c:numRef>
              <c:f>Snittscorer!$D$73:$G$73</c:f>
              <c:numCache>
                <c:formatCode>0.00%</c:formatCode>
                <c:ptCount val="4"/>
                <c:pt idx="0">
                  <c:v>0.33333333333333331</c:v>
                </c:pt>
                <c:pt idx="1">
                  <c:v>0.34359209921910888</c:v>
                </c:pt>
                <c:pt idx="2">
                  <c:v>0.37698412698412698</c:v>
                </c:pt>
                <c:pt idx="3">
                  <c:v>0.33333333333333331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9F27-4332-918D-8668ACEB89E5}"/>
            </c:ext>
          </c:extLst>
        </c:ser>
        <c:ser>
          <c:idx val="3"/>
          <c:order val="3"/>
          <c:tx>
            <c:strRef>
              <c:f>Snittscorer!$C$74</c:f>
              <c:strCache>
                <c:ptCount val="1"/>
                <c:pt idx="0">
                  <c:v>Dubbel</c:v>
                </c:pt>
              </c:strCache>
            </c:strRef>
          </c:tx>
          <c:spPr>
            <a:solidFill>
              <a:schemeClr val="accent4">
                <a:alpha val="85000"/>
              </a:schemeClr>
            </a:solidFill>
            <a:ln w="9525" cap="flat" cmpd="sng" algn="ctr">
              <a:solidFill>
                <a:schemeClr val="lt1">
                  <a:alpha val="50000"/>
                </a:schemeClr>
              </a:solidFill>
              <a:round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Snittscorer!$D$70:$G$70</c:f>
              <c:strCache>
                <c:ptCount val="4"/>
                <c:pt idx="0">
                  <c:v>Ligan 2023</c:v>
                </c:pt>
                <c:pt idx="1">
                  <c:v>Ligan 2022</c:v>
                </c:pt>
                <c:pt idx="2">
                  <c:v>Ligan 2021</c:v>
                </c:pt>
                <c:pt idx="3">
                  <c:v>Ligan 2020</c:v>
                </c:pt>
              </c:strCache>
            </c:strRef>
          </c:cat>
          <c:val>
            <c:numRef>
              <c:f>Snittscorer!$D$74:$G$74</c:f>
              <c:numCache>
                <c:formatCode>0.00%</c:formatCode>
                <c:ptCount val="4"/>
                <c:pt idx="0">
                  <c:v>0.26900584795321636</c:v>
                </c:pt>
                <c:pt idx="1">
                  <c:v>0.27652733118971062</c:v>
                </c:pt>
                <c:pt idx="2">
                  <c:v>0.27380952380952384</c:v>
                </c:pt>
                <c:pt idx="3">
                  <c:v>0.27393939393939393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9F27-4332-918D-8668ACEB89E5}"/>
            </c:ext>
          </c:extLst>
        </c:ser>
        <c:ser>
          <c:idx val="4"/>
          <c:order val="4"/>
          <c:tx>
            <c:strRef>
              <c:f>Snittscorer!$C$75</c:f>
              <c:strCache>
                <c:ptCount val="1"/>
                <c:pt idx="0">
                  <c:v>Trippel</c:v>
                </c:pt>
              </c:strCache>
            </c:strRef>
          </c:tx>
          <c:spPr>
            <a:solidFill>
              <a:schemeClr val="accent5">
                <a:alpha val="85000"/>
              </a:schemeClr>
            </a:solidFill>
            <a:ln w="9525" cap="flat" cmpd="sng" algn="ctr">
              <a:solidFill>
                <a:schemeClr val="lt1">
                  <a:alpha val="50000"/>
                </a:schemeClr>
              </a:solidFill>
              <a:round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Snittscorer!$D$70:$G$70</c:f>
              <c:strCache>
                <c:ptCount val="4"/>
                <c:pt idx="0">
                  <c:v>Ligan 2023</c:v>
                </c:pt>
                <c:pt idx="1">
                  <c:v>Ligan 2022</c:v>
                </c:pt>
                <c:pt idx="2">
                  <c:v>Ligan 2021</c:v>
                </c:pt>
                <c:pt idx="3">
                  <c:v>Ligan 2020</c:v>
                </c:pt>
              </c:strCache>
            </c:strRef>
          </c:cat>
          <c:val>
            <c:numRef>
              <c:f>Snittscorer!$D$75:$G$75</c:f>
              <c:numCache>
                <c:formatCode>0.00%</c:formatCode>
                <c:ptCount val="4"/>
                <c:pt idx="0">
                  <c:v>0.15736310473152579</c:v>
                </c:pt>
                <c:pt idx="1">
                  <c:v>0.14423518603582913</c:v>
                </c:pt>
                <c:pt idx="2">
                  <c:v>9.5238095238095233E-2</c:v>
                </c:pt>
                <c:pt idx="3">
                  <c:v>0.12727272727272726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9F27-4332-918D-8668ACEB89E5}"/>
            </c:ext>
          </c:extLst>
        </c:ser>
        <c:ser>
          <c:idx val="5"/>
          <c:order val="5"/>
          <c:tx>
            <c:strRef>
              <c:f>Snittscorer!$C$76</c:f>
              <c:strCache>
                <c:ptCount val="1"/>
                <c:pt idx="0">
                  <c:v>Quattro</c:v>
                </c:pt>
              </c:strCache>
            </c:strRef>
          </c:tx>
          <c:spPr>
            <a:solidFill>
              <a:schemeClr val="accent6">
                <a:alpha val="85000"/>
              </a:schemeClr>
            </a:solidFill>
            <a:ln w="9525" cap="flat" cmpd="sng" algn="ctr">
              <a:solidFill>
                <a:schemeClr val="lt1">
                  <a:alpha val="50000"/>
                </a:schemeClr>
              </a:solidFill>
              <a:round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Snittscorer!$D$70:$G$70</c:f>
              <c:strCache>
                <c:ptCount val="4"/>
                <c:pt idx="0">
                  <c:v>Ligan 2023</c:v>
                </c:pt>
                <c:pt idx="1">
                  <c:v>Ligan 2022</c:v>
                </c:pt>
                <c:pt idx="2">
                  <c:v>Ligan 2021</c:v>
                </c:pt>
                <c:pt idx="3">
                  <c:v>Ligan 2020</c:v>
                </c:pt>
              </c:strCache>
            </c:strRef>
          </c:cat>
          <c:val>
            <c:numRef>
              <c:f>Snittscorer!$D$76:$G$76</c:f>
              <c:numCache>
                <c:formatCode>0.00%</c:formatCode>
                <c:ptCount val="4"/>
                <c:pt idx="0">
                  <c:v>6.8580542264752797E-2</c:v>
                </c:pt>
                <c:pt idx="1">
                  <c:v>5.8337161231051905E-2</c:v>
                </c:pt>
                <c:pt idx="2">
                  <c:v>4.3650793650793648E-2</c:v>
                </c:pt>
                <c:pt idx="3">
                  <c:v>4.9696969696969698E-2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9F27-4332-918D-8668ACEB89E5}"/>
            </c:ext>
          </c:extLst>
        </c:ser>
        <c:ser>
          <c:idx val="6"/>
          <c:order val="6"/>
          <c:tx>
            <c:strRef>
              <c:f>Snittscorer!$C$77</c:f>
              <c:strCache>
                <c:ptCount val="1"/>
                <c:pt idx="0">
                  <c:v>Shit</c:v>
                </c:pt>
              </c:strCache>
            </c:strRef>
          </c:tx>
          <c:spPr>
            <a:solidFill>
              <a:schemeClr val="accent1">
                <a:lumMod val="60000"/>
                <a:alpha val="85000"/>
              </a:schemeClr>
            </a:solidFill>
            <a:ln w="9525" cap="flat" cmpd="sng" algn="ctr">
              <a:solidFill>
                <a:schemeClr val="lt1">
                  <a:alpha val="50000"/>
                </a:schemeClr>
              </a:solidFill>
              <a:round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Snittscorer!$D$70:$G$70</c:f>
              <c:strCache>
                <c:ptCount val="4"/>
                <c:pt idx="0">
                  <c:v>Ligan 2023</c:v>
                </c:pt>
                <c:pt idx="1">
                  <c:v>Ligan 2022</c:v>
                </c:pt>
                <c:pt idx="2">
                  <c:v>Ligan 2021</c:v>
                </c:pt>
                <c:pt idx="3">
                  <c:v>Ligan 2020</c:v>
                </c:pt>
              </c:strCache>
            </c:strRef>
          </c:cat>
          <c:val>
            <c:numRef>
              <c:f>Snittscorer!$D$77:$G$77</c:f>
              <c:numCache>
                <c:formatCode>0.00%</c:formatCode>
                <c:ptCount val="4"/>
                <c:pt idx="0">
                  <c:v>3.7745879851143006E-2</c:v>
                </c:pt>
                <c:pt idx="1">
                  <c:v>4.1800643086816719E-2</c:v>
                </c:pt>
                <c:pt idx="2">
                  <c:v>6.3492063492063489E-2</c:v>
                </c:pt>
                <c:pt idx="3">
                  <c:v>4.5454545454545456E-2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9F27-4332-918D-8668ACEB89E5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150"/>
        <c:overlap val="100"/>
        <c:axId val="764072416"/>
        <c:axId val="764072776"/>
      </c:barChart>
      <c:catAx>
        <c:axId val="764072416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900" b="1" i="0" u="none" strike="noStrike" kern="1200" baseline="0">
                    <a:solidFill>
                      <a:schemeClr val="dk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v-SE"/>
                  <a:t>Ligaår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900" b="1" i="0" u="none" strike="noStrike" kern="1200" baseline="0">
                  <a:solidFill>
                    <a:schemeClr val="dk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v-SE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19050" cap="flat" cmpd="sng" algn="ctr">
            <a:solidFill>
              <a:schemeClr val="dk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cap="all" baseline="0">
                <a:solidFill>
                  <a:schemeClr val="dk1">
                    <a:lumMod val="75000"/>
                    <a:lumOff val="2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SE"/>
          </a:p>
        </c:txPr>
        <c:crossAx val="764072776"/>
        <c:crosses val="autoZero"/>
        <c:auto val="1"/>
        <c:lblAlgn val="ctr"/>
        <c:lblOffset val="100"/>
        <c:noMultiLvlLbl val="0"/>
      </c:catAx>
      <c:valAx>
        <c:axId val="764072776"/>
        <c:scaling>
          <c:orientation val="minMax"/>
        </c:scaling>
        <c:delete val="0"/>
        <c:axPos val="l"/>
        <c:majorGridlines>
          <c:spPr>
            <a:ln w="9525" cap="flat" cmpd="sng" algn="ctr">
              <a:gradFill>
                <a:gsLst>
                  <a:gs pos="100000">
                    <a:schemeClr val="dk1">
                      <a:lumMod val="95000"/>
                      <a:lumOff val="5000"/>
                      <a:alpha val="42000"/>
                    </a:schemeClr>
                  </a:gs>
                  <a:gs pos="0">
                    <a:schemeClr val="lt1">
                      <a:lumMod val="75000"/>
                      <a:alpha val="36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900" b="1" i="0" u="none" strike="noStrike" kern="1200" baseline="0">
                    <a:solidFill>
                      <a:schemeClr val="dk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v-SE"/>
                  <a:t>Fördelning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900" b="1" i="0" u="none" strike="noStrike" kern="1200" baseline="0">
                  <a:solidFill>
                    <a:schemeClr val="dk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v-SE"/>
            </a:p>
          </c:txPr>
        </c:title>
        <c:numFmt formatCode="0%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dk1">
                    <a:lumMod val="75000"/>
                    <a:lumOff val="2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SE"/>
          </a:p>
        </c:txPr>
        <c:crossAx val="76407241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solidFill>
          <a:schemeClr val="lt1">
            <a:lumMod val="95000"/>
            <a:alpha val="39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dk1">
                  <a:lumMod val="75000"/>
                  <a:lumOff val="25000"/>
                </a:schemeClr>
              </a:solidFill>
              <a:latin typeface="+mn-lt"/>
              <a:ea typeface="+mn-ea"/>
              <a:cs typeface="+mn-cs"/>
            </a:defRPr>
          </a:pPr>
          <a:endParaRPr lang="sv-SE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lt1"/>
        </a:gs>
        <a:gs pos="39000">
          <a:schemeClr val="lt1"/>
        </a:gs>
        <a:gs pos="100000">
          <a:schemeClr val="lt1">
            <a:lumMod val="75000"/>
          </a:schemeClr>
        </a:gs>
      </a:gsLst>
      <a:path path="circle">
        <a:fillToRect l="50000" t="-80000" r="50000" b="180000"/>
      </a:path>
      <a:tileRect/>
    </a:gradFill>
    <a:ln w="9525" cap="flat" cmpd="sng" algn="ctr">
      <a:solidFill>
        <a:schemeClr val="dk1">
          <a:lumMod val="25000"/>
          <a:lumOff val="75000"/>
        </a:schemeClr>
      </a:solidFill>
      <a:round/>
    </a:ln>
    <a:effectLst/>
  </c:spPr>
  <c:txPr>
    <a:bodyPr/>
    <a:lstStyle/>
    <a:p>
      <a:pPr>
        <a:defRPr/>
      </a:pPr>
      <a:endParaRPr lang="sv-SE"/>
    </a:p>
  </c:txPr>
  <c:printSettings>
    <c:headerFooter/>
    <c:pageMargins b="0.75" l="0.7" r="0.7" t="0.75" header="0.3" footer="0.3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v-S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sv-SE"/>
              <a:t>Nuläge mot tidigare PLP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v-SE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2023 vs Snitt</c:v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'PLP Säsong'!$C$3:$C$18</c:f>
              <c:strCache>
                <c:ptCount val="16"/>
                <c:pt idx="0">
                  <c:v>Thorvaldsson</c:v>
                </c:pt>
                <c:pt idx="1">
                  <c:v>Bengtsson</c:v>
                </c:pt>
                <c:pt idx="2">
                  <c:v>Nilsson</c:v>
                </c:pt>
                <c:pt idx="3">
                  <c:v>Simonsson</c:v>
                </c:pt>
                <c:pt idx="4">
                  <c:v>Åberg</c:v>
                </c:pt>
                <c:pt idx="5">
                  <c:v>Svensson</c:v>
                </c:pt>
                <c:pt idx="6">
                  <c:v>Backe</c:v>
                </c:pt>
                <c:pt idx="7">
                  <c:v>Källström</c:v>
                </c:pt>
                <c:pt idx="8">
                  <c:v>L Johansson</c:v>
                </c:pt>
                <c:pt idx="9">
                  <c:v>Stranddahl</c:v>
                </c:pt>
                <c:pt idx="10">
                  <c:v>B Johansson</c:v>
                </c:pt>
                <c:pt idx="11">
                  <c:v>Larsson</c:v>
                </c:pt>
                <c:pt idx="12">
                  <c:v>Söder</c:v>
                </c:pt>
                <c:pt idx="13">
                  <c:v>Ljung</c:v>
                </c:pt>
                <c:pt idx="14">
                  <c:v>Glyssbo</c:v>
                </c:pt>
                <c:pt idx="15">
                  <c:v>K Johansson</c:v>
                </c:pt>
              </c:strCache>
            </c:strRef>
          </c:cat>
          <c:val>
            <c:numRef>
              <c:f>'PLP Säsong'!$V$3:$V$18</c:f>
              <c:numCache>
                <c:formatCode>0.00</c:formatCode>
                <c:ptCount val="16"/>
                <c:pt idx="0">
                  <c:v>1.1999999999999993</c:v>
                </c:pt>
                <c:pt idx="1">
                  <c:v>-17.928571428571427</c:v>
                </c:pt>
                <c:pt idx="2">
                  <c:v>2.3333333333333339</c:v>
                </c:pt>
                <c:pt idx="3">
                  <c:v>5.1333333333333329</c:v>
                </c:pt>
                <c:pt idx="4">
                  <c:v>1.4666666666666668</c:v>
                </c:pt>
                <c:pt idx="5">
                  <c:v>-21.142857142857142</c:v>
                </c:pt>
                <c:pt idx="6">
                  <c:v>-5.1333333333333329</c:v>
                </c:pt>
                <c:pt idx="7">
                  <c:v>2.2000000000000028</c:v>
                </c:pt>
                <c:pt idx="8">
                  <c:v>0.60000000000000142</c:v>
                </c:pt>
                <c:pt idx="9">
                  <c:v>-4.2666666666666657</c:v>
                </c:pt>
                <c:pt idx="10">
                  <c:v>-9.3333333333333321</c:v>
                </c:pt>
                <c:pt idx="11">
                  <c:v>-9.93333333333333</c:v>
                </c:pt>
                <c:pt idx="12">
                  <c:v>1.5</c:v>
                </c:pt>
                <c:pt idx="13">
                  <c:v>-28.428571428571431</c:v>
                </c:pt>
                <c:pt idx="14">
                  <c:v>2.6923076923076934</c:v>
                </c:pt>
                <c:pt idx="15">
                  <c:v>-12.333333333333336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459-4192-A995-318E54068053}"/>
            </c:ext>
          </c:extLst>
        </c:ser>
        <c:ser>
          <c:idx val="1"/>
          <c:order val="1"/>
          <c:tx>
            <c:v>2023 vs 2022</c:v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'PLP Säsong'!$C$3:$C$18</c:f>
              <c:strCache>
                <c:ptCount val="16"/>
                <c:pt idx="0">
                  <c:v>Thorvaldsson</c:v>
                </c:pt>
                <c:pt idx="1">
                  <c:v>Bengtsson</c:v>
                </c:pt>
                <c:pt idx="2">
                  <c:v>Nilsson</c:v>
                </c:pt>
                <c:pt idx="3">
                  <c:v>Simonsson</c:v>
                </c:pt>
                <c:pt idx="4">
                  <c:v>Åberg</c:v>
                </c:pt>
                <c:pt idx="5">
                  <c:v>Svensson</c:v>
                </c:pt>
                <c:pt idx="6">
                  <c:v>Backe</c:v>
                </c:pt>
                <c:pt idx="7">
                  <c:v>Källström</c:v>
                </c:pt>
                <c:pt idx="8">
                  <c:v>L Johansson</c:v>
                </c:pt>
                <c:pt idx="9">
                  <c:v>Stranddahl</c:v>
                </c:pt>
                <c:pt idx="10">
                  <c:v>B Johansson</c:v>
                </c:pt>
                <c:pt idx="11">
                  <c:v>Larsson</c:v>
                </c:pt>
                <c:pt idx="12">
                  <c:v>Söder</c:v>
                </c:pt>
                <c:pt idx="13">
                  <c:v>Ljung</c:v>
                </c:pt>
                <c:pt idx="14">
                  <c:v>Glyssbo</c:v>
                </c:pt>
                <c:pt idx="15">
                  <c:v>K Johansson</c:v>
                </c:pt>
              </c:strCache>
            </c:strRef>
          </c:cat>
          <c:val>
            <c:numRef>
              <c:f>'PLP Säsong'!$W$3:$W$18</c:f>
              <c:numCache>
                <c:formatCode>General</c:formatCode>
                <c:ptCount val="16"/>
                <c:pt idx="0">
                  <c:v>2</c:v>
                </c:pt>
                <c:pt idx="1">
                  <c:v>-22</c:v>
                </c:pt>
                <c:pt idx="2">
                  <c:v>-2</c:v>
                </c:pt>
                <c:pt idx="3">
                  <c:v>-6</c:v>
                </c:pt>
                <c:pt idx="4">
                  <c:v>1</c:v>
                </c:pt>
                <c:pt idx="5">
                  <c:v>-27</c:v>
                </c:pt>
                <c:pt idx="6">
                  <c:v>-6</c:v>
                </c:pt>
                <c:pt idx="7">
                  <c:v>6</c:v>
                </c:pt>
                <c:pt idx="8">
                  <c:v>-1</c:v>
                </c:pt>
                <c:pt idx="9">
                  <c:v>10</c:v>
                </c:pt>
                <c:pt idx="10">
                  <c:v>-5</c:v>
                </c:pt>
                <c:pt idx="11">
                  <c:v>-23</c:v>
                </c:pt>
                <c:pt idx="12">
                  <c:v>-5</c:v>
                </c:pt>
                <c:pt idx="13">
                  <c:v>-18</c:v>
                </c:pt>
                <c:pt idx="14">
                  <c:v>-12</c:v>
                </c:pt>
                <c:pt idx="15">
                  <c:v>-10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459-4192-A995-318E54068053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1139703400"/>
        <c:axId val="1139701240"/>
      </c:barChart>
      <c:catAx>
        <c:axId val="11397034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v-SE"/>
                  <a:t>Spelare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v-SE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SE"/>
          </a:p>
        </c:txPr>
        <c:crossAx val="1139701240"/>
        <c:crosses val="autoZero"/>
        <c:auto val="1"/>
        <c:lblAlgn val="ctr"/>
        <c:lblOffset val="100"/>
        <c:noMultiLvlLbl val="0"/>
      </c:catAx>
      <c:valAx>
        <c:axId val="113970124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v-SE"/>
                  <a:t>PLP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v-SE"/>
            </a:p>
          </c:txPr>
        </c:title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SE"/>
          </a:p>
        </c:txPr>
        <c:crossAx val="113970340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v-SE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sv-SE"/>
    </a:p>
  </c:txPr>
  <c:printSettings>
    <c:headerFooter/>
    <c:pageMargins b="0.75" l="0.7" r="0.7" t="0.75" header="0.3" footer="0.3"/>
    <c:pageSetup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v-S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800" b="1" i="0" u="none" strike="noStrike" kern="1200" baseline="0">
                <a:solidFill>
                  <a:schemeClr val="dk1">
                    <a:lumMod val="75000"/>
                    <a:lumOff val="2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sv-SE"/>
              <a:t>Årets PLP Vs Tidigare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dk1">
                  <a:lumMod val="75000"/>
                  <a:lumOff val="25000"/>
                </a:schemeClr>
              </a:solidFill>
              <a:latin typeface="+mn-lt"/>
              <a:ea typeface="+mn-ea"/>
              <a:cs typeface="+mn-cs"/>
            </a:defRPr>
          </a:pPr>
          <a:endParaRPr lang="sv-SE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'PLP Säsong'!$D$2</c:f>
              <c:strCache>
                <c:ptCount val="1"/>
                <c:pt idx="0">
                  <c:v>2023</c:v>
                </c:pt>
              </c:strCache>
            </c:strRef>
          </c:tx>
          <c:spPr>
            <a:solidFill>
              <a:schemeClr val="accent6">
                <a:alpha val="85000"/>
              </a:schemeClr>
            </a:solidFill>
            <a:ln w="9525" cap="flat" cmpd="sng" algn="ctr">
              <a:solidFill>
                <a:schemeClr val="lt1">
                  <a:alpha val="50000"/>
                </a:schemeClr>
              </a:solidFill>
              <a:round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'PLP Säsong'!$B$3:$C$18</c:f>
              <c:multiLvlStrCache>
                <c:ptCount val="16"/>
                <c:lvl>
                  <c:pt idx="0">
                    <c:v>Thorvaldsson</c:v>
                  </c:pt>
                  <c:pt idx="1">
                    <c:v>Bengtsson</c:v>
                  </c:pt>
                  <c:pt idx="2">
                    <c:v>Nilsson</c:v>
                  </c:pt>
                  <c:pt idx="3">
                    <c:v>Simonsson</c:v>
                  </c:pt>
                  <c:pt idx="4">
                    <c:v>Åberg</c:v>
                  </c:pt>
                  <c:pt idx="5">
                    <c:v>Svensson</c:v>
                  </c:pt>
                  <c:pt idx="6">
                    <c:v>Backe</c:v>
                  </c:pt>
                  <c:pt idx="7">
                    <c:v>Källström</c:v>
                  </c:pt>
                  <c:pt idx="8">
                    <c:v>L Johansson</c:v>
                  </c:pt>
                  <c:pt idx="9">
                    <c:v>Stranddahl</c:v>
                  </c:pt>
                  <c:pt idx="10">
                    <c:v>B Johansson</c:v>
                  </c:pt>
                  <c:pt idx="11">
                    <c:v>Larsson</c:v>
                  </c:pt>
                  <c:pt idx="12">
                    <c:v>Söder</c:v>
                  </c:pt>
                  <c:pt idx="13">
                    <c:v>Ljung</c:v>
                  </c:pt>
                  <c:pt idx="14">
                    <c:v>Glyssbo</c:v>
                  </c:pt>
                  <c:pt idx="15">
                    <c:v>K Johansson</c:v>
                  </c:pt>
                </c:lvl>
                <c:lvl>
                  <c:pt idx="0">
                    <c:v>Stefan</c:v>
                  </c:pt>
                  <c:pt idx="1">
                    <c:v>Magnus</c:v>
                  </c:pt>
                  <c:pt idx="2">
                    <c:v>Peter</c:v>
                  </c:pt>
                  <c:pt idx="3">
                    <c:v>Jörgen</c:v>
                  </c:pt>
                  <c:pt idx="4">
                    <c:v>Micke</c:v>
                  </c:pt>
                  <c:pt idx="5">
                    <c:v>Claes</c:v>
                  </c:pt>
                  <c:pt idx="6">
                    <c:v>Göran</c:v>
                  </c:pt>
                  <c:pt idx="7">
                    <c:v>Stefan</c:v>
                  </c:pt>
                  <c:pt idx="8">
                    <c:v>Lalle</c:v>
                  </c:pt>
                  <c:pt idx="9">
                    <c:v>Jörgen</c:v>
                  </c:pt>
                  <c:pt idx="10">
                    <c:v>Börje</c:v>
                  </c:pt>
                  <c:pt idx="11">
                    <c:v>Thomas</c:v>
                  </c:pt>
                  <c:pt idx="12">
                    <c:v>Jocke</c:v>
                  </c:pt>
                  <c:pt idx="13">
                    <c:v>Niklas </c:v>
                  </c:pt>
                  <c:pt idx="14">
                    <c:v>PJ</c:v>
                  </c:pt>
                  <c:pt idx="15">
                    <c:v>Kent</c:v>
                  </c:pt>
                </c:lvl>
              </c:multiLvlStrCache>
            </c:multiLvlStrRef>
          </c:cat>
          <c:val>
            <c:numRef>
              <c:f>'PLP Säsong'!$D$3:$D$18</c:f>
              <c:numCache>
                <c:formatCode>General</c:formatCode>
                <c:ptCount val="16"/>
                <c:pt idx="0">
                  <c:v>11</c:v>
                </c:pt>
                <c:pt idx="2">
                  <c:v>15</c:v>
                </c:pt>
                <c:pt idx="3">
                  <c:v>29</c:v>
                </c:pt>
                <c:pt idx="4">
                  <c:v>15</c:v>
                </c:pt>
                <c:pt idx="6">
                  <c:v>14</c:v>
                </c:pt>
                <c:pt idx="7">
                  <c:v>37</c:v>
                </c:pt>
                <c:pt idx="8">
                  <c:v>31</c:v>
                </c:pt>
                <c:pt idx="9">
                  <c:v>37</c:v>
                </c:pt>
                <c:pt idx="10">
                  <c:v>15</c:v>
                </c:pt>
                <c:pt idx="11">
                  <c:v>26</c:v>
                </c:pt>
                <c:pt idx="12">
                  <c:v>29</c:v>
                </c:pt>
                <c:pt idx="13">
                  <c:v>14</c:v>
                </c:pt>
                <c:pt idx="14">
                  <c:v>29</c:v>
                </c:pt>
                <c:pt idx="15">
                  <c:v>28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C72-44D1-9013-308AD20FE2A6}"/>
            </c:ext>
          </c:extLst>
        </c:ser>
        <c:ser>
          <c:idx val="1"/>
          <c:order val="1"/>
          <c:tx>
            <c:strRef>
              <c:f>'PLP Säsong'!$V$2</c:f>
              <c:strCache>
                <c:ptCount val="1"/>
                <c:pt idx="0">
                  <c:v>2023 Vs Snitt</c:v>
                </c:pt>
              </c:strCache>
            </c:strRef>
          </c:tx>
          <c:spPr>
            <a:solidFill>
              <a:schemeClr val="accent5">
                <a:alpha val="85000"/>
              </a:schemeClr>
            </a:solidFill>
            <a:ln w="9525" cap="flat" cmpd="sng" algn="ctr">
              <a:solidFill>
                <a:schemeClr val="lt1">
                  <a:alpha val="50000"/>
                </a:schemeClr>
              </a:solidFill>
              <a:round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'PLP Säsong'!$B$3:$C$18</c:f>
              <c:multiLvlStrCache>
                <c:ptCount val="16"/>
                <c:lvl>
                  <c:pt idx="0">
                    <c:v>Thorvaldsson</c:v>
                  </c:pt>
                  <c:pt idx="1">
                    <c:v>Bengtsson</c:v>
                  </c:pt>
                  <c:pt idx="2">
                    <c:v>Nilsson</c:v>
                  </c:pt>
                  <c:pt idx="3">
                    <c:v>Simonsson</c:v>
                  </c:pt>
                  <c:pt idx="4">
                    <c:v>Åberg</c:v>
                  </c:pt>
                  <c:pt idx="5">
                    <c:v>Svensson</c:v>
                  </c:pt>
                  <c:pt idx="6">
                    <c:v>Backe</c:v>
                  </c:pt>
                  <c:pt idx="7">
                    <c:v>Källström</c:v>
                  </c:pt>
                  <c:pt idx="8">
                    <c:v>L Johansson</c:v>
                  </c:pt>
                  <c:pt idx="9">
                    <c:v>Stranddahl</c:v>
                  </c:pt>
                  <c:pt idx="10">
                    <c:v>B Johansson</c:v>
                  </c:pt>
                  <c:pt idx="11">
                    <c:v>Larsson</c:v>
                  </c:pt>
                  <c:pt idx="12">
                    <c:v>Söder</c:v>
                  </c:pt>
                  <c:pt idx="13">
                    <c:v>Ljung</c:v>
                  </c:pt>
                  <c:pt idx="14">
                    <c:v>Glyssbo</c:v>
                  </c:pt>
                  <c:pt idx="15">
                    <c:v>K Johansson</c:v>
                  </c:pt>
                </c:lvl>
                <c:lvl>
                  <c:pt idx="0">
                    <c:v>Stefan</c:v>
                  </c:pt>
                  <c:pt idx="1">
                    <c:v>Magnus</c:v>
                  </c:pt>
                  <c:pt idx="2">
                    <c:v>Peter</c:v>
                  </c:pt>
                  <c:pt idx="3">
                    <c:v>Jörgen</c:v>
                  </c:pt>
                  <c:pt idx="4">
                    <c:v>Micke</c:v>
                  </c:pt>
                  <c:pt idx="5">
                    <c:v>Claes</c:v>
                  </c:pt>
                  <c:pt idx="6">
                    <c:v>Göran</c:v>
                  </c:pt>
                  <c:pt idx="7">
                    <c:v>Stefan</c:v>
                  </c:pt>
                  <c:pt idx="8">
                    <c:v>Lalle</c:v>
                  </c:pt>
                  <c:pt idx="9">
                    <c:v>Jörgen</c:v>
                  </c:pt>
                  <c:pt idx="10">
                    <c:v>Börje</c:v>
                  </c:pt>
                  <c:pt idx="11">
                    <c:v>Thomas</c:v>
                  </c:pt>
                  <c:pt idx="12">
                    <c:v>Jocke</c:v>
                  </c:pt>
                  <c:pt idx="13">
                    <c:v>Niklas </c:v>
                  </c:pt>
                  <c:pt idx="14">
                    <c:v>PJ</c:v>
                  </c:pt>
                  <c:pt idx="15">
                    <c:v>Kent</c:v>
                  </c:pt>
                </c:lvl>
              </c:multiLvlStrCache>
            </c:multiLvlStrRef>
          </c:cat>
          <c:val>
            <c:numRef>
              <c:f>'PLP Säsong'!$V$3:$V$18</c:f>
              <c:numCache>
                <c:formatCode>0.00</c:formatCode>
                <c:ptCount val="16"/>
                <c:pt idx="0">
                  <c:v>1.1999999999999993</c:v>
                </c:pt>
                <c:pt idx="1">
                  <c:v>-17.928571428571427</c:v>
                </c:pt>
                <c:pt idx="2">
                  <c:v>2.3333333333333339</c:v>
                </c:pt>
                <c:pt idx="3">
                  <c:v>5.1333333333333329</c:v>
                </c:pt>
                <c:pt idx="4">
                  <c:v>1.4666666666666668</c:v>
                </c:pt>
                <c:pt idx="5">
                  <c:v>-21.142857142857142</c:v>
                </c:pt>
                <c:pt idx="6">
                  <c:v>-5.1333333333333329</c:v>
                </c:pt>
                <c:pt idx="7">
                  <c:v>2.2000000000000028</c:v>
                </c:pt>
                <c:pt idx="8">
                  <c:v>0.60000000000000142</c:v>
                </c:pt>
                <c:pt idx="9">
                  <c:v>-4.2666666666666657</c:v>
                </c:pt>
                <c:pt idx="10">
                  <c:v>-9.3333333333333321</c:v>
                </c:pt>
                <c:pt idx="11">
                  <c:v>-9.93333333333333</c:v>
                </c:pt>
                <c:pt idx="12">
                  <c:v>1.5</c:v>
                </c:pt>
                <c:pt idx="13">
                  <c:v>-28.428571428571431</c:v>
                </c:pt>
                <c:pt idx="14">
                  <c:v>2.6923076923076934</c:v>
                </c:pt>
                <c:pt idx="15">
                  <c:v>-12.333333333333336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C72-44D1-9013-308AD20FE2A6}"/>
            </c:ext>
          </c:extLst>
        </c:ser>
        <c:ser>
          <c:idx val="2"/>
          <c:order val="2"/>
          <c:tx>
            <c:strRef>
              <c:f>'PLP Säsong'!$W$2</c:f>
              <c:strCache>
                <c:ptCount val="1"/>
                <c:pt idx="0">
                  <c:v>2023 Vs 2022</c:v>
                </c:pt>
              </c:strCache>
            </c:strRef>
          </c:tx>
          <c:spPr>
            <a:solidFill>
              <a:schemeClr val="accent4">
                <a:alpha val="85000"/>
              </a:schemeClr>
            </a:solidFill>
            <a:ln w="9525" cap="flat" cmpd="sng" algn="ctr">
              <a:solidFill>
                <a:schemeClr val="lt1">
                  <a:alpha val="50000"/>
                </a:schemeClr>
              </a:solidFill>
              <a:round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sv-SE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dk1">
                          <a:lumMod val="50000"/>
                          <a:lumOff val="50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'PLP Säsong'!$B$3:$C$18</c:f>
              <c:multiLvlStrCache>
                <c:ptCount val="16"/>
                <c:lvl>
                  <c:pt idx="0">
                    <c:v>Thorvaldsson</c:v>
                  </c:pt>
                  <c:pt idx="1">
                    <c:v>Bengtsson</c:v>
                  </c:pt>
                  <c:pt idx="2">
                    <c:v>Nilsson</c:v>
                  </c:pt>
                  <c:pt idx="3">
                    <c:v>Simonsson</c:v>
                  </c:pt>
                  <c:pt idx="4">
                    <c:v>Åberg</c:v>
                  </c:pt>
                  <c:pt idx="5">
                    <c:v>Svensson</c:v>
                  </c:pt>
                  <c:pt idx="6">
                    <c:v>Backe</c:v>
                  </c:pt>
                  <c:pt idx="7">
                    <c:v>Källström</c:v>
                  </c:pt>
                  <c:pt idx="8">
                    <c:v>L Johansson</c:v>
                  </c:pt>
                  <c:pt idx="9">
                    <c:v>Stranddahl</c:v>
                  </c:pt>
                  <c:pt idx="10">
                    <c:v>B Johansson</c:v>
                  </c:pt>
                  <c:pt idx="11">
                    <c:v>Larsson</c:v>
                  </c:pt>
                  <c:pt idx="12">
                    <c:v>Söder</c:v>
                  </c:pt>
                  <c:pt idx="13">
                    <c:v>Ljung</c:v>
                  </c:pt>
                  <c:pt idx="14">
                    <c:v>Glyssbo</c:v>
                  </c:pt>
                  <c:pt idx="15">
                    <c:v>K Johansson</c:v>
                  </c:pt>
                </c:lvl>
                <c:lvl>
                  <c:pt idx="0">
                    <c:v>Stefan</c:v>
                  </c:pt>
                  <c:pt idx="1">
                    <c:v>Magnus</c:v>
                  </c:pt>
                  <c:pt idx="2">
                    <c:v>Peter</c:v>
                  </c:pt>
                  <c:pt idx="3">
                    <c:v>Jörgen</c:v>
                  </c:pt>
                  <c:pt idx="4">
                    <c:v>Micke</c:v>
                  </c:pt>
                  <c:pt idx="5">
                    <c:v>Claes</c:v>
                  </c:pt>
                  <c:pt idx="6">
                    <c:v>Göran</c:v>
                  </c:pt>
                  <c:pt idx="7">
                    <c:v>Stefan</c:v>
                  </c:pt>
                  <c:pt idx="8">
                    <c:v>Lalle</c:v>
                  </c:pt>
                  <c:pt idx="9">
                    <c:v>Jörgen</c:v>
                  </c:pt>
                  <c:pt idx="10">
                    <c:v>Börje</c:v>
                  </c:pt>
                  <c:pt idx="11">
                    <c:v>Thomas</c:v>
                  </c:pt>
                  <c:pt idx="12">
                    <c:v>Jocke</c:v>
                  </c:pt>
                  <c:pt idx="13">
                    <c:v>Niklas </c:v>
                  </c:pt>
                  <c:pt idx="14">
                    <c:v>PJ</c:v>
                  </c:pt>
                  <c:pt idx="15">
                    <c:v>Kent</c:v>
                  </c:pt>
                </c:lvl>
              </c:multiLvlStrCache>
            </c:multiLvlStrRef>
          </c:cat>
          <c:val>
            <c:numRef>
              <c:f>'PLP Säsong'!$W$3:$W$18</c:f>
              <c:numCache>
                <c:formatCode>General</c:formatCode>
                <c:ptCount val="16"/>
                <c:pt idx="0">
                  <c:v>2</c:v>
                </c:pt>
                <c:pt idx="1">
                  <c:v>-22</c:v>
                </c:pt>
                <c:pt idx="2">
                  <c:v>-2</c:v>
                </c:pt>
                <c:pt idx="3">
                  <c:v>-6</c:v>
                </c:pt>
                <c:pt idx="4">
                  <c:v>1</c:v>
                </c:pt>
                <c:pt idx="5">
                  <c:v>-27</c:v>
                </c:pt>
                <c:pt idx="6">
                  <c:v>-6</c:v>
                </c:pt>
                <c:pt idx="7">
                  <c:v>6</c:v>
                </c:pt>
                <c:pt idx="8">
                  <c:v>-1</c:v>
                </c:pt>
                <c:pt idx="9">
                  <c:v>10</c:v>
                </c:pt>
                <c:pt idx="10">
                  <c:v>-5</c:v>
                </c:pt>
                <c:pt idx="11">
                  <c:v>-23</c:v>
                </c:pt>
                <c:pt idx="12">
                  <c:v>-5</c:v>
                </c:pt>
                <c:pt idx="13">
                  <c:v>-18</c:v>
                </c:pt>
                <c:pt idx="14">
                  <c:v>-12</c:v>
                </c:pt>
                <c:pt idx="15">
                  <c:v>-10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AC72-44D1-9013-308AD20FE2A6}"/>
            </c:ext>
          </c:extLst>
        </c:ser>
        <c:dLbls>
          <c:dLblPos val="inEnd"/>
          <c:showLegendKey val="0"/>
          <c:showVal val="1"/>
          <c:showCatName val="0"/>
          <c:showSerName val="0"/>
          <c:showPercent val="0"/>
          <c:showBubbleSize val="0"/>
        </c:dLbls>
        <c:gapWidth val="65"/>
        <c:axId val="377501952"/>
        <c:axId val="377499072"/>
      </c:barChart>
      <c:catAx>
        <c:axId val="377501952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900" b="1" i="0" u="none" strike="noStrike" kern="1200" baseline="0">
                    <a:solidFill>
                      <a:schemeClr val="dk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v-SE"/>
                  <a:t>Spelare</a:t>
                </a:r>
              </a:p>
            </c:rich>
          </c:tx>
          <c:layout>
            <c:manualLayout>
              <c:xMode val="edge"/>
              <c:yMode val="edge"/>
              <c:x val="0.47063654142162709"/>
              <c:y val="0.88597371631362987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900" b="1" i="0" u="none" strike="noStrike" kern="1200" baseline="0">
                  <a:solidFill>
                    <a:schemeClr val="dk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v-SE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19050" cap="flat" cmpd="sng" algn="ctr">
            <a:solidFill>
              <a:schemeClr val="dk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cap="all" baseline="0">
                <a:solidFill>
                  <a:schemeClr val="dk1">
                    <a:lumMod val="75000"/>
                    <a:lumOff val="2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SE"/>
          </a:p>
        </c:txPr>
        <c:crossAx val="377499072"/>
        <c:crosses val="autoZero"/>
        <c:auto val="1"/>
        <c:lblAlgn val="ctr"/>
        <c:lblOffset val="100"/>
        <c:noMultiLvlLbl val="0"/>
      </c:catAx>
      <c:valAx>
        <c:axId val="377499072"/>
        <c:scaling>
          <c:orientation val="minMax"/>
        </c:scaling>
        <c:delete val="1"/>
        <c:axPos val="l"/>
        <c:majorGridlines>
          <c:spPr>
            <a:ln w="9525" cap="flat" cmpd="sng" algn="ctr">
              <a:gradFill>
                <a:gsLst>
                  <a:gs pos="100000">
                    <a:schemeClr val="dk1">
                      <a:lumMod val="95000"/>
                      <a:lumOff val="5000"/>
                      <a:alpha val="42000"/>
                    </a:schemeClr>
                  </a:gs>
                  <a:gs pos="0">
                    <a:schemeClr val="lt1">
                      <a:lumMod val="75000"/>
                      <a:alpha val="36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900" b="1" i="0" u="none" strike="noStrike" kern="1200" baseline="0">
                    <a:solidFill>
                      <a:schemeClr val="dk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v-SE"/>
                  <a:t>PLP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900" b="1" i="0" u="none" strike="noStrike" kern="1200" baseline="0">
                  <a:solidFill>
                    <a:schemeClr val="dk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v-SE"/>
            </a:p>
          </c:txPr>
        </c:title>
        <c:numFmt formatCode="General" sourceLinked="1"/>
        <c:majorTickMark val="none"/>
        <c:minorTickMark val="none"/>
        <c:tickLblPos val="nextTo"/>
        <c:crossAx val="37750195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solidFill>
          <a:schemeClr val="lt1">
            <a:lumMod val="95000"/>
            <a:alpha val="39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dk1">
                  <a:lumMod val="75000"/>
                  <a:lumOff val="25000"/>
                </a:schemeClr>
              </a:solidFill>
              <a:latin typeface="+mn-lt"/>
              <a:ea typeface="+mn-ea"/>
              <a:cs typeface="+mn-cs"/>
            </a:defRPr>
          </a:pPr>
          <a:endParaRPr lang="sv-SE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lt1"/>
        </a:gs>
        <a:gs pos="39000">
          <a:schemeClr val="lt1"/>
        </a:gs>
        <a:gs pos="100000">
          <a:schemeClr val="lt1">
            <a:lumMod val="75000"/>
          </a:schemeClr>
        </a:gs>
      </a:gsLst>
      <a:path path="circle">
        <a:fillToRect l="50000" t="-80000" r="50000" b="180000"/>
      </a:path>
      <a:tileRect/>
    </a:gradFill>
    <a:ln w="9525" cap="flat" cmpd="sng" algn="ctr">
      <a:solidFill>
        <a:schemeClr val="dk1">
          <a:lumMod val="25000"/>
          <a:lumOff val="75000"/>
        </a:schemeClr>
      </a:solidFill>
      <a:round/>
    </a:ln>
    <a:effectLst/>
  </c:spPr>
  <c:txPr>
    <a:bodyPr/>
    <a:lstStyle/>
    <a:p>
      <a:pPr>
        <a:defRPr/>
      </a:pPr>
      <a:endParaRPr lang="sv-SE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8.xml><?xml version="1.0" encoding="utf-8"?>
<cs:colorStyle xmlns:cs="http://schemas.microsoft.com/office/drawing/2012/chartStyle" xmlns:a="http://schemas.openxmlformats.org/drawingml/2006/main" meth="cycle" id="13">
  <a:schemeClr val="accent6"/>
  <a:schemeClr val="accent5"/>
  <a:schemeClr val="accent4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28">
  <cs:axisTitle>
    <cs:lnRef idx="0"/>
    <cs:fillRef idx="0"/>
    <cs:effectRef idx="0"/>
    <cs:fontRef idx="minor">
      <a:schemeClr val="dk1">
        <a:lumMod val="75000"/>
        <a:lumOff val="25000"/>
      </a:schemeClr>
    </cs:fontRef>
    <cs:defRPr sz="900" b="1" kern="1200"/>
  </cs:axisTitle>
  <cs:categoryAxis>
    <cs:lnRef idx="0"/>
    <cs:fillRef idx="0"/>
    <cs:effectRef idx="0"/>
    <cs:fontRef idx="minor">
      <a:schemeClr val="dk1">
        <a:lumMod val="75000"/>
        <a:lumOff val="25000"/>
      </a:schemeClr>
    </cs:fontRef>
    <cs:spPr>
      <a:ln w="190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 cap="all" baseline="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lt1"/>
          </a:gs>
          <a:gs pos="39000">
            <a:schemeClr val="lt1"/>
          </a:gs>
          <a:gs pos="100000">
            <a:schemeClr val="lt1">
              <a:lumMod val="75000"/>
            </a:schemeClr>
          </a:gs>
        </a:gsLst>
        <a:path path="circle">
          <a:fillToRect l="50000" t="-80000" r="50000" b="180000"/>
        </a:path>
        <a:tileRect/>
      </a:gradFill>
      <a:ln w="9525" cap="flat" cmpd="sng" algn="ctr">
        <a:solidFill>
          <a:schemeClr val="dk1">
            <a:lumMod val="25000"/>
            <a:lumOff val="75000"/>
          </a:schemeClr>
        </a:solidFill>
        <a:round/>
      </a:ln>
    </cs:spPr>
    <cs:defRPr sz="900" kern="1200"/>
  </cs:chartArea>
  <cs:dataLabel>
    <cs:lnRef idx="0"/>
    <cs:fillRef idx="0">
      <cs:styleClr val="auto"/>
    </cs:fillRef>
    <cs:effectRef idx="0"/>
    <cs:fontRef idx="minor">
      <a:schemeClr val="lt1"/>
    </cs:fontRef>
    <cs:defRPr sz="900" b="1" i="0" u="none" strike="noStrike" kern="1200" baseline="0"/>
  </cs:dataLabel>
  <cs:dataLabelCallout>
    <cs:lnRef idx="0"/>
    <cs:fillRef idx="0"/>
    <cs:effectRef idx="0"/>
    <cs:fontRef idx="minor">
      <a:schemeClr val="lt1"/>
    </cs:fontRef>
    <cs:spPr>
      <a:solidFill>
        <a:schemeClr val="dk1">
          <a:lumMod val="65000"/>
          <a:lumOff val="35000"/>
          <a:alpha val="75000"/>
        </a:schemeClr>
      </a:solidFill>
    </cs:spPr>
    <cs:defRPr sz="900" b="1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</cs:spPr>
  </cs:dataPointMarker>
  <cs:dataPointMarkerLayout symbol="circle" size="17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dk1">
        <a:lumMod val="75000"/>
        <a:lumOff val="25000"/>
      </a:schemeClr>
    </cs:fontRef>
    <cs:spPr>
      <a:ln w="9525">
        <a:solidFill>
          <a:schemeClr val="dk1">
            <a:lumMod val="35000"/>
            <a:lumOff val="6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50000"/>
          <a:lumOff val="50000"/>
        </a:schemeClr>
      </a:solidFill>
      <a:ln w="9525">
        <a:solidFill>
          <a:schemeClr val="dk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dk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</a:ln>
    </cs:spPr>
  </cs:leaderLine>
  <cs:legend>
    <cs:lnRef idx="0"/>
    <cs:fillRef idx="0"/>
    <cs:effectRef idx="0"/>
    <cs:fontRef idx="minor">
      <a:schemeClr val="dk1">
        <a:lumMod val="75000"/>
        <a:lumOff val="25000"/>
      </a:schemeClr>
    </cs:fontRef>
    <cs:spPr>
      <a:solidFill>
        <a:schemeClr val="lt1">
          <a:lumMod val="95000"/>
          <a:alpha val="39000"/>
        </a:schemeClr>
      </a:solidFill>
    </cs:spPr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dk1">
        <a:lumMod val="75000"/>
        <a:lumOff val="25000"/>
      </a:schemeClr>
    </cs:fontRef>
    <cs:spPr>
      <a:ln w="317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seriesLine>
  <cs:title>
    <cs:lnRef idx="0"/>
    <cs:fillRef idx="0"/>
    <cs:effectRef idx="0"/>
    <cs:fontRef idx="minor">
      <a:schemeClr val="dk1">
        <a:lumMod val="75000"/>
        <a:lumOff val="25000"/>
      </a:schemeClr>
    </cs:fontRef>
    <cs:defRPr sz="1800" b="1" kern="120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dk1">
        <a:lumMod val="75000"/>
        <a:lumOff val="2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dk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dk1">
        <a:lumMod val="75000"/>
        <a:lumOff val="25000"/>
      </a:schemeClr>
    </cs:fontRef>
    <cs:spPr>
      <a:ln>
        <a:noFill/>
      </a:ln>
    </cs:spPr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2.xml><?xml version="1.0" encoding="utf-8"?>
<cs:chartStyle xmlns:cs="http://schemas.microsoft.com/office/drawing/2012/chartStyle" xmlns:a="http://schemas.openxmlformats.org/drawingml/2006/main" id="228">
  <cs:axisTitle>
    <cs:lnRef idx="0"/>
    <cs:fillRef idx="0"/>
    <cs:effectRef idx="0"/>
    <cs:fontRef idx="minor">
      <a:schemeClr val="dk1">
        <a:lumMod val="75000"/>
        <a:lumOff val="25000"/>
      </a:schemeClr>
    </cs:fontRef>
    <cs:defRPr sz="900" b="1" kern="1200"/>
  </cs:axisTitle>
  <cs:categoryAxis>
    <cs:lnRef idx="0"/>
    <cs:fillRef idx="0"/>
    <cs:effectRef idx="0"/>
    <cs:fontRef idx="minor">
      <a:schemeClr val="dk1">
        <a:lumMod val="75000"/>
        <a:lumOff val="25000"/>
      </a:schemeClr>
    </cs:fontRef>
    <cs:spPr>
      <a:ln w="190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 cap="all" baseline="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lt1"/>
          </a:gs>
          <a:gs pos="39000">
            <a:schemeClr val="lt1"/>
          </a:gs>
          <a:gs pos="100000">
            <a:schemeClr val="lt1">
              <a:lumMod val="75000"/>
            </a:schemeClr>
          </a:gs>
        </a:gsLst>
        <a:path path="circle">
          <a:fillToRect l="50000" t="-80000" r="50000" b="180000"/>
        </a:path>
        <a:tileRect/>
      </a:gradFill>
      <a:ln w="9525" cap="flat" cmpd="sng" algn="ctr">
        <a:solidFill>
          <a:schemeClr val="dk1">
            <a:lumMod val="25000"/>
            <a:lumOff val="75000"/>
          </a:schemeClr>
        </a:solidFill>
        <a:round/>
      </a:ln>
    </cs:spPr>
    <cs:defRPr sz="900" kern="1200"/>
  </cs:chartArea>
  <cs:dataLabel>
    <cs:lnRef idx="0"/>
    <cs:fillRef idx="0">
      <cs:styleClr val="auto"/>
    </cs:fillRef>
    <cs:effectRef idx="0"/>
    <cs:fontRef idx="minor">
      <a:schemeClr val="lt1"/>
    </cs:fontRef>
    <cs:defRPr sz="900" b="1" i="0" u="none" strike="noStrike" kern="1200" baseline="0"/>
  </cs:dataLabel>
  <cs:dataLabelCallout>
    <cs:lnRef idx="0"/>
    <cs:fillRef idx="0"/>
    <cs:effectRef idx="0"/>
    <cs:fontRef idx="minor">
      <a:schemeClr val="lt1"/>
    </cs:fontRef>
    <cs:spPr>
      <a:solidFill>
        <a:schemeClr val="dk1">
          <a:lumMod val="65000"/>
          <a:lumOff val="35000"/>
          <a:alpha val="75000"/>
        </a:schemeClr>
      </a:solidFill>
    </cs:spPr>
    <cs:defRPr sz="900" b="1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</cs:spPr>
  </cs:dataPointMarker>
  <cs:dataPointMarkerLayout symbol="circle" size="17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dk1">
        <a:lumMod val="75000"/>
        <a:lumOff val="25000"/>
      </a:schemeClr>
    </cs:fontRef>
    <cs:spPr>
      <a:ln w="9525">
        <a:solidFill>
          <a:schemeClr val="dk1">
            <a:lumMod val="35000"/>
            <a:lumOff val="6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50000"/>
          <a:lumOff val="50000"/>
        </a:schemeClr>
      </a:solidFill>
      <a:ln w="9525">
        <a:solidFill>
          <a:schemeClr val="dk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dk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</a:ln>
    </cs:spPr>
  </cs:leaderLine>
  <cs:legend>
    <cs:lnRef idx="0"/>
    <cs:fillRef idx="0"/>
    <cs:effectRef idx="0"/>
    <cs:fontRef idx="minor">
      <a:schemeClr val="dk1">
        <a:lumMod val="75000"/>
        <a:lumOff val="25000"/>
      </a:schemeClr>
    </cs:fontRef>
    <cs:spPr>
      <a:solidFill>
        <a:schemeClr val="lt1">
          <a:lumMod val="95000"/>
          <a:alpha val="39000"/>
        </a:schemeClr>
      </a:solidFill>
    </cs:spPr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dk1">
        <a:lumMod val="75000"/>
        <a:lumOff val="25000"/>
      </a:schemeClr>
    </cs:fontRef>
    <cs:spPr>
      <a:ln w="317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seriesLine>
  <cs:title>
    <cs:lnRef idx="0"/>
    <cs:fillRef idx="0"/>
    <cs:effectRef idx="0"/>
    <cs:fontRef idx="minor">
      <a:schemeClr val="dk1">
        <a:lumMod val="75000"/>
        <a:lumOff val="25000"/>
      </a:schemeClr>
    </cs:fontRef>
    <cs:defRPr sz="1800" b="1" kern="120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dk1">
        <a:lumMod val="75000"/>
        <a:lumOff val="2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dk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dk1">
        <a:lumMod val="75000"/>
        <a:lumOff val="25000"/>
      </a:schemeClr>
    </cs:fontRef>
    <cs:spPr>
      <a:ln>
        <a:noFill/>
      </a:ln>
    </cs:spPr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3.xml><?xml version="1.0" encoding="utf-8"?>
<cs:chartStyle xmlns:cs="http://schemas.microsoft.com/office/drawing/2012/chartStyle" xmlns:a="http://schemas.openxmlformats.org/drawingml/2006/main" id="205">
  <cs:axisTitle>
    <cs:lnRef idx="0"/>
    <cs:fillRef idx="0"/>
    <cs:effectRef idx="0"/>
    <cs:fontRef idx="minor">
      <a:schemeClr val="dk1">
        <a:lumMod val="75000"/>
        <a:lumOff val="25000"/>
      </a:schemeClr>
    </cs:fontRef>
    <cs:defRPr sz="900" b="1" kern="1200"/>
  </cs:axisTitle>
  <cs:categoryAxis>
    <cs:lnRef idx="0"/>
    <cs:fillRef idx="0"/>
    <cs:effectRef idx="0"/>
    <cs:fontRef idx="minor">
      <a:schemeClr val="dk1">
        <a:lumMod val="75000"/>
        <a:lumOff val="25000"/>
      </a:schemeClr>
    </cs:fontRef>
    <cs:spPr>
      <a:ln w="190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 cap="all" baseline="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lt1"/>
          </a:gs>
          <a:gs pos="39000">
            <a:schemeClr val="lt1"/>
          </a:gs>
          <a:gs pos="100000">
            <a:schemeClr val="lt1">
              <a:lumMod val="75000"/>
            </a:schemeClr>
          </a:gs>
        </a:gsLst>
        <a:path path="circle">
          <a:fillToRect l="50000" t="-80000" r="50000" b="180000"/>
        </a:path>
        <a:tileRect/>
      </a:gradFill>
      <a:ln w="9525" cap="flat" cmpd="sng" algn="ctr">
        <a:solidFill>
          <a:schemeClr val="dk1">
            <a:lumMod val="25000"/>
            <a:lumOff val="7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lt1"/>
    </cs:fontRef>
    <cs:defRPr sz="900" b="1" i="0" u="none" strike="noStrike" kern="1200" baseline="0"/>
  </cs:dataLabel>
  <cs:dataLabelCallout>
    <cs:lnRef idx="0"/>
    <cs:fillRef idx="0"/>
    <cs:effectRef idx="0"/>
    <cs:fontRef idx="minor">
      <a:schemeClr val="lt1"/>
    </cs:fontRef>
    <cs:spPr>
      <a:solidFill>
        <a:schemeClr val="dk1">
          <a:lumMod val="65000"/>
          <a:lumOff val="35000"/>
          <a:alpha val="75000"/>
        </a:schemeClr>
      </a:solidFill>
    </cs:spPr>
    <cs:defRPr sz="900" b="1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31750" cap="rnd">
        <a:solidFill>
          <a:schemeClr val="phClr">
            <a:alpha val="85000"/>
          </a:schemeClr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dk1">
        <a:lumMod val="75000"/>
        <a:lumOff val="25000"/>
      </a:schemeClr>
    </cs:fontRef>
    <cs:spPr>
      <a:ln w="9525">
        <a:solidFill>
          <a:schemeClr val="dk1">
            <a:lumMod val="35000"/>
            <a:lumOff val="6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50000"/>
          <a:lumOff val="50000"/>
        </a:schemeClr>
      </a:solidFill>
      <a:ln w="9525">
        <a:solidFill>
          <a:schemeClr val="dk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dk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</a:ln>
    </cs:spPr>
  </cs:leaderLine>
  <cs:legend>
    <cs:lnRef idx="0"/>
    <cs:fillRef idx="0"/>
    <cs:effectRef idx="0"/>
    <cs:fontRef idx="minor">
      <a:schemeClr val="dk1">
        <a:lumMod val="75000"/>
        <a:lumOff val="25000"/>
      </a:schemeClr>
    </cs:fontRef>
    <cs:spPr>
      <a:solidFill>
        <a:schemeClr val="lt1">
          <a:lumMod val="95000"/>
          <a:alpha val="39000"/>
        </a:schemeClr>
      </a:solidFill>
    </cs:spPr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dk1">
        <a:lumMod val="75000"/>
        <a:lumOff val="25000"/>
      </a:schemeClr>
    </cs:fontRef>
    <cs:spPr>
      <a:ln w="317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seriesLine>
  <cs:title>
    <cs:lnRef idx="0"/>
    <cs:fillRef idx="0"/>
    <cs:effectRef idx="0"/>
    <cs:fontRef idx="minor">
      <a:schemeClr val="dk1">
        <a:lumMod val="75000"/>
        <a:lumOff val="25000"/>
      </a:schemeClr>
    </cs:fontRef>
    <cs:defRPr sz="1800" b="1" kern="120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dk1">
        <a:lumMod val="75000"/>
        <a:lumOff val="2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dk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dk1">
        <a:lumMod val="75000"/>
        <a:lumOff val="25000"/>
      </a:schemeClr>
    </cs:fontRef>
    <cs:spPr>
      <a:ln>
        <a:noFill/>
      </a:ln>
    </cs:spPr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4.xml><?xml version="1.0" encoding="utf-8"?>
<cs:chartStyle xmlns:cs="http://schemas.microsoft.com/office/drawing/2012/chartStyle" xmlns:a="http://schemas.openxmlformats.org/drawingml/2006/main" id="205">
  <cs:axisTitle>
    <cs:lnRef idx="0"/>
    <cs:fillRef idx="0"/>
    <cs:effectRef idx="0"/>
    <cs:fontRef idx="minor">
      <a:schemeClr val="dk1">
        <a:lumMod val="75000"/>
        <a:lumOff val="25000"/>
      </a:schemeClr>
    </cs:fontRef>
    <cs:defRPr sz="900" b="1" kern="1200"/>
  </cs:axisTitle>
  <cs:categoryAxis>
    <cs:lnRef idx="0"/>
    <cs:fillRef idx="0"/>
    <cs:effectRef idx="0"/>
    <cs:fontRef idx="minor">
      <a:schemeClr val="dk1">
        <a:lumMod val="75000"/>
        <a:lumOff val="25000"/>
      </a:schemeClr>
    </cs:fontRef>
    <cs:spPr>
      <a:ln w="190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 cap="all" baseline="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lt1"/>
          </a:gs>
          <a:gs pos="39000">
            <a:schemeClr val="lt1"/>
          </a:gs>
          <a:gs pos="100000">
            <a:schemeClr val="lt1">
              <a:lumMod val="75000"/>
            </a:schemeClr>
          </a:gs>
        </a:gsLst>
        <a:path path="circle">
          <a:fillToRect l="50000" t="-80000" r="50000" b="180000"/>
        </a:path>
        <a:tileRect/>
      </a:gradFill>
      <a:ln w="9525" cap="flat" cmpd="sng" algn="ctr">
        <a:solidFill>
          <a:schemeClr val="dk1">
            <a:lumMod val="25000"/>
            <a:lumOff val="7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lt1"/>
    </cs:fontRef>
    <cs:defRPr sz="900" b="1" i="0" u="none" strike="noStrike" kern="1200" baseline="0"/>
  </cs:dataLabel>
  <cs:dataLabelCallout>
    <cs:lnRef idx="0"/>
    <cs:fillRef idx="0"/>
    <cs:effectRef idx="0"/>
    <cs:fontRef idx="minor">
      <a:schemeClr val="lt1"/>
    </cs:fontRef>
    <cs:spPr>
      <a:solidFill>
        <a:schemeClr val="dk1">
          <a:lumMod val="65000"/>
          <a:lumOff val="35000"/>
          <a:alpha val="75000"/>
        </a:schemeClr>
      </a:solidFill>
    </cs:spPr>
    <cs:defRPr sz="900" b="1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31750" cap="rnd">
        <a:solidFill>
          <a:schemeClr val="phClr">
            <a:alpha val="85000"/>
          </a:schemeClr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dk1">
        <a:lumMod val="75000"/>
        <a:lumOff val="25000"/>
      </a:schemeClr>
    </cs:fontRef>
    <cs:spPr>
      <a:ln w="9525">
        <a:solidFill>
          <a:schemeClr val="dk1">
            <a:lumMod val="35000"/>
            <a:lumOff val="6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50000"/>
          <a:lumOff val="50000"/>
        </a:schemeClr>
      </a:solidFill>
      <a:ln w="9525">
        <a:solidFill>
          <a:schemeClr val="dk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dk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</a:ln>
    </cs:spPr>
  </cs:leaderLine>
  <cs:legend>
    <cs:lnRef idx="0"/>
    <cs:fillRef idx="0"/>
    <cs:effectRef idx="0"/>
    <cs:fontRef idx="minor">
      <a:schemeClr val="dk1">
        <a:lumMod val="75000"/>
        <a:lumOff val="25000"/>
      </a:schemeClr>
    </cs:fontRef>
    <cs:spPr>
      <a:solidFill>
        <a:schemeClr val="lt1">
          <a:lumMod val="95000"/>
          <a:alpha val="39000"/>
        </a:schemeClr>
      </a:solidFill>
    </cs:spPr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dk1">
        <a:lumMod val="75000"/>
        <a:lumOff val="25000"/>
      </a:schemeClr>
    </cs:fontRef>
    <cs:spPr>
      <a:ln w="317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seriesLine>
  <cs:title>
    <cs:lnRef idx="0"/>
    <cs:fillRef idx="0"/>
    <cs:effectRef idx="0"/>
    <cs:fontRef idx="minor">
      <a:schemeClr val="dk1">
        <a:lumMod val="75000"/>
        <a:lumOff val="25000"/>
      </a:schemeClr>
    </cs:fontRef>
    <cs:defRPr sz="1800" b="1" kern="120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dk1">
        <a:lumMod val="75000"/>
        <a:lumOff val="2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dk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dk1">
        <a:lumMod val="75000"/>
        <a:lumOff val="25000"/>
      </a:schemeClr>
    </cs:fontRef>
    <cs:spPr>
      <a:ln>
        <a:noFill/>
      </a:ln>
    </cs:spPr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5.xml><?xml version="1.0" encoding="utf-8"?>
<cs:chartStyle xmlns:cs="http://schemas.microsoft.com/office/drawing/2012/chartStyle" xmlns:a="http://schemas.openxmlformats.org/drawingml/2006/main" id="236">
  <cs:axisTitle>
    <cs:lnRef idx="0"/>
    <cs:fillRef idx="0"/>
    <cs:effectRef idx="0"/>
    <cs:fontRef idx="minor">
      <a:schemeClr val="lt1">
        <a:lumMod val="75000"/>
      </a:schemeClr>
    </cs:fontRef>
    <cs:defRPr sz="900" b="1" kern="1200"/>
  </cs:axisTitle>
  <cs:categoryAxis>
    <cs:lnRef idx="0"/>
    <cs:fillRef idx="0"/>
    <cs:effectRef idx="0"/>
    <cs:fontRef idx="minor">
      <a:schemeClr val="lt1">
        <a:lumMod val="75000"/>
      </a:schemeClr>
    </cs:fontRef>
    <cs:defRPr sz="900" kern="1200"/>
  </cs:categoryAxis>
  <cs:chartArea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dk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lt1">
        <a:lumMod val="75000"/>
      </a:schemeClr>
    </cs:fontRef>
    <cs:defRPr sz="900" kern="1200"/>
  </cs:dataLabel>
  <cs:dataLabelCallout>
    <cs:lnRef idx="0"/>
    <cs:fillRef idx="0"/>
    <cs:effectRef idx="0"/>
    <cs:fontRef idx="minor">
      <a:schemeClr val="lt1">
        <a:lumMod val="15000"/>
        <a:lumOff val="85000"/>
      </a:schemeClr>
    </cs:fontRef>
    <cs:spPr>
      <a:solidFill>
        <a:schemeClr val="dk1">
          <a:lumMod val="65000"/>
          <a:lumOff val="35000"/>
        </a:schemeClr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0"/>
    <cs:effectRef idx="0">
      <cs:styleClr val="auto"/>
    </cs:effectRef>
    <cs:fontRef idx="minor">
      <a:schemeClr val="dk1"/>
    </cs:fontRef>
    <cs:spPr>
      <a:ln w="9525" cap="flat" cmpd="sng" algn="ctr">
        <a:solidFill>
          <a:schemeClr val="phClr"/>
        </a:solidFill>
        <a:miter lim="800000"/>
      </a:ln>
      <a:effectLst>
        <a:glow rad="63500">
          <a:schemeClr val="phClr">
            <a:satMod val="175000"/>
            <a:alpha val="25000"/>
          </a:schemeClr>
        </a:glow>
      </a:effectLst>
    </cs:spPr>
  </cs:dataPoint>
  <cs:dataPoint3D>
    <cs:lnRef idx="0">
      <cs:styleClr val="auto"/>
    </cs:lnRef>
    <cs:fillRef idx="0">
      <cs:styleClr val="auto"/>
    </cs:fillRef>
    <cs:effectRef idx="0">
      <cs:styleClr val="auto"/>
    </cs:effectRef>
    <cs:fontRef idx="minor">
      <a:schemeClr val="dk1"/>
    </cs:fontRef>
    <cs:spPr>
      <a:ln w="9525" cap="flat" cmpd="sng" algn="ctr">
        <a:solidFill>
          <a:schemeClr val="phClr"/>
        </a:solidFill>
        <a:miter lim="800000"/>
      </a:ln>
      <a:effectLst>
        <a:glow rad="63500">
          <a:schemeClr val="phClr">
            <a:satMod val="175000"/>
            <a:alpha val="25000"/>
          </a:schemeClr>
        </a:glow>
      </a:effectLst>
    </cs:spPr>
  </cs:dataPoint3D>
  <cs:dataPointLine>
    <cs:lnRef idx="0">
      <cs:styleClr val="auto"/>
    </cs:lnRef>
    <cs:fillRef idx="0">
      <cs:styleClr val="auto"/>
    </cs:fillRef>
    <cs:effectRef idx="0">
      <cs:styleClr val="auto"/>
    </cs:effectRef>
    <cs:fontRef idx="minor">
      <a:schemeClr val="dk1"/>
    </cs:fontRef>
    <cs:spPr>
      <a:ln w="22225" cap="rnd">
        <a:solidFill>
          <a:schemeClr val="phClr"/>
        </a:solidFill>
      </a:ln>
      <a:effectLst>
        <a:glow rad="139700">
          <a:schemeClr val="phClr">
            <a:satMod val="175000"/>
            <a:alpha val="14000"/>
          </a:schemeClr>
        </a:glow>
      </a:effectLst>
    </cs:spPr>
  </cs:dataPointLine>
  <cs:dataPointMarker>
    <cs:lnRef idx="0">
      <cs:styleClr val="auto"/>
    </cs:lnRef>
    <cs:fillRef idx="0">
      <cs:styleClr val="auto"/>
    </cs:fillRef>
    <cs:effectRef idx="0">
      <cs:styleClr val="auto"/>
    </cs:effectRef>
    <cs:fontRef idx="minor">
      <a:schemeClr val="dk1"/>
    </cs:fontRef>
    <cs:spPr>
      <a:solidFill>
        <a:schemeClr val="phClr">
          <a:lumMod val="60000"/>
          <a:lumOff val="40000"/>
        </a:schemeClr>
      </a:solidFill>
      <a:effectLst>
        <a:glow rad="63500">
          <a:schemeClr val="phClr">
            <a:satMod val="175000"/>
            <a:alpha val="25000"/>
          </a:schemeClr>
        </a:glow>
      </a:effectLst>
    </cs:spPr>
  </cs:dataPointMarker>
  <cs:dataPointMarkerLayout symbol="circle" size="4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lt1">
        <a:lumMod val="75000"/>
      </a:schemeClr>
    </cs:fontRef>
    <cs:spPr>
      <a:ln w="9525">
        <a:solidFill>
          <a:schemeClr val="dk1">
            <a:lumMod val="50000"/>
            <a:lumOff val="50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lt1"/>
    </cs:fontRef>
    <cs:spPr>
      <a:solidFill>
        <a:schemeClr val="dk1">
          <a:lumMod val="50000"/>
          <a:lumOff val="50000"/>
        </a:schemeClr>
      </a:solidFill>
      <a:ln w="9525">
        <a:solidFill>
          <a:schemeClr val="dk1">
            <a:lumMod val="75000"/>
          </a:schemeClr>
        </a:solidFill>
        <a:round/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100000">
              <a:schemeClr val="dk1">
                <a:lumMod val="75000"/>
                <a:lumOff val="25000"/>
              </a:schemeClr>
            </a:gs>
            <a:gs pos="0">
              <a:schemeClr val="dk1">
                <a:lumMod val="65000"/>
                <a:lumOff val="35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100000">
              <a:schemeClr val="dk1">
                <a:lumMod val="75000"/>
                <a:lumOff val="25000"/>
                <a:alpha val="25000"/>
              </a:schemeClr>
            </a:gs>
            <a:gs pos="0">
              <a:schemeClr val="dk1">
                <a:lumMod val="65000"/>
                <a:lumOff val="35000"/>
                <a:alpha val="25000"/>
              </a:schemeClr>
            </a:gs>
          </a:gsLst>
          <a:lin ang="5400000" scaled="0"/>
        </a:gradFill>
        <a:round/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leaderLine>
  <cs:legend>
    <cs:lnRef idx="0"/>
    <cs:fillRef idx="0"/>
    <cs:effectRef idx="0"/>
    <cs:fontRef idx="minor">
      <a:schemeClr val="lt1">
        <a:lumMod val="75000"/>
      </a:schemeClr>
    </cs:fontRef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lt1">
        <a:lumMod val="75000"/>
      </a:schemeClr>
    </cs:fontRef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seriesLine>
  <cs:title>
    <cs:lnRef idx="0"/>
    <cs:fillRef idx="0"/>
    <cs:effectRef idx="0"/>
    <cs:fontRef idx="minor">
      <a:schemeClr val="lt1">
        <a:lumMod val="85000"/>
      </a:schemeClr>
    </cs:fontRef>
    <cs:defRPr sz="1400" b="1" kern="1200" cap="none" baseline="0"/>
  </cs:title>
  <cs:trendline>
    <cs:lnRef idx="0">
      <cs:styleClr val="auto"/>
    </cs:lnRef>
    <cs:fillRef idx="0"/>
    <cs:effectRef idx="0"/>
    <cs:fontRef idx="minor">
      <a:schemeClr val="lt1"/>
    </cs:fontRef>
    <cs:spPr>
      <a:ln w="25400" cap="rnd">
        <a:solidFill>
          <a:schemeClr val="phClr">
            <a:alpha val="50000"/>
          </a:schemeClr>
        </a:solidFill>
      </a:ln>
    </cs:spPr>
  </cs:trendline>
  <cs:trendlineLabel>
    <cs:lnRef idx="0"/>
    <cs:fillRef idx="0"/>
    <cs:effectRef idx="0"/>
    <cs:fontRef idx="minor">
      <a:schemeClr val="lt1">
        <a:lumMod val="7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>
          <a:lumMod val="85000"/>
        </a:schemeClr>
      </a:solidFill>
      <a:ln w="9525">
        <a:solidFill>
          <a:schemeClr val="dk1">
            <a:lumMod val="50000"/>
          </a:schemeClr>
        </a:solidFill>
        <a:round/>
      </a:ln>
    </cs:spPr>
  </cs:upBar>
  <cs:valueAxis>
    <cs:lnRef idx="0"/>
    <cs:fillRef idx="0"/>
    <cs:effectRef idx="0"/>
    <cs:fontRef idx="minor">
      <a:schemeClr val="lt1">
        <a:lumMod val="7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6.xml><?xml version="1.0" encoding="utf-8"?>
<cs:chartStyle xmlns:cs="http://schemas.microsoft.com/office/drawing/2012/chartStyle" xmlns:a="http://schemas.openxmlformats.org/drawingml/2006/main" id="213">
  <cs:axisTitle>
    <cs:lnRef idx="0"/>
    <cs:fillRef idx="0"/>
    <cs:effectRef idx="0"/>
    <cs:fontRef idx="minor">
      <a:schemeClr val="lt1">
        <a:lumMod val="75000"/>
      </a:schemeClr>
    </cs:fontRef>
    <cs:defRPr sz="900" b="1" kern="1200"/>
  </cs:axisTitle>
  <cs:categoryAxis>
    <cs:lnRef idx="0"/>
    <cs:fillRef idx="0"/>
    <cs:effectRef idx="0"/>
    <cs:fontRef idx="minor">
      <a:schemeClr val="lt1">
        <a:lumMod val="75000"/>
      </a:schemeClr>
    </cs:fontRef>
    <cs:defRPr sz="900" kern="1200"/>
  </cs:categoryAxis>
  <cs:chartArea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dk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lt1">
        <a:lumMod val="75000"/>
      </a:schemeClr>
    </cs:fontRef>
    <cs:defRPr sz="900" kern="1200"/>
  </cs:dataLabel>
  <cs:dataLabelCallout>
    <cs:lnRef idx="0"/>
    <cs:fillRef idx="0"/>
    <cs:effectRef idx="0"/>
    <cs:fontRef idx="minor">
      <a:schemeClr val="lt1">
        <a:lumMod val="15000"/>
        <a:lumOff val="85000"/>
      </a:schemeClr>
    </cs:fontRef>
    <cs:spPr>
      <a:solidFill>
        <a:schemeClr val="dk1">
          <a:lumMod val="65000"/>
          <a:lumOff val="35000"/>
        </a:schemeClr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0"/>
    <cs:effectRef idx="0">
      <cs:styleClr val="auto"/>
    </cs:effectRef>
    <cs:fontRef idx="minor">
      <a:schemeClr val="dk1"/>
    </cs:fontRef>
    <cs:spPr>
      <a:ln w="9525" cap="flat" cmpd="sng" algn="ctr">
        <a:solidFill>
          <a:schemeClr val="phClr"/>
        </a:solidFill>
        <a:miter lim="800000"/>
      </a:ln>
      <a:effectLst>
        <a:glow rad="63500">
          <a:schemeClr val="phClr">
            <a:satMod val="175000"/>
            <a:alpha val="25000"/>
          </a:schemeClr>
        </a:glow>
      </a:effectLst>
    </cs:spPr>
  </cs:dataPoint>
  <cs:dataPoint3D>
    <cs:lnRef idx="0">
      <cs:styleClr val="auto"/>
    </cs:lnRef>
    <cs:fillRef idx="0">
      <cs:styleClr val="auto"/>
    </cs:fillRef>
    <cs:effectRef idx="0">
      <cs:styleClr val="auto"/>
    </cs:effectRef>
    <cs:fontRef idx="minor">
      <a:schemeClr val="dk1"/>
    </cs:fontRef>
    <cs:spPr>
      <a:ln w="9525" cap="flat" cmpd="sng" algn="ctr">
        <a:solidFill>
          <a:schemeClr val="phClr"/>
        </a:solidFill>
        <a:miter lim="800000"/>
      </a:ln>
      <a:effectLst>
        <a:glow rad="63500">
          <a:schemeClr val="phClr">
            <a:satMod val="175000"/>
            <a:alpha val="25000"/>
          </a:schemeClr>
        </a:glow>
      </a:effectLst>
    </cs:spPr>
  </cs:dataPoint3D>
  <cs:dataPointLine>
    <cs:lnRef idx="0">
      <cs:styleClr val="auto"/>
    </cs:lnRef>
    <cs:fillRef idx="0">
      <cs:styleClr val="auto"/>
    </cs:fillRef>
    <cs:effectRef idx="0">
      <cs:styleClr val="auto"/>
    </cs:effectRef>
    <cs:fontRef idx="minor">
      <a:schemeClr val="dk1"/>
    </cs:fontRef>
    <cs:spPr>
      <a:ln w="22225" cap="rnd">
        <a:solidFill>
          <a:schemeClr val="phClr"/>
        </a:solidFill>
      </a:ln>
      <a:effectLst>
        <a:glow rad="139700">
          <a:schemeClr val="phClr">
            <a:satMod val="175000"/>
            <a:alpha val="14000"/>
          </a:schemeClr>
        </a:glow>
      </a:effectLst>
    </cs:spPr>
  </cs:dataPointLine>
  <cs:dataPointMarker>
    <cs:lnRef idx="0">
      <cs:styleClr val="auto"/>
    </cs:lnRef>
    <cs:fillRef idx="0">
      <cs:styleClr val="auto"/>
    </cs:fillRef>
    <cs:effectRef idx="0">
      <cs:styleClr val="auto"/>
    </cs:effectRef>
    <cs:fontRef idx="minor">
      <a:schemeClr val="dk1"/>
    </cs:fontRef>
    <cs:spPr>
      <a:solidFill>
        <a:schemeClr val="phClr">
          <a:lumMod val="60000"/>
          <a:lumOff val="40000"/>
        </a:schemeClr>
      </a:solidFill>
      <a:effectLst>
        <a:glow rad="63500">
          <a:schemeClr val="phClr">
            <a:satMod val="175000"/>
            <a:alpha val="25000"/>
          </a:schemeClr>
        </a:glow>
      </a:effectLst>
    </cs:spPr>
  </cs:dataPointMarker>
  <cs:dataPointMarkerLayout symbol="circle" size="4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lt1">
        <a:lumMod val="75000"/>
      </a:schemeClr>
    </cs:fontRef>
    <cs:spPr>
      <a:ln w="9525">
        <a:solidFill>
          <a:schemeClr val="dk1">
            <a:lumMod val="50000"/>
            <a:lumOff val="50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lt1"/>
    </cs:fontRef>
    <cs:spPr>
      <a:solidFill>
        <a:schemeClr val="dk1">
          <a:lumMod val="50000"/>
          <a:lumOff val="50000"/>
        </a:schemeClr>
      </a:solidFill>
      <a:ln w="9525">
        <a:solidFill>
          <a:schemeClr val="dk1">
            <a:lumMod val="75000"/>
          </a:schemeClr>
        </a:solidFill>
        <a:round/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100000">
              <a:schemeClr val="dk1">
                <a:lumMod val="75000"/>
                <a:lumOff val="25000"/>
              </a:schemeClr>
            </a:gs>
            <a:gs pos="0">
              <a:schemeClr val="dk1">
                <a:lumMod val="65000"/>
                <a:lumOff val="35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100000">
              <a:schemeClr val="dk1">
                <a:lumMod val="75000"/>
                <a:lumOff val="25000"/>
                <a:alpha val="25000"/>
              </a:schemeClr>
            </a:gs>
            <a:gs pos="0">
              <a:schemeClr val="dk1">
                <a:lumMod val="65000"/>
                <a:lumOff val="35000"/>
                <a:alpha val="25000"/>
              </a:schemeClr>
            </a:gs>
          </a:gsLst>
          <a:lin ang="5400000" scaled="0"/>
        </a:gradFill>
        <a:round/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leaderLine>
  <cs:legend>
    <cs:lnRef idx="0"/>
    <cs:fillRef idx="0"/>
    <cs:effectRef idx="0"/>
    <cs:fontRef idx="minor">
      <a:schemeClr val="lt1">
        <a:lumMod val="75000"/>
      </a:schemeClr>
    </cs:fontRef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lt1">
        <a:lumMod val="75000"/>
      </a:schemeClr>
    </cs:fontRef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seriesLine>
  <cs:title>
    <cs:lnRef idx="0"/>
    <cs:fillRef idx="0"/>
    <cs:effectRef idx="0"/>
    <cs:fontRef idx="minor">
      <a:schemeClr val="lt1">
        <a:lumMod val="85000"/>
      </a:schemeClr>
    </cs:fontRef>
    <cs:defRPr sz="1400" b="1" kern="1200" cap="none" baseline="0"/>
  </cs:title>
  <cs:trendline>
    <cs:lnRef idx="0">
      <cs:styleClr val="auto"/>
    </cs:lnRef>
    <cs:fillRef idx="0"/>
    <cs:effectRef idx="0"/>
    <cs:fontRef idx="minor">
      <a:schemeClr val="lt1"/>
    </cs:fontRef>
    <cs:spPr>
      <a:ln w="25400" cap="rnd">
        <a:solidFill>
          <a:schemeClr val="phClr">
            <a:alpha val="50000"/>
          </a:schemeClr>
        </a:solidFill>
      </a:ln>
    </cs:spPr>
  </cs:trendline>
  <cs:trendlineLabel>
    <cs:lnRef idx="0"/>
    <cs:fillRef idx="0"/>
    <cs:effectRef idx="0"/>
    <cs:fontRef idx="minor">
      <a:schemeClr val="lt1">
        <a:lumMod val="7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>
          <a:lumMod val="85000"/>
        </a:schemeClr>
      </a:solidFill>
      <a:ln w="9525">
        <a:solidFill>
          <a:schemeClr val="dk1">
            <a:lumMod val="50000"/>
          </a:schemeClr>
        </a:solidFill>
        <a:round/>
      </a:ln>
    </cs:spPr>
  </cs:upBar>
  <cs:valueAxis>
    <cs:lnRef idx="0"/>
    <cs:fillRef idx="0"/>
    <cs:effectRef idx="0"/>
    <cs:fontRef idx="minor">
      <a:schemeClr val="lt1">
        <a:lumMod val="7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7.xml><?xml version="1.0" encoding="utf-8"?>
<cs:chartStyle xmlns:cs="http://schemas.microsoft.com/office/drawing/2012/chartStyle" xmlns:a="http://schemas.openxmlformats.org/drawingml/2006/main" id="209">
  <cs:axisTitle>
    <cs:lnRef idx="0"/>
    <cs:fillRef idx="0"/>
    <cs:effectRef idx="0"/>
    <cs:fontRef idx="minor">
      <a:schemeClr val="lt1">
        <a:lumMod val="85000"/>
      </a:schemeClr>
    </cs:fontRef>
    <cs:defRPr sz="900" b="1" kern="1200" cap="all"/>
  </cs:axisTitle>
  <cs:categoryAxis>
    <cs:lnRef idx="0"/>
    <cs:fillRef idx="0"/>
    <cs:effectRef idx="0"/>
    <cs:fontRef idx="minor">
      <a:schemeClr val="lt1">
        <a:lumMod val="85000"/>
      </a:schemeClr>
    </cs:fontRef>
    <cs:spPr>
      <a:ln w="12700" cap="flat" cmpd="sng" algn="ctr">
        <a:solidFill>
          <a:schemeClr val="lt1">
            <a:lumMod val="95000"/>
            <a:alpha val="54000"/>
          </a:schemeClr>
        </a:solidFill>
        <a:round/>
      </a:ln>
    </cs:spPr>
    <cs:defRPr sz="900" kern="120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dk1">
              <a:lumMod val="65000"/>
              <a:lumOff val="35000"/>
            </a:schemeClr>
          </a:gs>
          <a:gs pos="100000">
            <a:schemeClr val="dk1">
              <a:lumMod val="85000"/>
              <a:lumOff val="15000"/>
            </a:schemeClr>
          </a:gs>
        </a:gsLst>
        <a:path path="circle">
          <a:fillToRect l="50000" t="50000" r="50000" b="50000"/>
        </a:path>
        <a:tileRect/>
      </a:gradFill>
    </cs:spPr>
    <cs:defRPr sz="1000" kern="1200"/>
  </cs:chartArea>
  <cs:dataLabel>
    <cs:lnRef idx="0"/>
    <cs:fillRef idx="0"/>
    <cs:effectRef idx="0"/>
    <cs:fontRef idx="minor">
      <a:schemeClr val="lt1">
        <a:lumMod val="8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lt1"/>
    </cs:fontRef>
  </cs:dataPoint>
  <cs:dataPoint3D>
    <cs:lnRef idx="0"/>
    <cs:fillRef idx="3">
      <cs:styleClr val="auto"/>
    </cs:fillRef>
    <cs:effectRef idx="3"/>
    <cs:fontRef idx="minor">
      <a:schemeClr val="lt1"/>
    </cs:fontRef>
  </cs:dataPoint3D>
  <cs:dataPointLine>
    <cs:lnRef idx="0">
      <cs:styleClr val="auto"/>
    </cs:lnRef>
    <cs:fillRef idx="3"/>
    <cs:effectRef idx="3"/>
    <cs:fontRef idx="minor">
      <a:schemeClr val="lt1"/>
    </cs:fontRef>
    <cs:spPr>
      <a:ln w="349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lt1"/>
    </cs:fontRef>
    <cs:spPr>
      <a:ln w="9525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lt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lt1">
        <a:lumMod val="85000"/>
      </a:schemeClr>
    </cs:fontRef>
    <cs:spPr>
      <a:ln w="9525">
        <a:solidFill>
          <a:schemeClr val="lt1">
            <a:lumMod val="95000"/>
            <a:alpha val="54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lt1"/>
    </cs:fontRef>
    <cs:spPr>
      <a:solidFill>
        <a:schemeClr val="dk1">
          <a:lumMod val="75000"/>
          <a:lumOff val="25000"/>
        </a:schemeClr>
      </a:solidFill>
      <a:ln w="9525">
        <a:solidFill>
          <a:schemeClr val="lt1">
            <a:lumMod val="95000"/>
            <a:alpha val="54000"/>
          </a:schemeClr>
        </a:solidFill>
      </a:ln>
    </cs:spPr>
  </cs:downBar>
  <cs:dropLine>
    <cs:lnRef idx="0"/>
    <cs:fillRef idx="0"/>
    <cs:effectRef idx="0"/>
    <cs:fontRef idx="minor">
      <a:schemeClr val="lt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lt1"/>
    </cs:fontRef>
    <cs:spPr>
      <a:ln w="9525" cap="flat" cmpd="sng" algn="ctr">
        <a:solidFill>
          <a:schemeClr val="lt1">
            <a:lumMod val="95000"/>
          </a:schemeClr>
        </a:solidFill>
        <a:round/>
      </a:ln>
    </cs:spPr>
  </cs:errorBar>
  <cs:floor>
    <cs:lnRef idx="0"/>
    <cs:fillRef idx="0"/>
    <cs:effectRef idx="0"/>
    <cs:fontRef idx="minor">
      <a:schemeClr val="lt1"/>
    </cs:fontRef>
  </cs:floor>
  <cs:gridlineMajor>
    <cs:lnRef idx="0"/>
    <cs:fillRef idx="0"/>
    <cs:effectRef idx="0"/>
    <cs:fontRef idx="minor">
      <a:schemeClr val="lt1"/>
    </cs:fontRef>
    <cs:spPr>
      <a:ln w="9525" cap="flat" cmpd="sng" algn="ctr">
        <a:solidFill>
          <a:schemeClr val="lt1">
            <a:lumMod val="95000"/>
            <a:alpha val="10000"/>
          </a:schemeClr>
        </a:solidFill>
        <a:round/>
      </a:ln>
    </cs:spPr>
  </cs:gridlineMajor>
  <cs:gridlineMinor>
    <cs:lnRef idx="0"/>
    <cs:fillRef idx="0"/>
    <cs:effectRef idx="0"/>
    <cs:fontRef idx="minor">
      <a:schemeClr val="lt1"/>
    </cs:fontRef>
    <cs:spPr>
      <a:ln>
        <a:solidFill>
          <a:schemeClr val="lt1">
            <a:lumMod val="95000"/>
            <a:alpha val="5000"/>
          </a:schemeClr>
        </a:solidFill>
      </a:ln>
    </cs:spPr>
  </cs:gridlineMinor>
  <cs:hiLoLine>
    <cs:lnRef idx="0"/>
    <cs:fillRef idx="0"/>
    <cs:effectRef idx="0"/>
    <cs:fontRef idx="minor">
      <a:schemeClr val="lt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lt1"/>
    </cs:fontRef>
    <cs:spPr>
      <a:ln w="9525">
        <a:solidFill>
          <a:schemeClr val="lt1">
            <a:lumMod val="95000"/>
            <a:alpha val="54000"/>
          </a:schemeClr>
        </a:solidFill>
      </a:ln>
    </cs:spPr>
  </cs:leaderLine>
  <cs:legend>
    <cs:lnRef idx="0"/>
    <cs:fillRef idx="0"/>
    <cs:effectRef idx="0"/>
    <cs:fontRef idx="minor">
      <a:schemeClr val="lt1">
        <a:lumMod val="85000"/>
      </a:schemeClr>
    </cs:fontRef>
    <cs:defRPr sz="900" kern="1200"/>
  </cs:legend>
  <cs:plotArea>
    <cs:lnRef idx="0"/>
    <cs:fillRef idx="0"/>
    <cs:effectRef idx="0"/>
    <cs:fontRef idx="minor">
      <a:schemeClr val="lt1"/>
    </cs:fontRef>
  </cs:plotArea>
  <cs:plotArea3D>
    <cs:lnRef idx="0"/>
    <cs:fillRef idx="0"/>
    <cs:effectRef idx="0"/>
    <cs:fontRef idx="minor">
      <a:schemeClr val="lt1"/>
    </cs:fontRef>
  </cs:plotArea3D>
  <cs:seriesAxis>
    <cs:lnRef idx="0"/>
    <cs:fillRef idx="0"/>
    <cs:effectRef idx="0"/>
    <cs:fontRef idx="minor">
      <a:schemeClr val="lt1">
        <a:lumMod val="85000"/>
      </a:schemeClr>
    </cs:fontRef>
    <cs:spPr>
      <a:ln w="12700" cap="flat" cmpd="sng" algn="ctr">
        <a:solidFill>
          <a:schemeClr val="lt1">
            <a:lumMod val="95000"/>
            <a:alpha val="54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lt1"/>
    </cs:fontRef>
    <cs:spPr>
      <a:ln w="9525" cap="flat" cmpd="sng" algn="ctr">
        <a:solidFill>
          <a:schemeClr val="lt1">
            <a:lumMod val="95000"/>
            <a:alpha val="54000"/>
          </a:schemeClr>
        </a:solidFill>
        <a:round/>
      </a:ln>
    </cs:spPr>
  </cs:seriesLine>
  <cs:title>
    <cs:lnRef idx="0"/>
    <cs:fillRef idx="0"/>
    <cs:effectRef idx="0"/>
    <cs:fontRef idx="minor">
      <a:schemeClr val="lt1">
        <a:lumMod val="95000"/>
      </a:schemeClr>
    </cs:fontRef>
    <cs:defRPr sz="1600" b="1" kern="1200" spc="100" baseline="0">
      <a:effectLst>
        <a:outerShdw blurRad="50800" dist="38100" dir="5400000" algn="t" rotWithShape="0">
          <a:prstClr val="black">
            <a:alpha val="40000"/>
          </a:prstClr>
        </a:outerShdw>
      </a:effectLst>
    </cs:defRPr>
  </cs:title>
  <cs:trendline>
    <cs:lnRef idx="0">
      <cs:styleClr val="auto"/>
    </cs:lnRef>
    <cs:fillRef idx="0"/>
    <cs:effectRef idx="0"/>
    <cs:fontRef idx="minor">
      <a:schemeClr val="lt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lt1">
        <a:lumMod val="85000"/>
      </a:schemeClr>
    </cs:fontRef>
    <cs:defRPr sz="900" kern="1200"/>
  </cs:trendlineLabel>
  <cs:upBar>
    <cs:lnRef idx="0"/>
    <cs:fillRef idx="0"/>
    <cs:effectRef idx="0"/>
    <cs:fontRef idx="minor">
      <a:schemeClr val="lt1"/>
    </cs:fontRef>
    <cs:spPr>
      <a:solidFill>
        <a:schemeClr val="lt1"/>
      </a:solidFill>
      <a:ln w="9525">
        <a:solidFill>
          <a:schemeClr val="lt1">
            <a:lumMod val="95000"/>
            <a:alpha val="54000"/>
          </a:schemeClr>
        </a:solidFill>
      </a:ln>
    </cs:spPr>
  </cs:upBar>
  <cs:valueAxis>
    <cs:lnRef idx="0"/>
    <cs:fillRef idx="0"/>
    <cs:effectRef idx="0"/>
    <cs:fontRef idx="minor">
      <a:schemeClr val="lt1">
        <a:lumMod val="85000"/>
      </a:schemeClr>
    </cs:fontRef>
    <cs:defRPr sz="900" kern="1200"/>
  </cs:valueAxis>
  <cs:wall>
    <cs:lnRef idx="0"/>
    <cs:fillRef idx="0"/>
    <cs:effectRef idx="0"/>
    <cs:fontRef idx="minor">
      <a:schemeClr val="lt1"/>
    </cs:fontRef>
  </cs:wall>
</cs:chartStyle>
</file>

<file path=xl/charts/style8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22">
  <cs:axisTitle>
    <cs:lnRef idx="0"/>
    <cs:fillRef idx="0"/>
    <cs:effectRef idx="0"/>
    <cs:fontRef idx="minor">
      <a:schemeClr val="lt1">
        <a:lumMod val="85000"/>
      </a:schemeClr>
    </cs:fontRef>
    <cs:defRPr sz="900" b="1" kern="1200" cap="all"/>
  </cs:axisTitle>
  <cs:categoryAxis>
    <cs:lnRef idx="0"/>
    <cs:fillRef idx="0"/>
    <cs:effectRef idx="0"/>
    <cs:fontRef idx="minor">
      <a:schemeClr val="lt1">
        <a:lumMod val="85000"/>
      </a:schemeClr>
    </cs:fontRef>
    <cs:spPr>
      <a:ln w="12700" cap="flat" cmpd="sng" algn="ctr">
        <a:solidFill>
          <a:schemeClr val="lt1">
            <a:lumMod val="95000"/>
            <a:alpha val="54000"/>
          </a:schemeClr>
        </a:solidFill>
        <a:round/>
      </a:ln>
    </cs:spPr>
    <cs:defRPr sz="900" kern="120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dk1">
              <a:lumMod val="65000"/>
              <a:lumOff val="35000"/>
            </a:schemeClr>
          </a:gs>
          <a:gs pos="100000">
            <a:schemeClr val="dk1">
              <a:lumMod val="85000"/>
              <a:lumOff val="15000"/>
            </a:schemeClr>
          </a:gs>
        </a:gsLst>
        <a:path path="circle">
          <a:fillToRect l="50000" t="50000" r="50000" b="50000"/>
        </a:path>
        <a:tileRect/>
      </a:gradFill>
    </cs:spPr>
    <cs:defRPr sz="1000" kern="1200"/>
  </cs:chartArea>
  <cs:dataLabel>
    <cs:lnRef idx="0"/>
    <cs:fillRef idx="0"/>
    <cs:effectRef idx="0"/>
    <cs:fontRef idx="minor">
      <a:schemeClr val="lt1">
        <a:lumMod val="8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349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>
        <a:solidFill>
          <a:schemeClr val="phClr"/>
        </a:solidFill>
        <a:round/>
      </a:ln>
    </cs:spPr>
  </cs:dataPointMarker>
  <cs:dataPointMarkerLayout size="5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lt1">
        <a:lumMod val="85000"/>
      </a:schemeClr>
    </cs:fontRef>
    <cs:spPr>
      <a:ln w="9525">
        <a:solidFill>
          <a:schemeClr val="lt1">
            <a:lumMod val="95000"/>
            <a:alpha val="54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>
        <a:solidFill>
          <a:schemeClr val="lt1">
            <a:lumMod val="95000"/>
            <a:alpha val="54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  <a:alpha val="10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>
        <a:solidFill>
          <a:schemeClr val="lt1">
            <a:lumMod val="95000"/>
            <a:alpha val="5000"/>
          </a:schemeClr>
        </a:solidFill>
      </a:ln>
    </cs:spPr>
  </cs:gridlineMinor>
  <cs:hiLo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</a:ln>
    </cs:spPr>
  </cs:leaderLine>
  <cs:legend>
    <cs:lnRef idx="0"/>
    <cs:fillRef idx="0"/>
    <cs:effectRef idx="0"/>
    <cs:fontRef idx="minor">
      <a:schemeClr val="lt1">
        <a:lumMod val="85000"/>
      </a:schemeClr>
    </cs:fontRef>
    <cs:defRPr sz="900" kern="12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lt1">
        <a:lumMod val="85000"/>
      </a:schemeClr>
    </cs:fontRef>
    <cs:spPr>
      <a:ln w="12700" cap="flat" cmpd="sng" algn="ctr">
        <a:solidFill>
          <a:schemeClr val="lt1">
            <a:lumMod val="95000"/>
            <a:alpha val="54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lt1"/>
    </cs:fontRef>
    <cs:spPr>
      <a:ln w="9525" cap="flat" cmpd="sng" algn="ctr">
        <a:solidFill>
          <a:schemeClr val="lt1">
            <a:lumMod val="95000"/>
            <a:alpha val="54000"/>
          </a:schemeClr>
        </a:solidFill>
        <a:round/>
      </a:ln>
    </cs:spPr>
  </cs:seriesLine>
  <cs:title>
    <cs:lnRef idx="0"/>
    <cs:fillRef idx="0"/>
    <cs:effectRef idx="0"/>
    <cs:fontRef idx="minor">
      <a:schemeClr val="lt1">
        <a:lumMod val="95000"/>
      </a:schemeClr>
    </cs:fontRef>
    <cs:defRPr sz="1600" b="1" kern="1200" spc="100" baseline="0">
      <a:effectLst>
        <a:outerShdw blurRad="50800" dist="38100" dir="5400000" algn="t" rotWithShape="0">
          <a:prstClr val="black">
            <a:alpha val="40000"/>
          </a:prstClr>
        </a:outerShdw>
      </a:effectLst>
    </cs:defRPr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lt1">
        <a:lumMod val="8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>
        <a:solidFill>
          <a:schemeClr val="lt1">
            <a:lumMod val="95000"/>
            <a:alpha val="54000"/>
          </a:schemeClr>
        </a:solidFill>
      </a:ln>
    </cs:spPr>
  </cs:upBar>
  <cs:valueAxis>
    <cs:lnRef idx="0"/>
    <cs:fillRef idx="0"/>
    <cs:effectRef idx="0"/>
    <cs:fontRef idx="minor">
      <a:schemeClr val="lt1">
        <a:lumMod val="85000"/>
      </a:schemeClr>
    </cs:fontRef>
    <cs:defRPr sz="900" kern="1200"/>
  </cs:valueAxis>
  <cs:wall>
    <cs:lnRef idx="0"/>
    <cs:fillRef idx="0"/>
    <cs:effectRef idx="0"/>
    <cs:fontRef idx="minor">
      <a:schemeClr val="tx1"/>
    </cs:fontRef>
  </cs:wall>
</cs:chartStyle>
</file>

<file path=xl/charts/style10.xml><?xml version="1.0" encoding="utf-8"?>
<cs:chartStyle xmlns:cs="http://schemas.microsoft.com/office/drawing/2012/chartStyle" xmlns:a="http://schemas.openxmlformats.org/drawingml/2006/main" id="228">
  <cs:axisTitle>
    <cs:lnRef idx="0"/>
    <cs:fillRef idx="0"/>
    <cs:effectRef idx="0"/>
    <cs:fontRef idx="minor">
      <a:schemeClr val="dk1">
        <a:lumMod val="75000"/>
        <a:lumOff val="25000"/>
      </a:schemeClr>
    </cs:fontRef>
    <cs:defRPr sz="900" b="1" kern="1200"/>
  </cs:axisTitle>
  <cs:categoryAxis>
    <cs:lnRef idx="0"/>
    <cs:fillRef idx="0"/>
    <cs:effectRef idx="0"/>
    <cs:fontRef idx="minor">
      <a:schemeClr val="dk1">
        <a:lumMod val="75000"/>
        <a:lumOff val="25000"/>
      </a:schemeClr>
    </cs:fontRef>
    <cs:spPr>
      <a:ln w="190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 cap="all" baseline="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lt1"/>
          </a:gs>
          <a:gs pos="39000">
            <a:schemeClr val="lt1"/>
          </a:gs>
          <a:gs pos="100000">
            <a:schemeClr val="lt1">
              <a:lumMod val="75000"/>
            </a:schemeClr>
          </a:gs>
        </a:gsLst>
        <a:path path="circle">
          <a:fillToRect l="50000" t="-80000" r="50000" b="180000"/>
        </a:path>
        <a:tileRect/>
      </a:gradFill>
      <a:ln w="9525" cap="flat" cmpd="sng" algn="ctr">
        <a:solidFill>
          <a:schemeClr val="dk1">
            <a:lumMod val="25000"/>
            <a:lumOff val="75000"/>
          </a:schemeClr>
        </a:solidFill>
        <a:round/>
      </a:ln>
    </cs:spPr>
    <cs:defRPr sz="900" kern="1200"/>
  </cs:chartArea>
  <cs:dataLabel>
    <cs:lnRef idx="0"/>
    <cs:fillRef idx="0">
      <cs:styleClr val="auto"/>
    </cs:fillRef>
    <cs:effectRef idx="0"/>
    <cs:fontRef idx="minor">
      <a:schemeClr val="lt1"/>
    </cs:fontRef>
    <cs:defRPr sz="900" b="1" i="0" u="none" strike="noStrike" kern="1200" baseline="0"/>
  </cs:dataLabel>
  <cs:dataLabelCallout>
    <cs:lnRef idx="0"/>
    <cs:fillRef idx="0"/>
    <cs:effectRef idx="0"/>
    <cs:fontRef idx="minor">
      <a:schemeClr val="lt1"/>
    </cs:fontRef>
    <cs:spPr>
      <a:solidFill>
        <a:schemeClr val="dk1">
          <a:lumMod val="65000"/>
          <a:lumOff val="35000"/>
          <a:alpha val="75000"/>
        </a:schemeClr>
      </a:solidFill>
    </cs:spPr>
    <cs:defRPr sz="900" b="1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</cs:spPr>
  </cs:dataPointMarker>
  <cs:dataPointMarkerLayout symbol="circle" size="17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dk1">
        <a:lumMod val="75000"/>
        <a:lumOff val="25000"/>
      </a:schemeClr>
    </cs:fontRef>
    <cs:spPr>
      <a:ln w="9525">
        <a:solidFill>
          <a:schemeClr val="dk1">
            <a:lumMod val="35000"/>
            <a:lumOff val="6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50000"/>
          <a:lumOff val="50000"/>
        </a:schemeClr>
      </a:solidFill>
      <a:ln w="9525">
        <a:solidFill>
          <a:schemeClr val="dk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dk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</a:ln>
    </cs:spPr>
  </cs:leaderLine>
  <cs:legend>
    <cs:lnRef idx="0"/>
    <cs:fillRef idx="0"/>
    <cs:effectRef idx="0"/>
    <cs:fontRef idx="minor">
      <a:schemeClr val="dk1">
        <a:lumMod val="75000"/>
        <a:lumOff val="25000"/>
      </a:schemeClr>
    </cs:fontRef>
    <cs:spPr>
      <a:solidFill>
        <a:schemeClr val="lt1">
          <a:lumMod val="95000"/>
          <a:alpha val="39000"/>
        </a:schemeClr>
      </a:solidFill>
    </cs:spPr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dk1">
        <a:lumMod val="75000"/>
        <a:lumOff val="25000"/>
      </a:schemeClr>
    </cs:fontRef>
    <cs:spPr>
      <a:ln w="317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seriesLine>
  <cs:title>
    <cs:lnRef idx="0"/>
    <cs:fillRef idx="0"/>
    <cs:effectRef idx="0"/>
    <cs:fontRef idx="minor">
      <a:schemeClr val="dk1">
        <a:lumMod val="75000"/>
        <a:lumOff val="25000"/>
      </a:schemeClr>
    </cs:fontRef>
    <cs:defRPr sz="1800" b="1" kern="120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dk1">
        <a:lumMod val="75000"/>
        <a:lumOff val="2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dk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dk1">
        <a:lumMod val="75000"/>
        <a:lumOff val="25000"/>
      </a:schemeClr>
    </cs:fontRef>
    <cs:spPr>
      <a:ln>
        <a:noFill/>
      </a:ln>
    </cs:spPr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11.xml><?xml version="1.0" encoding="utf-8"?>
<cs:chartStyle xmlns:cs="http://schemas.microsoft.com/office/drawing/2012/chartStyle" xmlns:a="http://schemas.openxmlformats.org/drawingml/2006/main" id="228">
  <cs:axisTitle>
    <cs:lnRef idx="0"/>
    <cs:fillRef idx="0"/>
    <cs:effectRef idx="0"/>
    <cs:fontRef idx="minor">
      <a:schemeClr val="dk1">
        <a:lumMod val="75000"/>
        <a:lumOff val="25000"/>
      </a:schemeClr>
    </cs:fontRef>
    <cs:defRPr sz="900" b="1" kern="1200"/>
  </cs:axisTitle>
  <cs:categoryAxis>
    <cs:lnRef idx="0"/>
    <cs:fillRef idx="0"/>
    <cs:effectRef idx="0"/>
    <cs:fontRef idx="minor">
      <a:schemeClr val="dk1">
        <a:lumMod val="75000"/>
        <a:lumOff val="25000"/>
      </a:schemeClr>
    </cs:fontRef>
    <cs:spPr>
      <a:ln w="190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 cap="all" baseline="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lt1"/>
          </a:gs>
          <a:gs pos="39000">
            <a:schemeClr val="lt1"/>
          </a:gs>
          <a:gs pos="100000">
            <a:schemeClr val="lt1">
              <a:lumMod val="75000"/>
            </a:schemeClr>
          </a:gs>
        </a:gsLst>
        <a:path path="circle">
          <a:fillToRect l="50000" t="-80000" r="50000" b="180000"/>
        </a:path>
        <a:tileRect/>
      </a:gradFill>
      <a:ln w="9525" cap="flat" cmpd="sng" algn="ctr">
        <a:solidFill>
          <a:schemeClr val="dk1">
            <a:lumMod val="25000"/>
            <a:lumOff val="75000"/>
          </a:schemeClr>
        </a:solidFill>
        <a:round/>
      </a:ln>
    </cs:spPr>
    <cs:defRPr sz="900" kern="1200"/>
  </cs:chartArea>
  <cs:dataLabel>
    <cs:lnRef idx="0"/>
    <cs:fillRef idx="0">
      <cs:styleClr val="auto"/>
    </cs:fillRef>
    <cs:effectRef idx="0"/>
    <cs:fontRef idx="minor">
      <a:schemeClr val="lt1"/>
    </cs:fontRef>
    <cs:defRPr sz="900" b="1" i="0" u="none" strike="noStrike" kern="1200" baseline="0"/>
  </cs:dataLabel>
  <cs:dataLabelCallout>
    <cs:lnRef idx="0"/>
    <cs:fillRef idx="0"/>
    <cs:effectRef idx="0"/>
    <cs:fontRef idx="minor">
      <a:schemeClr val="lt1"/>
    </cs:fontRef>
    <cs:spPr>
      <a:solidFill>
        <a:schemeClr val="dk1">
          <a:lumMod val="65000"/>
          <a:lumOff val="35000"/>
          <a:alpha val="75000"/>
        </a:schemeClr>
      </a:solidFill>
    </cs:spPr>
    <cs:defRPr sz="900" b="1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</cs:spPr>
  </cs:dataPointMarker>
  <cs:dataPointMarkerLayout symbol="circle" size="17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dk1">
        <a:lumMod val="75000"/>
        <a:lumOff val="25000"/>
      </a:schemeClr>
    </cs:fontRef>
    <cs:spPr>
      <a:ln w="9525">
        <a:solidFill>
          <a:schemeClr val="dk1">
            <a:lumMod val="35000"/>
            <a:lumOff val="6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50000"/>
          <a:lumOff val="50000"/>
        </a:schemeClr>
      </a:solidFill>
      <a:ln w="9525">
        <a:solidFill>
          <a:schemeClr val="dk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dk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</a:ln>
    </cs:spPr>
  </cs:leaderLine>
  <cs:legend>
    <cs:lnRef idx="0"/>
    <cs:fillRef idx="0"/>
    <cs:effectRef idx="0"/>
    <cs:fontRef idx="minor">
      <a:schemeClr val="dk1">
        <a:lumMod val="75000"/>
        <a:lumOff val="25000"/>
      </a:schemeClr>
    </cs:fontRef>
    <cs:spPr>
      <a:solidFill>
        <a:schemeClr val="lt1">
          <a:lumMod val="95000"/>
          <a:alpha val="39000"/>
        </a:schemeClr>
      </a:solidFill>
    </cs:spPr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dk1">
        <a:lumMod val="75000"/>
        <a:lumOff val="25000"/>
      </a:schemeClr>
    </cs:fontRef>
    <cs:spPr>
      <a:ln w="317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seriesLine>
  <cs:title>
    <cs:lnRef idx="0"/>
    <cs:fillRef idx="0"/>
    <cs:effectRef idx="0"/>
    <cs:fontRef idx="minor">
      <a:schemeClr val="dk1">
        <a:lumMod val="75000"/>
        <a:lumOff val="25000"/>
      </a:schemeClr>
    </cs:fontRef>
    <cs:defRPr sz="1800" b="1" kern="120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dk1">
        <a:lumMod val="75000"/>
        <a:lumOff val="2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dk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dk1">
        <a:lumMod val="75000"/>
        <a:lumOff val="25000"/>
      </a:schemeClr>
    </cs:fontRef>
    <cs:spPr>
      <a:ln>
        <a:noFill/>
      </a:ln>
    </cs:spPr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12.xml><?xml version="1.0" encoding="utf-8"?>
<cs:chartStyle xmlns:cs="http://schemas.microsoft.com/office/drawing/2012/chartStyle" xmlns:a="http://schemas.openxmlformats.org/drawingml/2006/main" id="228">
  <cs:axisTitle>
    <cs:lnRef idx="0"/>
    <cs:fillRef idx="0"/>
    <cs:effectRef idx="0"/>
    <cs:fontRef idx="minor">
      <a:schemeClr val="dk1">
        <a:lumMod val="75000"/>
        <a:lumOff val="25000"/>
      </a:schemeClr>
    </cs:fontRef>
    <cs:defRPr sz="900" b="1" kern="1200"/>
  </cs:axisTitle>
  <cs:categoryAxis>
    <cs:lnRef idx="0"/>
    <cs:fillRef idx="0"/>
    <cs:effectRef idx="0"/>
    <cs:fontRef idx="minor">
      <a:schemeClr val="dk1">
        <a:lumMod val="75000"/>
        <a:lumOff val="25000"/>
      </a:schemeClr>
    </cs:fontRef>
    <cs:spPr>
      <a:ln w="190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 cap="all" baseline="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lt1"/>
          </a:gs>
          <a:gs pos="39000">
            <a:schemeClr val="lt1"/>
          </a:gs>
          <a:gs pos="100000">
            <a:schemeClr val="lt1">
              <a:lumMod val="75000"/>
            </a:schemeClr>
          </a:gs>
        </a:gsLst>
        <a:path path="circle">
          <a:fillToRect l="50000" t="-80000" r="50000" b="180000"/>
        </a:path>
        <a:tileRect/>
      </a:gradFill>
      <a:ln w="9525" cap="flat" cmpd="sng" algn="ctr">
        <a:solidFill>
          <a:schemeClr val="dk1">
            <a:lumMod val="25000"/>
            <a:lumOff val="75000"/>
          </a:schemeClr>
        </a:solidFill>
        <a:round/>
      </a:ln>
    </cs:spPr>
    <cs:defRPr sz="900" kern="1200"/>
  </cs:chartArea>
  <cs:dataLabel>
    <cs:lnRef idx="0"/>
    <cs:fillRef idx="0">
      <cs:styleClr val="auto"/>
    </cs:fillRef>
    <cs:effectRef idx="0"/>
    <cs:fontRef idx="minor">
      <a:schemeClr val="lt1"/>
    </cs:fontRef>
    <cs:defRPr sz="900" b="1" i="0" u="none" strike="noStrike" kern="1200" baseline="0"/>
  </cs:dataLabel>
  <cs:dataLabelCallout>
    <cs:lnRef idx="0"/>
    <cs:fillRef idx="0"/>
    <cs:effectRef idx="0"/>
    <cs:fontRef idx="minor">
      <a:schemeClr val="lt1"/>
    </cs:fontRef>
    <cs:spPr>
      <a:solidFill>
        <a:schemeClr val="dk1">
          <a:lumMod val="65000"/>
          <a:lumOff val="35000"/>
          <a:alpha val="75000"/>
        </a:schemeClr>
      </a:solidFill>
    </cs:spPr>
    <cs:defRPr sz="900" b="1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</cs:spPr>
  </cs:dataPointMarker>
  <cs:dataPointMarkerLayout symbol="circle" size="17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dk1">
        <a:lumMod val="75000"/>
        <a:lumOff val="25000"/>
      </a:schemeClr>
    </cs:fontRef>
    <cs:spPr>
      <a:ln w="9525">
        <a:solidFill>
          <a:schemeClr val="dk1">
            <a:lumMod val="35000"/>
            <a:lumOff val="6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50000"/>
          <a:lumOff val="50000"/>
        </a:schemeClr>
      </a:solidFill>
      <a:ln w="9525">
        <a:solidFill>
          <a:schemeClr val="dk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dk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</a:ln>
    </cs:spPr>
  </cs:leaderLine>
  <cs:legend>
    <cs:lnRef idx="0"/>
    <cs:fillRef idx="0"/>
    <cs:effectRef idx="0"/>
    <cs:fontRef idx="minor">
      <a:schemeClr val="dk1">
        <a:lumMod val="75000"/>
        <a:lumOff val="25000"/>
      </a:schemeClr>
    </cs:fontRef>
    <cs:spPr>
      <a:solidFill>
        <a:schemeClr val="lt1">
          <a:lumMod val="95000"/>
          <a:alpha val="39000"/>
        </a:schemeClr>
      </a:solidFill>
    </cs:spPr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dk1">
        <a:lumMod val="75000"/>
        <a:lumOff val="25000"/>
      </a:schemeClr>
    </cs:fontRef>
    <cs:spPr>
      <a:ln w="317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seriesLine>
  <cs:title>
    <cs:lnRef idx="0"/>
    <cs:fillRef idx="0"/>
    <cs:effectRef idx="0"/>
    <cs:fontRef idx="minor">
      <a:schemeClr val="dk1">
        <a:lumMod val="75000"/>
        <a:lumOff val="25000"/>
      </a:schemeClr>
    </cs:fontRef>
    <cs:defRPr sz="1800" b="1" kern="120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dk1">
        <a:lumMod val="75000"/>
        <a:lumOff val="2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dk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dk1">
        <a:lumMod val="75000"/>
        <a:lumOff val="25000"/>
      </a:schemeClr>
    </cs:fontRef>
    <cs:spPr>
      <a:ln>
        <a:noFill/>
      </a:ln>
    </cs:spPr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13.xml><?xml version="1.0" encoding="utf-8"?>
<cs:chartStyle xmlns:cs="http://schemas.microsoft.com/office/drawing/2012/chartStyle" xmlns:a="http://schemas.openxmlformats.org/drawingml/2006/main" id="233">
  <cs:axisTitle>
    <cs:lnRef idx="0"/>
    <cs:fillRef idx="0"/>
    <cs:effectRef idx="0"/>
    <cs:fontRef idx="minor">
      <a:schemeClr val="lt1">
        <a:lumMod val="85000"/>
      </a:schemeClr>
    </cs:fontRef>
    <cs:defRPr sz="900" b="1" kern="1200" cap="all"/>
  </cs:axisTitle>
  <cs:categoryAxis>
    <cs:lnRef idx="0"/>
    <cs:fillRef idx="0"/>
    <cs:effectRef idx="0"/>
    <cs:fontRef idx="minor">
      <a:schemeClr val="lt1">
        <a:lumMod val="85000"/>
      </a:schemeClr>
    </cs:fontRef>
    <cs:spPr>
      <a:ln w="9525" cap="flat" cmpd="sng" algn="ctr">
        <a:solidFill>
          <a:schemeClr val="lt1">
            <a:lumMod val="95000"/>
            <a:alpha val="10000"/>
          </a:schemeClr>
        </a:solidFill>
        <a:round/>
      </a:ln>
    </cs:spPr>
    <cs:defRPr sz="900" kern="120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dk1">
              <a:lumMod val="65000"/>
              <a:lumOff val="35000"/>
            </a:schemeClr>
          </a:gs>
          <a:gs pos="100000">
            <a:schemeClr val="dk1">
              <a:lumMod val="85000"/>
              <a:lumOff val="15000"/>
            </a:schemeClr>
          </a:gs>
        </a:gsLst>
        <a:path path="circle">
          <a:fillToRect l="50000" t="50000" r="50000" b="50000"/>
        </a:path>
        <a:tileRect/>
      </a:gradFill>
    </cs:spPr>
    <cs:defRPr sz="1000" kern="1200"/>
  </cs:chartArea>
  <cs:dataLabel>
    <cs:lnRef idx="0"/>
    <cs:fillRef idx="0"/>
    <cs:effectRef idx="0"/>
    <cs:fontRef idx="minor">
      <a:schemeClr val="lt1">
        <a:lumMod val="8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349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lt1">
        <a:lumMod val="85000"/>
      </a:schemeClr>
    </cs:fontRef>
    <cs:spPr>
      <a:ln w="9525">
        <a:solidFill>
          <a:schemeClr val="lt1">
            <a:lumMod val="95000"/>
            <a:alpha val="54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>
        <a:solidFill>
          <a:schemeClr val="lt1">
            <a:lumMod val="95000"/>
            <a:alpha val="54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  <a:alpha val="10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>
        <a:solidFill>
          <a:schemeClr val="lt1">
            <a:lumMod val="95000"/>
            <a:alpha val="5000"/>
          </a:schemeClr>
        </a:solidFill>
      </a:ln>
    </cs:spPr>
  </cs:gridlineMinor>
  <cs:hiLo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</a:ln>
    </cs:spPr>
  </cs:leaderLine>
  <cs:legend>
    <cs:lnRef idx="0"/>
    <cs:fillRef idx="0"/>
    <cs:effectRef idx="0"/>
    <cs:fontRef idx="minor">
      <a:schemeClr val="lt1">
        <a:lumMod val="85000"/>
      </a:schemeClr>
    </cs:fontRef>
    <cs:defRPr sz="900" kern="12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lt1">
        <a:lumMod val="85000"/>
      </a:schemeClr>
    </cs:fontRef>
    <cs:spPr>
      <a:ln w="12700" cap="flat" cmpd="sng" algn="ctr">
        <a:solidFill>
          <a:schemeClr val="lt1">
            <a:lumMod val="95000"/>
            <a:alpha val="54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lt1"/>
    </cs:fontRef>
    <cs:spPr>
      <a:ln w="9525" cap="flat" cmpd="sng" algn="ctr">
        <a:solidFill>
          <a:schemeClr val="lt1">
            <a:lumMod val="95000"/>
            <a:alpha val="54000"/>
          </a:schemeClr>
        </a:solidFill>
        <a:round/>
      </a:ln>
    </cs:spPr>
  </cs:seriesLine>
  <cs:title>
    <cs:lnRef idx="0"/>
    <cs:fillRef idx="0"/>
    <cs:effectRef idx="0"/>
    <cs:fontRef idx="minor">
      <a:schemeClr val="lt1">
        <a:lumMod val="95000"/>
      </a:schemeClr>
    </cs:fontRef>
    <cs:defRPr sz="1600" b="1" kern="1200" spc="100" baseline="0">
      <a:effectLst>
        <a:outerShdw blurRad="50800" dist="38100" dir="5400000" algn="t" rotWithShape="0">
          <a:prstClr val="black">
            <a:alpha val="40000"/>
          </a:prstClr>
        </a:outerShdw>
      </a:effectLst>
    </cs:defRPr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lt1">
        <a:lumMod val="8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>
        <a:solidFill>
          <a:schemeClr val="lt1">
            <a:lumMod val="95000"/>
            <a:alpha val="54000"/>
          </a:schemeClr>
        </a:solidFill>
      </a:ln>
    </cs:spPr>
  </cs:upBar>
  <cs:valueAxis>
    <cs:lnRef idx="0"/>
    <cs:fillRef idx="0"/>
    <cs:effectRef idx="0"/>
    <cs:fontRef idx="minor">
      <a:schemeClr val="lt1">
        <a:lumMod val="85000"/>
      </a:schemeClr>
    </cs:fontRef>
    <cs:defRPr sz="900" kern="1200"/>
  </cs:valueAxis>
  <cs:wall>
    <cs:lnRef idx="0"/>
    <cs:fillRef idx="0"/>
    <cs:effectRef idx="0"/>
    <cs:fontRef idx="minor">
      <a:schemeClr val="tx1"/>
    </cs:fontRef>
  </cs:wall>
</cs:chartStyle>
</file>

<file path=xl/charts/style14.xml><?xml version="1.0" encoding="utf-8"?>
<cs:chartStyle xmlns:cs="http://schemas.microsoft.com/office/drawing/2012/chartStyle" xmlns:a="http://schemas.openxmlformats.org/drawingml/2006/main" id="228">
  <cs:axisTitle>
    <cs:lnRef idx="0"/>
    <cs:fillRef idx="0"/>
    <cs:effectRef idx="0"/>
    <cs:fontRef idx="minor">
      <a:schemeClr val="dk1">
        <a:lumMod val="75000"/>
        <a:lumOff val="25000"/>
      </a:schemeClr>
    </cs:fontRef>
    <cs:defRPr sz="900" b="1" kern="1200"/>
  </cs:axisTitle>
  <cs:categoryAxis>
    <cs:lnRef idx="0"/>
    <cs:fillRef idx="0"/>
    <cs:effectRef idx="0"/>
    <cs:fontRef idx="minor">
      <a:schemeClr val="dk1">
        <a:lumMod val="75000"/>
        <a:lumOff val="25000"/>
      </a:schemeClr>
    </cs:fontRef>
    <cs:spPr>
      <a:ln w="190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 cap="all" baseline="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lt1"/>
          </a:gs>
          <a:gs pos="39000">
            <a:schemeClr val="lt1"/>
          </a:gs>
          <a:gs pos="100000">
            <a:schemeClr val="lt1">
              <a:lumMod val="75000"/>
            </a:schemeClr>
          </a:gs>
        </a:gsLst>
        <a:path path="circle">
          <a:fillToRect l="50000" t="-80000" r="50000" b="180000"/>
        </a:path>
        <a:tileRect/>
      </a:gradFill>
      <a:ln w="9525" cap="flat" cmpd="sng" algn="ctr">
        <a:solidFill>
          <a:schemeClr val="dk1">
            <a:lumMod val="25000"/>
            <a:lumOff val="75000"/>
          </a:schemeClr>
        </a:solidFill>
        <a:round/>
      </a:ln>
    </cs:spPr>
    <cs:defRPr sz="900" kern="1200"/>
  </cs:chartArea>
  <cs:dataLabel>
    <cs:lnRef idx="0"/>
    <cs:fillRef idx="0">
      <cs:styleClr val="auto"/>
    </cs:fillRef>
    <cs:effectRef idx="0"/>
    <cs:fontRef idx="minor">
      <a:schemeClr val="lt1"/>
    </cs:fontRef>
    <cs:defRPr sz="900" b="1" i="0" u="none" strike="noStrike" kern="1200" baseline="0"/>
  </cs:dataLabel>
  <cs:dataLabelCallout>
    <cs:lnRef idx="0"/>
    <cs:fillRef idx="0"/>
    <cs:effectRef idx="0"/>
    <cs:fontRef idx="minor">
      <a:schemeClr val="lt1"/>
    </cs:fontRef>
    <cs:spPr>
      <a:solidFill>
        <a:schemeClr val="dk1">
          <a:lumMod val="65000"/>
          <a:lumOff val="35000"/>
          <a:alpha val="75000"/>
        </a:schemeClr>
      </a:solidFill>
    </cs:spPr>
    <cs:defRPr sz="900" b="1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</cs:spPr>
  </cs:dataPointMarker>
  <cs:dataPointMarkerLayout symbol="circle" size="17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dk1">
        <a:lumMod val="75000"/>
        <a:lumOff val="25000"/>
      </a:schemeClr>
    </cs:fontRef>
    <cs:spPr>
      <a:ln w="9525">
        <a:solidFill>
          <a:schemeClr val="dk1">
            <a:lumMod val="35000"/>
            <a:lumOff val="6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50000"/>
          <a:lumOff val="50000"/>
        </a:schemeClr>
      </a:solidFill>
      <a:ln w="9525">
        <a:solidFill>
          <a:schemeClr val="dk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dk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</a:ln>
    </cs:spPr>
  </cs:leaderLine>
  <cs:legend>
    <cs:lnRef idx="0"/>
    <cs:fillRef idx="0"/>
    <cs:effectRef idx="0"/>
    <cs:fontRef idx="minor">
      <a:schemeClr val="dk1">
        <a:lumMod val="75000"/>
        <a:lumOff val="25000"/>
      </a:schemeClr>
    </cs:fontRef>
    <cs:spPr>
      <a:solidFill>
        <a:schemeClr val="lt1">
          <a:lumMod val="95000"/>
          <a:alpha val="39000"/>
        </a:schemeClr>
      </a:solidFill>
    </cs:spPr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dk1">
        <a:lumMod val="75000"/>
        <a:lumOff val="25000"/>
      </a:schemeClr>
    </cs:fontRef>
    <cs:spPr>
      <a:ln w="317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seriesLine>
  <cs:title>
    <cs:lnRef idx="0"/>
    <cs:fillRef idx="0"/>
    <cs:effectRef idx="0"/>
    <cs:fontRef idx="minor">
      <a:schemeClr val="dk1">
        <a:lumMod val="75000"/>
        <a:lumOff val="25000"/>
      </a:schemeClr>
    </cs:fontRef>
    <cs:defRPr sz="1800" b="1" kern="120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dk1">
        <a:lumMod val="75000"/>
        <a:lumOff val="2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dk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dk1">
        <a:lumMod val="75000"/>
        <a:lumOff val="25000"/>
      </a:schemeClr>
    </cs:fontRef>
    <cs:spPr>
      <a:ln>
        <a:noFill/>
      </a:ln>
    </cs:spPr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15.xml><?xml version="1.0" encoding="utf-8"?>
<cs:chartStyle xmlns:cs="http://schemas.microsoft.com/office/drawing/2012/chartStyle" xmlns:a="http://schemas.openxmlformats.org/drawingml/2006/main" id="222">
  <cs:axisTitle>
    <cs:lnRef idx="0"/>
    <cs:fillRef idx="0"/>
    <cs:effectRef idx="0"/>
    <cs:fontRef idx="minor">
      <a:schemeClr val="lt1">
        <a:lumMod val="85000"/>
      </a:schemeClr>
    </cs:fontRef>
    <cs:defRPr sz="900" b="1" kern="1200" cap="all"/>
  </cs:axisTitle>
  <cs:categoryAxis>
    <cs:lnRef idx="0"/>
    <cs:fillRef idx="0"/>
    <cs:effectRef idx="0"/>
    <cs:fontRef idx="minor">
      <a:schemeClr val="lt1">
        <a:lumMod val="85000"/>
      </a:schemeClr>
    </cs:fontRef>
    <cs:spPr>
      <a:ln w="12700" cap="flat" cmpd="sng" algn="ctr">
        <a:solidFill>
          <a:schemeClr val="lt1">
            <a:lumMod val="95000"/>
            <a:alpha val="54000"/>
          </a:schemeClr>
        </a:solidFill>
        <a:round/>
      </a:ln>
    </cs:spPr>
    <cs:defRPr sz="900" kern="120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dk1">
              <a:lumMod val="65000"/>
              <a:lumOff val="35000"/>
            </a:schemeClr>
          </a:gs>
          <a:gs pos="100000">
            <a:schemeClr val="dk1">
              <a:lumMod val="85000"/>
              <a:lumOff val="15000"/>
            </a:schemeClr>
          </a:gs>
        </a:gsLst>
        <a:path path="circle">
          <a:fillToRect l="50000" t="50000" r="50000" b="50000"/>
        </a:path>
        <a:tileRect/>
      </a:gradFill>
    </cs:spPr>
    <cs:defRPr sz="1000" kern="1200"/>
  </cs:chartArea>
  <cs:dataLabel>
    <cs:lnRef idx="0"/>
    <cs:fillRef idx="0"/>
    <cs:effectRef idx="0"/>
    <cs:fontRef idx="minor">
      <a:schemeClr val="lt1">
        <a:lumMod val="8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349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>
        <a:solidFill>
          <a:schemeClr val="phClr"/>
        </a:solidFill>
        <a:round/>
      </a:ln>
    </cs:spPr>
  </cs:dataPointMarker>
  <cs:dataPointMarkerLayout size="5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lt1">
        <a:lumMod val="85000"/>
      </a:schemeClr>
    </cs:fontRef>
    <cs:spPr>
      <a:ln w="9525">
        <a:solidFill>
          <a:schemeClr val="lt1">
            <a:lumMod val="95000"/>
            <a:alpha val="54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>
        <a:solidFill>
          <a:schemeClr val="lt1">
            <a:lumMod val="95000"/>
            <a:alpha val="54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lt1">
            <a:lumMod val="95000"/>
            <a:alpha val="10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>
        <a:solidFill>
          <a:schemeClr val="lt1">
            <a:lumMod val="95000"/>
            <a:alpha val="5000"/>
          </a:schemeClr>
        </a:solidFill>
      </a:ln>
    </cs:spPr>
  </cs:gridlineMinor>
  <cs:hiLo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1"/>
    </cs:fontRef>
    <cs:spPr>
      <a:ln w="9525">
        <a:solidFill>
          <a:schemeClr val="lt1">
            <a:lumMod val="95000"/>
            <a:alpha val="54000"/>
          </a:schemeClr>
        </a:solidFill>
      </a:ln>
    </cs:spPr>
  </cs:leaderLine>
  <cs:legend>
    <cs:lnRef idx="0"/>
    <cs:fillRef idx="0"/>
    <cs:effectRef idx="0"/>
    <cs:fontRef idx="minor">
      <a:schemeClr val="lt1">
        <a:lumMod val="85000"/>
      </a:schemeClr>
    </cs:fontRef>
    <cs:defRPr sz="900" kern="12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lt1">
        <a:lumMod val="85000"/>
      </a:schemeClr>
    </cs:fontRef>
    <cs:spPr>
      <a:ln w="12700" cap="flat" cmpd="sng" algn="ctr">
        <a:solidFill>
          <a:schemeClr val="lt1">
            <a:lumMod val="95000"/>
            <a:alpha val="54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lt1"/>
    </cs:fontRef>
    <cs:spPr>
      <a:ln w="9525" cap="flat" cmpd="sng" algn="ctr">
        <a:solidFill>
          <a:schemeClr val="lt1">
            <a:lumMod val="95000"/>
            <a:alpha val="54000"/>
          </a:schemeClr>
        </a:solidFill>
        <a:round/>
      </a:ln>
    </cs:spPr>
  </cs:seriesLine>
  <cs:title>
    <cs:lnRef idx="0"/>
    <cs:fillRef idx="0"/>
    <cs:effectRef idx="0"/>
    <cs:fontRef idx="minor">
      <a:schemeClr val="lt1">
        <a:lumMod val="95000"/>
      </a:schemeClr>
    </cs:fontRef>
    <cs:defRPr sz="1600" b="1" kern="1200" spc="100" baseline="0">
      <a:effectLst>
        <a:outerShdw blurRad="50800" dist="38100" dir="5400000" algn="t" rotWithShape="0">
          <a:prstClr val="black">
            <a:alpha val="40000"/>
          </a:prstClr>
        </a:outerShdw>
      </a:effectLst>
    </cs:defRPr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lt1">
        <a:lumMod val="8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>
        <a:solidFill>
          <a:schemeClr val="lt1">
            <a:lumMod val="95000"/>
            <a:alpha val="54000"/>
          </a:schemeClr>
        </a:solidFill>
      </a:ln>
    </cs:spPr>
  </cs:upBar>
  <cs:valueAxis>
    <cs:lnRef idx="0"/>
    <cs:fillRef idx="0"/>
    <cs:effectRef idx="0"/>
    <cs:fontRef idx="minor">
      <a:schemeClr val="lt1">
        <a:lumMod val="85000"/>
      </a:schemeClr>
    </cs:fontRef>
    <cs:defRPr sz="900" kern="1200"/>
  </cs:valueAxis>
  <cs:wall>
    <cs:lnRef idx="0"/>
    <cs:fillRef idx="0"/>
    <cs:effectRef idx="0"/>
    <cs:fontRef idx="minor">
      <a:schemeClr val="tx1"/>
    </cs:fontRef>
  </cs:wall>
</cs:chartStyle>
</file>

<file path=xl/charts/style16.xml><?xml version="1.0" encoding="utf-8"?>
<cs:chartStyle xmlns:cs="http://schemas.microsoft.com/office/drawing/2012/chartStyle" xmlns:a="http://schemas.openxmlformats.org/drawingml/2006/main" id="300">
  <cs:axisTitle>
    <cs:lnRef idx="0"/>
    <cs:fillRef idx="0"/>
    <cs:effectRef idx="0"/>
    <cs:fontRef idx="minor">
      <a:schemeClr val="dk1">
        <a:lumMod val="75000"/>
        <a:lumOff val="25000"/>
      </a:schemeClr>
    </cs:fontRef>
    <cs:defRPr sz="900" b="1" kern="1200"/>
  </cs:axisTitle>
  <cs:categoryAxis>
    <cs:lnRef idx="0"/>
    <cs:fillRef idx="0"/>
    <cs:effectRef idx="0"/>
    <cs:fontRef idx="minor">
      <a:schemeClr val="dk1">
        <a:lumMod val="75000"/>
        <a:lumOff val="25000"/>
      </a:schemeClr>
    </cs:fontRef>
    <cs:spPr>
      <a:ln w="190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 cap="all" baseline="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lt1"/>
          </a:gs>
          <a:gs pos="39000">
            <a:schemeClr val="lt1"/>
          </a:gs>
          <a:gs pos="100000">
            <a:schemeClr val="lt1">
              <a:lumMod val="75000"/>
            </a:schemeClr>
          </a:gs>
        </a:gsLst>
        <a:path path="circle">
          <a:fillToRect l="50000" t="-80000" r="50000" b="180000"/>
        </a:path>
        <a:tileRect/>
      </a:gradFill>
      <a:ln w="9525" cap="flat" cmpd="sng" algn="ctr">
        <a:solidFill>
          <a:schemeClr val="dk1">
            <a:lumMod val="25000"/>
            <a:lumOff val="7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lt1"/>
    </cs:fontRef>
    <cs:defRPr sz="900" b="1" i="0" u="none" strike="noStrike" kern="1200" baseline="0"/>
  </cs:dataLabel>
  <cs:dataLabelCallout>
    <cs:lnRef idx="0"/>
    <cs:fillRef idx="0"/>
    <cs:effectRef idx="0"/>
    <cs:fontRef idx="minor">
      <a:schemeClr val="lt1"/>
    </cs:fontRef>
    <cs:spPr>
      <a:solidFill>
        <a:schemeClr val="dk1">
          <a:lumMod val="65000"/>
          <a:lumOff val="35000"/>
          <a:alpha val="75000"/>
        </a:schemeClr>
      </a:solidFill>
    </cs:spPr>
    <cs:defRPr sz="900" b="1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31750" cap="rnd">
        <a:solidFill>
          <a:schemeClr val="phClr">
            <a:alpha val="85000"/>
          </a:schemeClr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dk1">
        <a:lumMod val="75000"/>
        <a:lumOff val="25000"/>
      </a:schemeClr>
    </cs:fontRef>
    <cs:spPr>
      <a:ln w="9525">
        <a:solidFill>
          <a:schemeClr val="dk1">
            <a:lumMod val="35000"/>
            <a:lumOff val="6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50000"/>
          <a:lumOff val="50000"/>
        </a:schemeClr>
      </a:solidFill>
      <a:ln w="9525">
        <a:solidFill>
          <a:schemeClr val="dk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dk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</a:ln>
    </cs:spPr>
  </cs:leaderLine>
  <cs:legend>
    <cs:lnRef idx="0"/>
    <cs:fillRef idx="0"/>
    <cs:effectRef idx="0"/>
    <cs:fontRef idx="minor">
      <a:schemeClr val="dk1">
        <a:lumMod val="75000"/>
        <a:lumOff val="25000"/>
      </a:schemeClr>
    </cs:fontRef>
    <cs:spPr>
      <a:solidFill>
        <a:schemeClr val="lt1">
          <a:lumMod val="95000"/>
          <a:alpha val="39000"/>
        </a:schemeClr>
      </a:solidFill>
    </cs:spPr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dk1">
        <a:lumMod val="75000"/>
        <a:lumOff val="25000"/>
      </a:schemeClr>
    </cs:fontRef>
    <cs:spPr>
      <a:ln w="317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seriesLine>
  <cs:title>
    <cs:lnRef idx="0"/>
    <cs:fillRef idx="0"/>
    <cs:effectRef idx="0"/>
    <cs:fontRef idx="minor">
      <a:schemeClr val="dk1">
        <a:lumMod val="75000"/>
        <a:lumOff val="25000"/>
      </a:schemeClr>
    </cs:fontRef>
    <cs:defRPr sz="1800" b="1" kern="120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dk1">
        <a:lumMod val="75000"/>
        <a:lumOff val="2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dk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dk1">
        <a:lumMod val="75000"/>
        <a:lumOff val="25000"/>
      </a:schemeClr>
    </cs:fontRef>
    <cs:spPr>
      <a:ln>
        <a:noFill/>
      </a:ln>
    </cs:spPr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1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8.xml><?xml version="1.0" encoding="utf-8"?>
<cs:chartStyle xmlns:cs="http://schemas.microsoft.com/office/drawing/2012/chartStyle" xmlns:a="http://schemas.openxmlformats.org/drawingml/2006/main" id="205">
  <cs:axisTitle>
    <cs:lnRef idx="0"/>
    <cs:fillRef idx="0"/>
    <cs:effectRef idx="0"/>
    <cs:fontRef idx="minor">
      <a:schemeClr val="dk1">
        <a:lumMod val="75000"/>
        <a:lumOff val="25000"/>
      </a:schemeClr>
    </cs:fontRef>
    <cs:defRPr sz="900" b="1" kern="1200"/>
  </cs:axisTitle>
  <cs:categoryAxis>
    <cs:lnRef idx="0"/>
    <cs:fillRef idx="0"/>
    <cs:effectRef idx="0"/>
    <cs:fontRef idx="minor">
      <a:schemeClr val="dk1">
        <a:lumMod val="75000"/>
        <a:lumOff val="25000"/>
      </a:schemeClr>
    </cs:fontRef>
    <cs:spPr>
      <a:ln w="190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 cap="all" baseline="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lt1"/>
          </a:gs>
          <a:gs pos="39000">
            <a:schemeClr val="lt1"/>
          </a:gs>
          <a:gs pos="100000">
            <a:schemeClr val="lt1">
              <a:lumMod val="75000"/>
            </a:schemeClr>
          </a:gs>
        </a:gsLst>
        <a:path path="circle">
          <a:fillToRect l="50000" t="-80000" r="50000" b="180000"/>
        </a:path>
        <a:tileRect/>
      </a:gradFill>
      <a:ln w="9525" cap="flat" cmpd="sng" algn="ctr">
        <a:solidFill>
          <a:schemeClr val="dk1">
            <a:lumMod val="25000"/>
            <a:lumOff val="7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lt1"/>
    </cs:fontRef>
    <cs:defRPr sz="900" b="1" i="0" u="none" strike="noStrike" kern="1200" baseline="0"/>
  </cs:dataLabel>
  <cs:dataLabelCallout>
    <cs:lnRef idx="0"/>
    <cs:fillRef idx="0"/>
    <cs:effectRef idx="0"/>
    <cs:fontRef idx="minor">
      <a:schemeClr val="lt1"/>
    </cs:fontRef>
    <cs:spPr>
      <a:solidFill>
        <a:schemeClr val="dk1">
          <a:lumMod val="65000"/>
          <a:lumOff val="35000"/>
          <a:alpha val="75000"/>
        </a:schemeClr>
      </a:solidFill>
    </cs:spPr>
    <cs:defRPr sz="900" b="1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31750" cap="rnd">
        <a:solidFill>
          <a:schemeClr val="phClr">
            <a:alpha val="85000"/>
          </a:schemeClr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dk1">
        <a:lumMod val="75000"/>
        <a:lumOff val="25000"/>
      </a:schemeClr>
    </cs:fontRef>
    <cs:spPr>
      <a:ln w="9525">
        <a:solidFill>
          <a:schemeClr val="dk1">
            <a:lumMod val="35000"/>
            <a:lumOff val="6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50000"/>
          <a:lumOff val="50000"/>
        </a:schemeClr>
      </a:solidFill>
      <a:ln w="9525">
        <a:solidFill>
          <a:schemeClr val="dk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dk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</a:ln>
    </cs:spPr>
  </cs:leaderLine>
  <cs:legend>
    <cs:lnRef idx="0"/>
    <cs:fillRef idx="0"/>
    <cs:effectRef idx="0"/>
    <cs:fontRef idx="minor">
      <a:schemeClr val="dk1">
        <a:lumMod val="75000"/>
        <a:lumOff val="25000"/>
      </a:schemeClr>
    </cs:fontRef>
    <cs:spPr>
      <a:solidFill>
        <a:schemeClr val="lt1">
          <a:lumMod val="95000"/>
          <a:alpha val="39000"/>
        </a:schemeClr>
      </a:solidFill>
    </cs:spPr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dk1">
        <a:lumMod val="75000"/>
        <a:lumOff val="25000"/>
      </a:schemeClr>
    </cs:fontRef>
    <cs:spPr>
      <a:ln w="317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seriesLine>
  <cs:title>
    <cs:lnRef idx="0"/>
    <cs:fillRef idx="0"/>
    <cs:effectRef idx="0"/>
    <cs:fontRef idx="minor">
      <a:schemeClr val="dk1">
        <a:lumMod val="75000"/>
        <a:lumOff val="25000"/>
      </a:schemeClr>
    </cs:fontRef>
    <cs:defRPr sz="1800" b="1" kern="120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dk1">
        <a:lumMod val="75000"/>
        <a:lumOff val="2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dk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dk1">
        <a:lumMod val="75000"/>
        <a:lumOff val="25000"/>
      </a:schemeClr>
    </cs:fontRef>
    <cs:spPr>
      <a:ln>
        <a:noFill/>
      </a:ln>
    </cs:spPr>
    <cs:defRPr sz="900" kern="1200"/>
  </cs:valueAxis>
  <cs:wall>
    <cs:lnRef idx="0"/>
    <cs:fillRef idx="0"/>
    <cs:effectRef idx="0"/>
    <cs:fontRef idx="minor">
      <a:schemeClr val="dk1"/>
    </cs:fontRef>
  </cs:wall>
</cs:chartStyle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chart" Target="../charts/chart2.xml"/><Relationship Id="rId1" Type="http://schemas.openxmlformats.org/officeDocument/2006/relationships/chart" Target="../charts/chart1.xml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chart" Target="../charts/chart4.xml"/><Relationship Id="rId1" Type="http://schemas.openxmlformats.org/officeDocument/2006/relationships/chart" Target="../charts/chart3.xml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chart" Target="../charts/chart6.xml"/><Relationship Id="rId1" Type="http://schemas.openxmlformats.org/officeDocument/2006/relationships/chart" Target="../charts/chart5.xml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chart" Target="../charts/chart7.xml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chart" Target="../charts/chart9.xml"/><Relationship Id="rId1" Type="http://schemas.openxmlformats.org/officeDocument/2006/relationships/chart" Target="../charts/chart8.xml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0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chart" Target="../charts/chart13.xml"/><Relationship Id="rId2" Type="http://schemas.openxmlformats.org/officeDocument/2006/relationships/chart" Target="../charts/chart12.xml"/><Relationship Id="rId1" Type="http://schemas.openxmlformats.org/officeDocument/2006/relationships/chart" Target="../charts/chart11.xml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4.xml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chart" Target="../charts/chart16.xml"/><Relationship Id="rId1" Type="http://schemas.openxmlformats.org/officeDocument/2006/relationships/chart" Target="../charts/chart15.xml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hyperlink" Target="https://ourfiniteworld.com/2016/10/11/why-energy-prices-are-ultimately-headed-lower-what-the-imf-missed/comment-page-1/" TargetMode="External"/><Relationship Id="rId1" Type="http://schemas.openxmlformats.org/officeDocument/2006/relationships/image" Target="../media/image2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chart" Target="../charts/chart18.xml"/><Relationship Id="rId1" Type="http://schemas.openxmlformats.org/officeDocument/2006/relationships/chart" Target="../charts/chart17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19050</xdr:colOff>
      <xdr:row>21</xdr:row>
      <xdr:rowOff>76199</xdr:rowOff>
    </xdr:from>
    <xdr:to>
      <xdr:col>6</xdr:col>
      <xdr:colOff>38100</xdr:colOff>
      <xdr:row>34</xdr:row>
      <xdr:rowOff>133350</xdr:rowOff>
    </xdr:to>
    <xdr:graphicFrame macro="">
      <xdr:nvGraphicFramePr>
        <xdr:cNvPr id="2" name="Diagram 1">
          <a:extLst>
            <a:ext uri="{FF2B5EF4-FFF2-40B4-BE49-F238E27FC236}">
              <a16:creationId xmlns:a16="http://schemas.microsoft.com/office/drawing/2014/main" id="{E6B8CAC8-B8D4-B72A-FC77-384E5083E785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6</xdr:col>
      <xdr:colOff>487679</xdr:colOff>
      <xdr:row>21</xdr:row>
      <xdr:rowOff>60960</xdr:rowOff>
    </xdr:from>
    <xdr:to>
      <xdr:col>13</xdr:col>
      <xdr:colOff>198120</xdr:colOff>
      <xdr:row>34</xdr:row>
      <xdr:rowOff>129540</xdr:rowOff>
    </xdr:to>
    <xdr:graphicFrame macro="">
      <xdr:nvGraphicFramePr>
        <xdr:cNvPr id="3" name="Diagram 2">
          <a:extLst>
            <a:ext uri="{FF2B5EF4-FFF2-40B4-BE49-F238E27FC236}">
              <a16:creationId xmlns:a16="http://schemas.microsoft.com/office/drawing/2014/main" id="{DB38829D-C948-FD9C-D7E6-A30C12B22999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2</xdr:row>
      <xdr:rowOff>167640</xdr:rowOff>
    </xdr:from>
    <xdr:to>
      <xdr:col>19</xdr:col>
      <xdr:colOff>396240</xdr:colOff>
      <xdr:row>24</xdr:row>
      <xdr:rowOff>64770</xdr:rowOff>
    </xdr:to>
    <xdr:graphicFrame macro="">
      <xdr:nvGraphicFramePr>
        <xdr:cNvPr id="2" name="Diagram 1">
          <a:extLst>
            <a:ext uri="{FF2B5EF4-FFF2-40B4-BE49-F238E27FC236}">
              <a16:creationId xmlns:a16="http://schemas.microsoft.com/office/drawing/2014/main" id="{2E92A308-C7F1-282E-1885-B7D1A1DBC909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9</xdr:col>
      <xdr:colOff>182880</xdr:colOff>
      <xdr:row>20</xdr:row>
      <xdr:rowOff>76200</xdr:rowOff>
    </xdr:from>
    <xdr:to>
      <xdr:col>12</xdr:col>
      <xdr:colOff>0</xdr:colOff>
      <xdr:row>23</xdr:row>
      <xdr:rowOff>53340</xdr:rowOff>
    </xdr:to>
    <xdr:sp macro="" textlink="">
      <xdr:nvSpPr>
        <xdr:cNvPr id="3" name="textruta 2">
          <a:extLst>
            <a:ext uri="{FF2B5EF4-FFF2-40B4-BE49-F238E27FC236}">
              <a16:creationId xmlns:a16="http://schemas.microsoft.com/office/drawing/2014/main" id="{FA664852-9815-FAA0-0086-2FA323D6407F}"/>
            </a:ext>
          </a:extLst>
        </xdr:cNvPr>
        <xdr:cNvSpPr txBox="1"/>
      </xdr:nvSpPr>
      <xdr:spPr>
        <a:xfrm>
          <a:off x="6202680" y="3749040"/>
          <a:ext cx="164592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v-SE" sz="1100" b="1">
              <a:solidFill>
                <a:schemeClr val="bg1"/>
              </a:solidFill>
            </a:rPr>
            <a:t>Jmf</a:t>
          </a:r>
          <a:r>
            <a:rPr lang="sv-SE" sz="1100">
              <a:solidFill>
                <a:schemeClr val="bg1"/>
              </a:solidFill>
            </a:rPr>
            <a:t>: Dundonald Links</a:t>
          </a:r>
          <a:br>
            <a:rPr lang="sv-SE" sz="1100">
              <a:solidFill>
                <a:schemeClr val="bg1"/>
              </a:solidFill>
            </a:rPr>
          </a:br>
          <a:r>
            <a:rPr lang="sv-SE" sz="1100">
              <a:solidFill>
                <a:schemeClr val="bg1"/>
              </a:solidFill>
            </a:rPr>
            <a:t>116,5</a:t>
          </a:r>
        </a:p>
      </xdr:txBody>
    </xdr:sp>
    <xdr:clientData/>
  </xdr:twoCellAnchor>
  <xdr:twoCellAnchor>
    <xdr:from>
      <xdr:col>9</xdr:col>
      <xdr:colOff>4762</xdr:colOff>
      <xdr:row>25</xdr:row>
      <xdr:rowOff>57149</xdr:rowOff>
    </xdr:from>
    <xdr:to>
      <xdr:col>19</xdr:col>
      <xdr:colOff>419100</xdr:colOff>
      <xdr:row>43</xdr:row>
      <xdr:rowOff>66674</xdr:rowOff>
    </xdr:to>
    <xdr:graphicFrame macro="">
      <xdr:nvGraphicFramePr>
        <xdr:cNvPr id="4" name="Diagram 3">
          <a:extLst>
            <a:ext uri="{FF2B5EF4-FFF2-40B4-BE49-F238E27FC236}">
              <a16:creationId xmlns:a16="http://schemas.microsoft.com/office/drawing/2014/main" id="{BB8CD3F4-8F58-0BEC-DE3E-68C0078DB72A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129540</xdr:colOff>
      <xdr:row>0</xdr:row>
      <xdr:rowOff>163830</xdr:rowOff>
    </xdr:from>
    <xdr:to>
      <xdr:col>22</xdr:col>
      <xdr:colOff>541020</xdr:colOff>
      <xdr:row>23</xdr:row>
      <xdr:rowOff>76200</xdr:rowOff>
    </xdr:to>
    <xdr:graphicFrame macro="">
      <xdr:nvGraphicFramePr>
        <xdr:cNvPr id="3" name="Diagram 2">
          <a:extLst>
            <a:ext uri="{FF2B5EF4-FFF2-40B4-BE49-F238E27FC236}">
              <a16:creationId xmlns:a16="http://schemas.microsoft.com/office/drawing/2014/main" id="{C4735F34-59F1-68EB-6C24-B005B391DE7E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10</xdr:col>
      <xdr:colOff>83820</xdr:colOff>
      <xdr:row>24</xdr:row>
      <xdr:rowOff>188595</xdr:rowOff>
    </xdr:from>
    <xdr:to>
      <xdr:col>22</xdr:col>
      <xdr:colOff>485775</xdr:colOff>
      <xdr:row>46</xdr:row>
      <xdr:rowOff>188595</xdr:rowOff>
    </xdr:to>
    <xdr:graphicFrame macro="">
      <xdr:nvGraphicFramePr>
        <xdr:cNvPr id="4" name="Diagram 3">
          <a:extLst>
            <a:ext uri="{FF2B5EF4-FFF2-40B4-BE49-F238E27FC236}">
              <a16:creationId xmlns:a16="http://schemas.microsoft.com/office/drawing/2014/main" id="{D0E2BA14-5F95-5C1A-D80A-6C94D4CB4719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600076</xdr:colOff>
      <xdr:row>19</xdr:row>
      <xdr:rowOff>180975</xdr:rowOff>
    </xdr:from>
    <xdr:to>
      <xdr:col>24</xdr:col>
      <xdr:colOff>276226</xdr:colOff>
      <xdr:row>54</xdr:row>
      <xdr:rowOff>180975</xdr:rowOff>
    </xdr:to>
    <xdr:graphicFrame macro="">
      <xdr:nvGraphicFramePr>
        <xdr:cNvPr id="4" name="Diagram 3">
          <a:extLst>
            <a:ext uri="{FF2B5EF4-FFF2-40B4-BE49-F238E27FC236}">
              <a16:creationId xmlns:a16="http://schemas.microsoft.com/office/drawing/2014/main" id="{E98168EB-3E59-FD87-CD42-31C0EE4EA4AF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136920</xdr:colOff>
      <xdr:row>216</xdr:row>
      <xdr:rowOff>182164</xdr:rowOff>
    </xdr:from>
    <xdr:to>
      <xdr:col>27</xdr:col>
      <xdr:colOff>321467</xdr:colOff>
      <xdr:row>241</xdr:row>
      <xdr:rowOff>95249</xdr:rowOff>
    </xdr:to>
    <xdr:graphicFrame macro="">
      <xdr:nvGraphicFramePr>
        <xdr:cNvPr id="2" name="Diagram 1">
          <a:extLst>
            <a:ext uri="{FF2B5EF4-FFF2-40B4-BE49-F238E27FC236}">
              <a16:creationId xmlns:a16="http://schemas.microsoft.com/office/drawing/2014/main" id="{64594CEE-AA6B-4B4E-98FD-A0F919EDE678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35</xdr:col>
      <xdr:colOff>529828</xdr:colOff>
      <xdr:row>5</xdr:row>
      <xdr:rowOff>182165</xdr:rowOff>
    </xdr:from>
    <xdr:to>
      <xdr:col>43</xdr:col>
      <xdr:colOff>339328</xdr:colOff>
      <xdr:row>21</xdr:row>
      <xdr:rowOff>55958</xdr:rowOff>
    </xdr:to>
    <xdr:graphicFrame macro="">
      <xdr:nvGraphicFramePr>
        <xdr:cNvPr id="3" name="Diagram 2">
          <a:extLst>
            <a:ext uri="{FF2B5EF4-FFF2-40B4-BE49-F238E27FC236}">
              <a16:creationId xmlns:a16="http://schemas.microsoft.com/office/drawing/2014/main" id="{A22847DB-AB1E-4CAF-BC1F-24A523021A2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12</xdr:col>
      <xdr:colOff>200024</xdr:colOff>
      <xdr:row>4</xdr:row>
      <xdr:rowOff>66675</xdr:rowOff>
    </xdr:from>
    <xdr:to>
      <xdr:col>23</xdr:col>
      <xdr:colOff>114299</xdr:colOff>
      <xdr:row>41</xdr:row>
      <xdr:rowOff>57150</xdr:rowOff>
    </xdr:to>
    <xdr:graphicFrame macro="">
      <xdr:nvGraphicFramePr>
        <xdr:cNvPr id="2" name="Diagram 1">
          <a:extLst>
            <a:ext uri="{FF2B5EF4-FFF2-40B4-BE49-F238E27FC236}">
              <a16:creationId xmlns:a16="http://schemas.microsoft.com/office/drawing/2014/main" id="{35FC7ED1-FD7C-493E-6F0D-5085A6B4E084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12</xdr:col>
      <xdr:colOff>161925</xdr:colOff>
      <xdr:row>13</xdr:row>
      <xdr:rowOff>19050</xdr:rowOff>
    </xdr:from>
    <xdr:to>
      <xdr:col>22</xdr:col>
      <xdr:colOff>257174</xdr:colOff>
      <xdr:row>50</xdr:row>
      <xdr:rowOff>180975</xdr:rowOff>
    </xdr:to>
    <xdr:graphicFrame macro="">
      <xdr:nvGraphicFramePr>
        <xdr:cNvPr id="2" name="Diagram 1">
          <a:extLst>
            <a:ext uri="{FF2B5EF4-FFF2-40B4-BE49-F238E27FC236}">
              <a16:creationId xmlns:a16="http://schemas.microsoft.com/office/drawing/2014/main" id="{E3BA3F39-2C2D-D38B-FA53-1BC2B0BD2128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28</xdr:col>
      <xdr:colOff>304799</xdr:colOff>
      <xdr:row>87</xdr:row>
      <xdr:rowOff>95248</xdr:rowOff>
    </xdr:from>
    <xdr:to>
      <xdr:col>44</xdr:col>
      <xdr:colOff>9524</xdr:colOff>
      <xdr:row>124</xdr:row>
      <xdr:rowOff>180974</xdr:rowOff>
    </xdr:to>
    <xdr:graphicFrame macro="">
      <xdr:nvGraphicFramePr>
        <xdr:cNvPr id="5" name="Diagram 4">
          <a:extLst>
            <a:ext uri="{FF2B5EF4-FFF2-40B4-BE49-F238E27FC236}">
              <a16:creationId xmlns:a16="http://schemas.microsoft.com/office/drawing/2014/main" id="{29E0D0FD-1656-E517-F4A0-9E74E0FDC466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16</xdr:col>
      <xdr:colOff>354330</xdr:colOff>
      <xdr:row>100</xdr:row>
      <xdr:rowOff>70485</xdr:rowOff>
    </xdr:from>
    <xdr:to>
      <xdr:col>27</xdr:col>
      <xdr:colOff>308610</xdr:colOff>
      <xdr:row>130</xdr:row>
      <xdr:rowOff>121920</xdr:rowOff>
    </xdr:to>
    <xdr:graphicFrame macro="">
      <xdr:nvGraphicFramePr>
        <xdr:cNvPr id="4" name="Diagram 3">
          <a:extLst>
            <a:ext uri="{FF2B5EF4-FFF2-40B4-BE49-F238E27FC236}">
              <a16:creationId xmlns:a16="http://schemas.microsoft.com/office/drawing/2014/main" id="{5260B3BD-BBA7-626F-6ED2-4530AD0BEA89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66674</xdr:colOff>
      <xdr:row>2</xdr:row>
      <xdr:rowOff>38100</xdr:rowOff>
    </xdr:from>
    <xdr:to>
      <xdr:col>18</xdr:col>
      <xdr:colOff>171449</xdr:colOff>
      <xdr:row>25</xdr:row>
      <xdr:rowOff>161925</xdr:rowOff>
    </xdr:to>
    <xdr:graphicFrame macro="">
      <xdr:nvGraphicFramePr>
        <xdr:cNvPr id="2" name="Diagram 1">
          <a:extLst>
            <a:ext uri="{FF2B5EF4-FFF2-40B4-BE49-F238E27FC236}">
              <a16:creationId xmlns:a16="http://schemas.microsoft.com/office/drawing/2014/main" id="{8A9B2E92-2B00-2E2D-3F3B-2820C488CE5D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27</xdr:col>
      <xdr:colOff>312964</xdr:colOff>
      <xdr:row>16</xdr:row>
      <xdr:rowOff>57149</xdr:rowOff>
    </xdr:from>
    <xdr:to>
      <xdr:col>42</xdr:col>
      <xdr:colOff>432708</xdr:colOff>
      <xdr:row>49</xdr:row>
      <xdr:rowOff>176892</xdr:rowOff>
    </xdr:to>
    <xdr:graphicFrame macro="">
      <xdr:nvGraphicFramePr>
        <xdr:cNvPr id="2" name="Diagram 1">
          <a:extLst>
            <a:ext uri="{FF2B5EF4-FFF2-40B4-BE49-F238E27FC236}">
              <a16:creationId xmlns:a16="http://schemas.microsoft.com/office/drawing/2014/main" id="{2D6AAF51-A9DD-4505-BFD3-EF062F06E595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8</xdr:col>
      <xdr:colOff>102053</xdr:colOff>
      <xdr:row>60</xdr:row>
      <xdr:rowOff>77559</xdr:rowOff>
    </xdr:from>
    <xdr:to>
      <xdr:col>19</xdr:col>
      <xdr:colOff>40821</xdr:colOff>
      <xdr:row>81</xdr:row>
      <xdr:rowOff>40821</xdr:rowOff>
    </xdr:to>
    <xdr:graphicFrame macro="">
      <xdr:nvGraphicFramePr>
        <xdr:cNvPr id="3" name="Diagram 2">
          <a:extLst>
            <a:ext uri="{FF2B5EF4-FFF2-40B4-BE49-F238E27FC236}">
              <a16:creationId xmlns:a16="http://schemas.microsoft.com/office/drawing/2014/main" id="{5F9BBC54-726B-A482-1D69-1126CA056F38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228600</xdr:colOff>
      <xdr:row>22</xdr:row>
      <xdr:rowOff>0</xdr:rowOff>
    </xdr:from>
    <xdr:to>
      <xdr:col>19</xdr:col>
      <xdr:colOff>111125</xdr:colOff>
      <xdr:row>26</xdr:row>
      <xdr:rowOff>34925</xdr:rowOff>
    </xdr:to>
    <xdr:pic>
      <xdr:nvPicPr>
        <xdr:cNvPr id="3" name="Bildobjekt 2">
          <a:extLst>
            <a:ext uri="{FF2B5EF4-FFF2-40B4-BE49-F238E27FC236}">
              <a16:creationId xmlns:a16="http://schemas.microsoft.com/office/drawing/2014/main" id="{5041B5B7-F6BB-4AE6-9042-D6805E236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837473B0-CC2E-450A-ABE3-18F120FF3D39}">
              <a1611:picAttrSrcUrl xmlns:a1611="http://schemas.microsoft.com/office/drawing/2016/11/main" r:id="rId2"/>
            </a:ext>
          </a:extLst>
        </a:blip>
        <a:stretch>
          <a:fillRect/>
        </a:stretch>
      </xdr:blipFill>
      <xdr:spPr>
        <a:xfrm>
          <a:off x="11296650" y="4216400"/>
          <a:ext cx="762000" cy="762000"/>
        </a:xfrm>
        <a:prstGeom prst="rect">
          <a:avLst/>
        </a:prstGeom>
      </xdr:spPr>
    </xdr:pic>
    <xdr:clientData/>
  </xdr:twoCellAnchor>
  <xdr:twoCellAnchor editAs="oneCell">
    <xdr:from>
      <xdr:col>11</xdr:col>
      <xdr:colOff>6350</xdr:colOff>
      <xdr:row>22</xdr:row>
      <xdr:rowOff>0</xdr:rowOff>
    </xdr:from>
    <xdr:to>
      <xdr:col>12</xdr:col>
      <xdr:colOff>168275</xdr:colOff>
      <xdr:row>26</xdr:row>
      <xdr:rowOff>34925</xdr:rowOff>
    </xdr:to>
    <xdr:pic>
      <xdr:nvPicPr>
        <xdr:cNvPr id="5" name="Bildobjekt 4">
          <a:extLst>
            <a:ext uri="{FF2B5EF4-FFF2-40B4-BE49-F238E27FC236}">
              <a16:creationId xmlns:a16="http://schemas.microsoft.com/office/drawing/2014/main" id="{8CF007A2-414A-4DC9-A768-D082047F3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837473B0-CC2E-450A-ABE3-18F120FF3D39}">
              <a1611:picAttrSrcUrl xmlns:a1611="http://schemas.microsoft.com/office/drawing/2016/11/main" r:id="rId2"/>
            </a:ext>
          </a:extLst>
        </a:blip>
        <a:stretch>
          <a:fillRect/>
        </a:stretch>
      </xdr:blipFill>
      <xdr:spPr>
        <a:xfrm>
          <a:off x="7385050" y="4216400"/>
          <a:ext cx="762000" cy="762000"/>
        </a:xfrm>
        <a:prstGeom prst="rect">
          <a:avLst/>
        </a:prstGeom>
      </xdr:spPr>
    </xdr:pic>
    <xdr:clientData/>
  </xdr:twoCellAnchor>
  <xdr:twoCellAnchor editAs="oneCell">
    <xdr:from>
      <xdr:col>6</xdr:col>
      <xdr:colOff>654050</xdr:colOff>
      <xdr:row>21</xdr:row>
      <xdr:rowOff>184150</xdr:rowOff>
    </xdr:from>
    <xdr:to>
      <xdr:col>8</xdr:col>
      <xdr:colOff>149225</xdr:colOff>
      <xdr:row>26</xdr:row>
      <xdr:rowOff>19050</xdr:rowOff>
    </xdr:to>
    <xdr:pic>
      <xdr:nvPicPr>
        <xdr:cNvPr id="6" name="Bildobjekt 5">
          <a:extLst>
            <a:ext uri="{FF2B5EF4-FFF2-40B4-BE49-F238E27FC236}">
              <a16:creationId xmlns:a16="http://schemas.microsoft.com/office/drawing/2014/main" id="{4C0832A9-9665-499C-9112-D9345FD6D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837473B0-CC2E-450A-ABE3-18F120FF3D39}">
              <a1611:picAttrSrcUrl xmlns:a1611="http://schemas.microsoft.com/office/drawing/2016/11/main" r:id="rId2"/>
            </a:ext>
          </a:extLst>
        </a:blip>
        <a:stretch>
          <a:fillRect/>
        </a:stretch>
      </xdr:blipFill>
      <xdr:spPr>
        <a:xfrm>
          <a:off x="4800600" y="4210050"/>
          <a:ext cx="762000" cy="76200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25</xdr:col>
      <xdr:colOff>840207</xdr:colOff>
      <xdr:row>26</xdr:row>
      <xdr:rowOff>179971</xdr:rowOff>
    </xdr:from>
    <xdr:to>
      <xdr:col>39</xdr:col>
      <xdr:colOff>216569</xdr:colOff>
      <xdr:row>53</xdr:row>
      <xdr:rowOff>52136</xdr:rowOff>
    </xdr:to>
    <xdr:graphicFrame macro="">
      <xdr:nvGraphicFramePr>
        <xdr:cNvPr id="3" name="Diagram 2">
          <a:extLst>
            <a:ext uri="{FF2B5EF4-FFF2-40B4-BE49-F238E27FC236}">
              <a16:creationId xmlns:a16="http://schemas.microsoft.com/office/drawing/2014/main" id="{AD5C7712-C012-D350-BD00-20889CE71E0E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26</xdr:col>
      <xdr:colOff>104775</xdr:colOff>
      <xdr:row>1</xdr:row>
      <xdr:rowOff>186690</xdr:rowOff>
    </xdr:from>
    <xdr:to>
      <xdr:col>40</xdr:col>
      <xdr:colOff>7620</xdr:colOff>
      <xdr:row>25</xdr:row>
      <xdr:rowOff>100965</xdr:rowOff>
    </xdr:to>
    <xdr:graphicFrame macro="">
      <xdr:nvGraphicFramePr>
        <xdr:cNvPr id="2" name="Diagram 1">
          <a:extLst>
            <a:ext uri="{FF2B5EF4-FFF2-40B4-BE49-F238E27FC236}">
              <a16:creationId xmlns:a16="http://schemas.microsoft.com/office/drawing/2014/main" id="{86EAF5FC-AAE1-EC74-2D63-65F3EAD08DD8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" xr:uid="{00000000-000C-0000-FFFF-FFFF01000000}" name="Tabell4" displayName="Tabell4" ref="B23:O40" totalsRowShown="0" headerRowDxfId="848" dataDxfId="846" headerRowBorderDxfId="847" tableBorderDxfId="845" totalsRowBorderDxfId="844" headerRowCellStyle="Normal 2">
  <autoFilter ref="B23:O40" xr:uid="{00000000-0009-0000-0100-000004000000}"/>
  <tableColumns count="14">
    <tableColumn id="1" xr3:uid="{00000000-0010-0000-0100-000001000000}" name="För" dataDxfId="843" dataCellStyle="Normal 2"/>
    <tableColumn id="2" xr3:uid="{00000000-0010-0000-0100-000002000000}" name="Efter" dataDxfId="842" dataCellStyle="Normal 2"/>
    <tableColumn id="3" xr3:uid="{00000000-0010-0000-0100-000003000000}" name="1" dataDxfId="841"/>
    <tableColumn id="4" xr3:uid="{00000000-0010-0000-0100-000004000000}" name="2" dataDxfId="840"/>
    <tableColumn id="5" xr3:uid="{00000000-0010-0000-0100-000005000000}" name="3" dataDxfId="839"/>
    <tableColumn id="6" xr3:uid="{00000000-0010-0000-0100-000006000000}" name="4" dataDxfId="838"/>
    <tableColumn id="7" xr3:uid="{00000000-0010-0000-0100-000007000000}" name="5" dataDxfId="837"/>
    <tableColumn id="8" xr3:uid="{00000000-0010-0000-0100-000008000000}" name="6" dataDxfId="836"/>
    <tableColumn id="9" xr3:uid="{00000000-0010-0000-0100-000009000000}" name="7" dataDxfId="835"/>
    <tableColumn id="10" xr3:uid="{00000000-0010-0000-0100-00000A000000}" name="8" dataDxfId="834"/>
    <tableColumn id="13" xr3:uid="{00000000-0010-0000-0100-00000D000000}" name="9" dataDxfId="833" dataCellStyle="Normal 2"/>
    <tableColumn id="11" xr3:uid="{00000000-0010-0000-0100-00000B000000}" name="10" dataDxfId="832"/>
    <tableColumn id="12" xr3:uid="{00000000-0010-0000-0100-00000C000000}" name="Sum" dataDxfId="831">
      <calculatedColumnFormula>SMALL(D24:M24,1)+SMALL(D24:M24,2)+SMALL(D24:M24,3)+SMALL(D24:M24,4)++SMALL(D24:M24,5)</calculatedColumnFormula>
    </tableColumn>
    <tableColumn id="14" xr3:uid="{C539A9F5-4315-4CE7-8335-C37D994AAD4C}" name="Kolumn1" dataDxfId="830"/>
  </tableColumns>
  <tableStyleInfo name="TableStyleDark7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6" xr:uid="{00000000-000C-0000-FFFF-FFFF02000000}" name="Tabell6" displayName="Tabell6" ref="P23:Z40" totalsRowShown="0" headerRowDxfId="829" dataDxfId="828" tableBorderDxfId="827">
  <autoFilter ref="P23:Z40" xr:uid="{00000000-0009-0000-0100-000006000000}"/>
  <tableColumns count="11">
    <tableColumn id="1" xr3:uid="{00000000-0010-0000-0200-000001000000}" name="1" dataDxfId="826"/>
    <tableColumn id="2" xr3:uid="{00000000-0010-0000-0200-000002000000}" name="2" dataDxfId="825"/>
    <tableColumn id="3" xr3:uid="{00000000-0010-0000-0200-000003000000}" name="3" dataDxfId="824"/>
    <tableColumn id="4" xr3:uid="{00000000-0010-0000-0200-000004000000}" name="4" dataDxfId="823"/>
    <tableColumn id="5" xr3:uid="{00000000-0010-0000-0200-000005000000}" name="5" dataDxfId="822"/>
    <tableColumn id="6" xr3:uid="{00000000-0010-0000-0200-000006000000}" name="6" dataDxfId="821"/>
    <tableColumn id="7" xr3:uid="{00000000-0010-0000-0200-000007000000}" name="7" dataDxfId="820"/>
    <tableColumn id="8" xr3:uid="{00000000-0010-0000-0200-000008000000}" name="8" dataDxfId="819"/>
    <tableColumn id="11" xr3:uid="{00000000-0010-0000-0200-00000B000000}" name="9" dataDxfId="818"/>
    <tableColumn id="9" xr3:uid="{00000000-0010-0000-0200-000009000000}" name="10" dataDxfId="817"/>
    <tableColumn id="10" xr3:uid="{00000000-0010-0000-0200-00000A000000}" name="Sum" dataDxfId="816">
      <calculatedColumnFormula>SMALL(P24:Y24,1)+SMALL(P24:Y24,2)+SMALL(P24:Y24,3)+SMALL(P24:Y24,4)</calculatedColumnFormula>
    </tableColumn>
  </tableColumns>
  <tableStyleInfo name="TableStyleDark7" showFirstColumn="0" showLastColumn="0" showRowStripes="1" showColumnStripes="0"/>
</table>
</file>

<file path=xl/tables/table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8" xr:uid="{00000000-000C-0000-FFFF-FFFF03000000}" name="Tabell8" displayName="Tabell8" ref="AA3:AA19" totalsRowCount="1" headerRowDxfId="815" dataDxfId="813" headerRowBorderDxfId="814" tableBorderDxfId="812">
  <autoFilter ref="AA3:AA18" xr:uid="{00000000-0009-0000-0100-000008000000}"/>
  <tableColumns count="1">
    <tableColumn id="1" xr3:uid="{00000000-0010-0000-0300-000001000000}" name="Plac" totalsRowFunction="custom" dataDxfId="811" totalsRowDxfId="810">
      <totalsRowFormula>RANK(Z19,Z4:Z19,1)</totalsRowFormula>
    </tableColumn>
  </tableColumns>
  <tableStyleInfo name="TableStyleDark4" showFirstColumn="0" showLastColumn="0" showRowStripes="1" showColumnStripes="0"/>
</table>
</file>

<file path=xl/tables/table4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9" xr:uid="{00000000-000C-0000-FFFF-FFFF04000000}" name="Tabell810" displayName="Tabell810" ref="AA23:AA39" totalsRowShown="0" headerRowDxfId="809" dataDxfId="807" headerRowBorderDxfId="808" tableBorderDxfId="806">
  <autoFilter ref="AA23:AA39" xr:uid="{00000000-0009-0000-0100-000009000000}"/>
  <tableColumns count="1">
    <tableColumn id="1" xr3:uid="{00000000-0010-0000-0400-000001000000}" name="Plac" dataDxfId="805">
      <calculatedColumnFormula>RANK(Z24,Z24:Z38,1)</calculatedColumnFormula>
    </tableColumn>
  </tableColumns>
  <tableStyleInfo name="TableStyleDark7" showFirstColumn="0" showLastColumn="0" showRowStripes="1" showColumnStripes="0"/>
</table>
</file>

<file path=xl/tables/table5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0" xr:uid="{00000000-000C-0000-FFFF-FFFF05000000}" name="Tabell10" displayName="Tabell10" ref="P3:Y20" totalsRowShown="0" headerRowDxfId="804" dataDxfId="802" headerRowBorderDxfId="803" tableBorderDxfId="801">
  <autoFilter ref="P3:Y20" xr:uid="{00000000-0009-0000-0100-00000A000000}"/>
  <tableColumns count="10">
    <tableColumn id="1" xr3:uid="{00000000-0010-0000-0500-000001000000}" name="1" dataDxfId="800"/>
    <tableColumn id="2" xr3:uid="{00000000-0010-0000-0500-000002000000}" name="2" dataDxfId="799"/>
    <tableColumn id="3" xr3:uid="{00000000-0010-0000-0500-000003000000}" name="3" dataDxfId="798"/>
    <tableColumn id="4" xr3:uid="{00000000-0010-0000-0500-000004000000}" name="4" dataDxfId="797"/>
    <tableColumn id="5" xr3:uid="{00000000-0010-0000-0500-000005000000}" name="5" dataDxfId="796"/>
    <tableColumn id="6" xr3:uid="{00000000-0010-0000-0500-000006000000}" name="6" dataDxfId="795"/>
    <tableColumn id="7" xr3:uid="{00000000-0010-0000-0500-000007000000}" name="7" dataDxfId="794"/>
    <tableColumn id="8" xr3:uid="{00000000-0010-0000-0500-000008000000}" name="8" dataDxfId="793"/>
    <tableColumn id="9" xr3:uid="{00000000-0010-0000-0500-000009000000}" name="9" dataDxfId="792"/>
    <tableColumn id="10" xr3:uid="{00000000-0010-0000-0500-00000A000000}" name="10" dataDxfId="791"/>
  </tableColumns>
  <tableStyleInfo name="TableStyleDark4" showFirstColumn="0" showLastColumn="0" showRowStripes="1" showColumnStripes="0"/>
</table>
</file>

<file path=xl/tables/table6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1" xr:uid="{00000000-000C-0000-FFFF-FFFF06000000}" name="Tabell11" displayName="Tabell11" ref="AC3:AC19" totalsRowCount="1" headerRowDxfId="790" dataDxfId="789" totalsRowDxfId="788">
  <autoFilter ref="AC3:AC18" xr:uid="{00000000-0009-0000-0100-00000B000000}"/>
  <tableColumns count="1">
    <tableColumn id="1" xr3:uid="{00000000-0010-0000-0600-000001000000}" name="Öl" totalsRowLabel="5" dataDxfId="787" totalsRowDxfId="786"/>
  </tableColumns>
  <tableStyleInfo name="TableStyleDark1" showFirstColumn="0" showLastColumn="0" showRowStripes="1" showColumnStripes="0"/>
</table>
</file>

<file path=xl/tables/table7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59" xr:uid="{00000000-000C-0000-FFFF-FFFF07000000}" name="Tabell59" displayName="Tabell59" ref="AE3:AE20" totalsRowShown="0" headerRowDxfId="785" dataDxfId="783" headerRowBorderDxfId="784" tableBorderDxfId="782" totalsRowBorderDxfId="781">
  <autoFilter ref="AE3:AE20" xr:uid="{00000000-0009-0000-0100-00003B000000}"/>
  <tableColumns count="1">
    <tableColumn id="1" xr3:uid="{00000000-0010-0000-0700-000001000000}" name="HCP" dataDxfId="780"/>
  </tableColumns>
  <tableStyleInfo name="TableStyleDark3" showFirstColumn="0" showLastColumn="0" showRowStripes="1" showColumnStripes="0"/>
</table>
</file>

<file path=xl/tables/table8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60" xr:uid="{00000000-000C-0000-FFFF-FFFF08000000}" name="Tabell60" displayName="Tabell60" ref="AE22:AE40" totalsRowCount="1" headerRowDxfId="779" dataDxfId="777" headerRowBorderDxfId="778" tableBorderDxfId="776" totalsRowBorderDxfId="775">
  <autoFilter ref="AE22:AE39" xr:uid="{00000000-0009-0000-0100-00003C000000}"/>
  <tableColumns count="1">
    <tableColumn id="1" xr3:uid="{00000000-0010-0000-0800-000001000000}" name="Snittscore" totalsRowFunction="average" dataDxfId="774" totalsRowDxfId="773"/>
  </tableColumns>
  <tableStyleInfo name="TableStyleDark7" showFirstColumn="0" showLastColumn="0" showRowStripes="1" showColumnStripes="0"/>
</table>
</file>

<file path=xl/tables/table9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61" xr:uid="{00000000-000C-0000-FFFF-FFFF09000000}" name="Tabell61" displayName="Tabell61" ref="AF3:AF20" totalsRowCount="1" headerRowDxfId="772" dataDxfId="770" headerRowBorderDxfId="771" tableBorderDxfId="769" totalsRowBorderDxfId="768">
  <autoFilter ref="AF3:AF19" xr:uid="{00000000-0009-0000-0100-00003D000000}"/>
  <tableColumns count="1">
    <tableColumn id="1" xr3:uid="{00000000-0010-0000-0900-000001000000}" name="Snittscore" totalsRowFunction="average" dataDxfId="767" totalsRowDxfId="766">
      <calculatedColumnFormula>(SMALL(D4:M4,1)+SMALL(D4:M4,2)+SMALL(D4:M4,3)+SMALL(D4:M4,4)+SMALL(D4:M4,5))/5</calculatedColumnFormula>
    </tableColumn>
  </tableColumns>
  <tableStyleInfo name="TableStyleDark4" showFirstColumn="0" showLastColumn="0" showRowStripes="1" showColumnStripes="0"/>
</table>
</file>

<file path=xl/tables/table10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63" xr:uid="{00000000-000C-0000-FFFF-FFFF0A000000}" name="Tabell63" displayName="Tabell63" ref="AC23:AC40" totalsRowCount="1" headerRowDxfId="765" dataDxfId="764" totalsRowDxfId="762" tableBorderDxfId="763" totalsRowBorderDxfId="761">
  <autoFilter ref="AC23:AC39" xr:uid="{00000000-0009-0000-0100-00003F000000}"/>
  <tableColumns count="1">
    <tableColumn id="1" xr3:uid="{00000000-0010-0000-0A00-000001000000}" name="Birdies" dataDxfId="760" totalsRowDxfId="759"/>
  </tableColumns>
  <tableStyleInfo name="TableStyleDark1" showFirstColumn="0" showLastColumn="0" showRowStripes="1" showColumnStripes="0"/>
</table>
</file>

<file path=xl/tables/table1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1" xr:uid="{00000000-000C-0000-FFFF-FFFF0B000000}" name="Tabell21" displayName="Tabell21" ref="B3:F21" totalsRowCount="1" headerRowDxfId="758" dataDxfId="757" totalsRowDxfId="755" tableBorderDxfId="756" totalsRowBorderDxfId="754">
  <autoFilter ref="B3:F20" xr:uid="{00000000-0009-0000-0100-000015000000}"/>
  <sortState xmlns:xlrd2="http://schemas.microsoft.com/office/spreadsheetml/2017/richdata2" ref="B4:F17">
    <sortCondition descending="1" ref="E4:E17"/>
  </sortState>
  <tableColumns count="5">
    <tableColumn id="1" xr3:uid="{00000000-0010-0000-0B00-000001000000}" name="För" dataDxfId="753" totalsRowDxfId="752" dataCellStyle="Normal 2"/>
    <tableColumn id="2" xr3:uid="{00000000-0010-0000-0B00-000002000000}" name="Efter" dataDxfId="751" totalsRowDxfId="750" dataCellStyle="Normal 2"/>
    <tableColumn id="3" xr3:uid="{00000000-0010-0000-0B00-000003000000}" name="Öl tid" totalsRowFunction="custom" dataDxfId="749" totalsRowDxfId="748">
      <totalsRowFormula>SUM(D4:D20)</totalsRowFormula>
    </tableColumn>
    <tableColumn id="4" xr3:uid="{00000000-0010-0000-0B00-000004000000}" name="Öl i år" totalsRowFunction="custom" dataDxfId="747" totalsRowDxfId="746">
      <calculatedColumnFormula>Tabell11[[#This Row],[Öl]]</calculatedColumnFormula>
      <totalsRowFormula>E4+E5+E6+E7+E8+E9+E10+E11+E12+E13+E14+E15+E16+E17+E18+E19+E20</totalsRowFormula>
    </tableColumn>
    <tableColumn id="5" xr3:uid="{00000000-0010-0000-0B00-000005000000}" name="Tot" totalsRowFunction="custom" dataDxfId="745" totalsRowDxfId="744">
      <calculatedColumnFormula>D4+E4</calculatedColumnFormula>
      <totalsRowFormula>SUM(F4:F20)</totalsRowFormula>
    </tableColumn>
  </tableColumns>
  <tableStyleInfo name="TableStyleDark2" showFirstColumn="0" showLastColumn="0" showRowStripes="1" showColumnStripes="0"/>
</table>
</file>

<file path=xl/tables/table1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2" xr:uid="{00000000-000C-0000-FFFF-FFFF0C000000}" name="Tabell2123" displayName="Tabell2123" ref="H3:L21" totalsRowCount="1" headerRowDxfId="743" dataDxfId="742" tableBorderDxfId="741">
  <autoFilter ref="H3:L20" xr:uid="{00000000-0009-0000-0100-000016000000}"/>
  <sortState xmlns:xlrd2="http://schemas.microsoft.com/office/spreadsheetml/2017/richdata2" ref="H4:L17">
    <sortCondition descending="1" ref="K4:K17"/>
  </sortState>
  <tableColumns count="5">
    <tableColumn id="1" xr3:uid="{00000000-0010-0000-0C00-000001000000}" name="För" dataDxfId="740" totalsRowDxfId="739" dataCellStyle="Normal 2"/>
    <tableColumn id="2" xr3:uid="{00000000-0010-0000-0C00-000002000000}" name="Efter" dataDxfId="738" totalsRowDxfId="737" dataCellStyle="Normal 2"/>
    <tableColumn id="3" xr3:uid="{00000000-0010-0000-0C00-000003000000}" name="Birdie tid" totalsRowFunction="custom" dataDxfId="736" totalsRowDxfId="735">
      <totalsRowFormula>SUM(J4:J20)</totalsRowFormula>
    </tableColumn>
    <tableColumn id="4" xr3:uid="{00000000-0010-0000-0C00-000004000000}" name="Birdie i år" totalsRowFunction="custom" dataDxfId="734" totalsRowDxfId="733">
      <calculatedColumnFormula>Scoreboard!AC24</calculatedColumnFormula>
      <totalsRowFormula>SUM(K4:K20)</totalsRowFormula>
    </tableColumn>
    <tableColumn id="5" xr3:uid="{00000000-0010-0000-0C00-000005000000}" name="Tot" totalsRowFunction="custom" dataDxfId="732" totalsRowDxfId="731">
      <calculatedColumnFormula>J4+K4</calculatedColumnFormula>
      <totalsRowFormula>(L4+L5+L6+L7+L8+L9+L10+L11+L12+L13+L14+L15+L16+L17+L18+J20)</totalsRowFormula>
    </tableColumn>
  </tableColumns>
  <tableStyleInfo name="TableStyleDark4" showFirstColumn="0" showLastColumn="0" showRowStripes="1" showColumnStripes="0"/>
</table>
</file>

<file path=xl/tables/table1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65" xr:uid="{00000000-000C-0000-FFFF-FFFF0D000000}" name="Tabell65" displayName="Tabell65" ref="N3:N17" totalsRowShown="0" headerRowDxfId="730" dataDxfId="729" tableBorderDxfId="728">
  <autoFilter ref="N3:N17" xr:uid="{00000000-0009-0000-0100-000041000000}"/>
  <tableColumns count="1">
    <tableColumn id="1" xr3:uid="{00000000-0010-0000-0D00-000001000000}" name="Anm" dataDxfId="727"/>
  </tableColumns>
  <tableStyleInfo name="TableStyleDark7" showFirstColumn="0" showLastColumn="0" showRowStripes="1" showColumnStripes="0"/>
</table>
</file>

<file path=xl/tables/table14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3" xr:uid="{00000000-000C-0000-FFFF-FFFF0E000000}" name="Tabell23" displayName="Tabell23" ref="B3:E19" totalsRowShown="0" tableBorderDxfId="726">
  <autoFilter ref="B3:E19" xr:uid="{00000000-0009-0000-0100-000017000000}"/>
  <tableColumns count="4">
    <tableColumn id="1" xr3:uid="{00000000-0010-0000-0E00-000001000000}" name="För" dataDxfId="725" dataCellStyle="Normal 2"/>
    <tableColumn id="2" xr3:uid="{00000000-0010-0000-0E00-000002000000}" name="Efter" dataDxfId="724" dataCellStyle="Normal 2"/>
    <tableColumn id="3" xr3:uid="{00000000-0010-0000-0E00-000003000000}" name="I år" dataDxfId="723">
      <calculatedColumnFormula>SMALL(Scoreboard!$B4:$N18,1)</calculatedColumnFormula>
    </tableColumn>
    <tableColumn id="4" xr3:uid="{00000000-0010-0000-0E00-000004000000}" name="Bäst &quot;Ever&quot;" dataDxfId="722"/>
  </tableColumns>
  <tableStyleInfo name="TableStyleDark7" showFirstColumn="0" showLastColumn="0" showRowStripes="1" showColumnStripes="0"/>
</table>
</file>

<file path=xl/tables/table15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4" xr:uid="{00000000-000C-0000-FFFF-FFFF0F000000}" name="Tabell24" displayName="Tabell24" ref="F3:F19" totalsRowShown="0" headerRowDxfId="721" dataDxfId="720" tableBorderDxfId="719">
  <autoFilter ref="F3:F19" xr:uid="{00000000-0009-0000-0100-000018000000}"/>
  <tableColumns count="1">
    <tableColumn id="1" xr3:uid="{00000000-0010-0000-0F00-000001000000}" name="Skillnad" dataDxfId="718">
      <calculatedColumnFormula>Tabell23[[#This Row],[I år]]-E4</calculatedColumnFormula>
    </tableColumn>
  </tableColumns>
  <tableStyleInfo name="TableStyleDark7" showFirstColumn="0" showLastColumn="0" showRowStripes="1" showColumnStripes="0"/>
</table>
</file>

<file path=xl/tables/table16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5" xr:uid="{00000000-000C-0000-FFFF-FFFF10000000}" name="Tabell2326" displayName="Tabell2326" ref="H3:K19" totalsRowShown="0" tableBorderDxfId="717">
  <autoFilter ref="H3:K19" xr:uid="{00000000-0009-0000-0100-000019000000}"/>
  <tableColumns count="4">
    <tableColumn id="1" xr3:uid="{00000000-0010-0000-1000-000001000000}" name="För" dataDxfId="716" dataCellStyle="Normal 2"/>
    <tableColumn id="2" xr3:uid="{00000000-0010-0000-1000-000002000000}" name="Efter" dataDxfId="715" dataCellStyle="Normal 2"/>
    <tableColumn id="3" xr3:uid="{00000000-0010-0000-1000-000003000000}" name="I år" dataDxfId="714">
      <calculatedColumnFormula>MIN(Scoreboard!D24:M24)</calculatedColumnFormula>
    </tableColumn>
    <tableColumn id="4" xr3:uid="{00000000-0010-0000-1000-000004000000}" name="Bäst &quot;Ever&quot;" dataDxfId="713"/>
  </tableColumns>
  <tableStyleInfo name="TableStyleDark7" showFirstColumn="0" showLastColumn="0" showRowStripes="1" showColumnStripes="0"/>
</table>
</file>

<file path=xl/tables/table17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6" xr:uid="{00000000-000C-0000-FFFF-FFFF11000000}" name="Tabell2427" displayName="Tabell2427" ref="L3:L19" totalsRowShown="0" headerRowDxfId="712" dataDxfId="711" tableBorderDxfId="710">
  <autoFilter ref="L3:L19" xr:uid="{00000000-0009-0000-0100-00001A000000}"/>
  <tableColumns count="1">
    <tableColumn id="1" xr3:uid="{00000000-0010-0000-1100-000001000000}" name="Skillnad" dataDxfId="709">
      <calculatedColumnFormula>Tabell2326[[#This Row],[I år]]-K4</calculatedColumnFormula>
    </tableColumn>
  </tableColumns>
  <tableStyleInfo name="TableStyleDark7" showFirstColumn="0" showLastColumn="0" showRowStripes="1" showColumnStripes="0"/>
</table>
</file>

<file path=xl/tables/table18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00000000-000C-0000-FFFF-FFFF13000000}" name="Tabell2" displayName="Tabell2" ref="C4:F50" totalsRowCount="1" headerRowDxfId="708" dataDxfId="706" headerRowBorderDxfId="707" tableBorderDxfId="705" totalsRowBorderDxfId="704">
  <autoFilter ref="C4:F49" xr:uid="{00000000-0009-0000-0100-000002000000}"/>
  <sortState xmlns:xlrd2="http://schemas.microsoft.com/office/spreadsheetml/2017/richdata2" ref="C5:F49">
    <sortCondition descending="1" ref="F4:F49"/>
  </sortState>
  <tableColumns count="4">
    <tableColumn id="1" xr3:uid="{00000000-0010-0000-1300-000001000000}" name="Bana" dataDxfId="703" totalsRowDxfId="702"/>
    <tableColumn id="2" xr3:uid="{00000000-0010-0000-1300-000002000000}" name="Brutto" dataDxfId="701" totalsRowDxfId="700"/>
    <tableColumn id="3" xr3:uid="{00000000-0010-0000-1300-000003000000}" name="Netto" dataDxfId="699" totalsRowDxfId="698"/>
    <tableColumn id="4" xr3:uid="{00000000-0010-0000-1300-000004000000}" name="Antal ggr" totalsRowFunction="custom" dataDxfId="697" totalsRowDxfId="696">
      <totalsRowFormula>SUM(F5:F49)</totalsRowFormula>
    </tableColumn>
  </tableColumns>
  <tableStyleInfo name="TableStyleDark3" showFirstColumn="0" showLastColumn="0" showRowStripes="1" showColumnStripes="0"/>
</table>
</file>

<file path=xl/tables/table19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7" xr:uid="{00000000-000C-0000-FFFF-FFFF14000000}" name="Tabell27" displayName="Tabell27" ref="B3:F19" totalsRowShown="0" headerRowDxfId="695" dataDxfId="693" headerRowBorderDxfId="694" tableBorderDxfId="692" totalsRowBorderDxfId="691" headerRowCellStyle="Normal 2">
  <autoFilter ref="B3:F19" xr:uid="{00000000-0009-0000-0100-00001B000000}"/>
  <sortState xmlns:xlrd2="http://schemas.microsoft.com/office/spreadsheetml/2017/richdata2" ref="B4:F18">
    <sortCondition ref="D3:D18"/>
  </sortState>
  <tableColumns count="5">
    <tableColumn id="1" xr3:uid="{00000000-0010-0000-1400-000001000000}" name="För" dataDxfId="690" dataCellStyle="Normal 2"/>
    <tableColumn id="2" xr3:uid="{00000000-0010-0000-1400-000002000000}" name="Efter" dataDxfId="689" dataCellStyle="Normal 2"/>
    <tableColumn id="5" xr3:uid="{00000000-0010-0000-1400-000005000000}" name="Summa" dataDxfId="688" dataCellStyle="Normal 2">
      <calculatedColumnFormula>Scoreboard!Z4</calculatedColumnFormula>
    </tableColumn>
    <tableColumn id="3" xr3:uid="{00000000-0010-0000-1400-000003000000}" name="Plac" dataDxfId="687">
      <calculatedColumnFormula>Tabell8[[#This Row],[Plac]]</calculatedColumnFormula>
    </tableColumn>
    <tableColumn id="4" xr3:uid="{00000000-0010-0000-1400-000004000000}" name="Att slå" dataDxfId="686"/>
  </tableColumns>
  <tableStyleInfo name="TableStyleDark1" showFirstColumn="0" showLastColumn="0" showRowStripes="1" showColumnStripes="0"/>
</table>
</file>

<file path=xl/tables/table20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8" xr:uid="{00000000-000C-0000-FFFF-FFFF15000000}" name="Tabell2729" displayName="Tabell2729" ref="H3:L19" totalsRowShown="0" headerRowDxfId="685" dataDxfId="683" headerRowBorderDxfId="684" tableBorderDxfId="682" totalsRowBorderDxfId="681" headerRowCellStyle="Normal 2">
  <autoFilter ref="H3:L19" xr:uid="{00000000-0009-0000-0100-00001C000000}"/>
  <sortState xmlns:xlrd2="http://schemas.microsoft.com/office/spreadsheetml/2017/richdata2" ref="H4:L17">
    <sortCondition ref="K3:K17"/>
  </sortState>
  <tableColumns count="5">
    <tableColumn id="1" xr3:uid="{00000000-0010-0000-1500-000001000000}" name="För" dataDxfId="680" dataCellStyle="Normal 2"/>
    <tableColumn id="2" xr3:uid="{00000000-0010-0000-1500-000002000000}" name="Efter" dataDxfId="679" dataCellStyle="Normal 2"/>
    <tableColumn id="5" xr3:uid="{00000000-0010-0000-1500-000005000000}" name="Summa" dataDxfId="678" dataCellStyle="Normal 2">
      <calculatedColumnFormula>Scoreboard!Z24</calculatedColumnFormula>
    </tableColumn>
    <tableColumn id="3" xr3:uid="{00000000-0010-0000-1500-000003000000}" name="Plac" dataDxfId="677" dataCellStyle="Normal 2">
      <calculatedColumnFormula>RANK(J4,J4:J19,1)</calculatedColumnFormula>
    </tableColumn>
    <tableColumn id="4" xr3:uid="{00000000-0010-0000-1500-000004000000}" name="Att slå" dataDxfId="676">
      <calculatedColumnFormula>SMALL(Scoreboard!P24:Y24,4)</calculatedColumnFormula>
    </tableColumn>
  </tableColumns>
  <tableStyleInfo name="TableStyleDark1" showFirstColumn="0" showLastColumn="0" showRowStripes="1" showColumnStripes="0"/>
</table>
</file>

<file path=xl/tables/table2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68" xr:uid="{00000000-000C-0000-FFFF-FFFF16000000}" name="Tabell272969" displayName="Tabell272969" ref="B23:F39" totalsRowShown="0" headerRowDxfId="675" dataDxfId="673" headerRowBorderDxfId="674" tableBorderDxfId="672" totalsRowBorderDxfId="671" headerRowCellStyle="Normal 2">
  <autoFilter ref="B23:F39" xr:uid="{00000000-0009-0000-0100-000044000000}"/>
  <sortState xmlns:xlrd2="http://schemas.microsoft.com/office/spreadsheetml/2017/richdata2" ref="B24:F37">
    <sortCondition ref="E3:E17"/>
  </sortState>
  <tableColumns count="5">
    <tableColumn id="1" xr3:uid="{00000000-0010-0000-1600-000001000000}" name="För" dataDxfId="670" dataCellStyle="Normal 2"/>
    <tableColumn id="2" xr3:uid="{00000000-0010-0000-1600-000002000000}" name="Efter" dataDxfId="669" dataCellStyle="Normal 2"/>
    <tableColumn id="5" xr3:uid="{00000000-0010-0000-1600-000005000000}" name="Summa" dataDxfId="668" dataCellStyle="Normal 2">
      <calculatedColumnFormula>Scoreboard!T43</calculatedColumnFormula>
    </tableColumn>
    <tableColumn id="3" xr3:uid="{00000000-0010-0000-1600-000003000000}" name="Plac" dataDxfId="667" dataCellStyle="Normal 2">
      <calculatedColumnFormula>RANK(D24,D24:D39,1)</calculatedColumnFormula>
    </tableColumn>
    <tableColumn id="4" xr3:uid="{00000000-0010-0000-1600-000004000000}" name="Att slå" dataDxfId="666">
      <calculatedColumnFormula>SMALL(Scoreboard!I43:S43,4)</calculatedColumnFormula>
    </tableColumn>
  </tableColumns>
  <tableStyleInfo name="TableStyleDark1" showFirstColumn="0" showLastColumn="0" showRowStripes="1" showColumnStripes="0"/>
</table>
</file>

<file path=xl/tables/table2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6" xr:uid="{61C0B832-7AF8-4C51-94B0-816A3634E779}" name="Tabell16" displayName="Tabell16" ref="D2:I18" totalsRowShown="0" headerRowDxfId="665" dataDxfId="663" headerRowBorderDxfId="664" tableBorderDxfId="662">
  <autoFilter ref="D2:I18" xr:uid="{CE934EE5-D76B-4C99-9D54-5ED5633398A7}"/>
  <sortState xmlns:xlrd2="http://schemas.microsoft.com/office/spreadsheetml/2017/richdata2" ref="D3:I18">
    <sortCondition ref="H2:H18"/>
  </sortState>
  <tableColumns count="6">
    <tableColumn id="1" xr3:uid="{A79CC55E-3A50-4A2E-A028-A211338AA4FB}" name="Player" dataDxfId="661"/>
    <tableColumn id="2" xr3:uid="{9E168BE8-84E4-4EC2-9945-764BEE4B923D}" name="Name" dataDxfId="660"/>
    <tableColumn id="6" xr3:uid="{FE839718-882F-4E0D-B714-74CF86DB3756}" name="Bd/P" dataDxfId="659">
      <calculatedColumnFormula>Dreamscore!AB158*2+(Dreamscore!AB159)</calculatedColumnFormula>
    </tableColumn>
    <tableColumn id="3" xr3:uid="{4543364A-59BF-4416-8B95-56F88C46A2BE}" name="Form-Ind" dataDxfId="658"/>
    <tableColumn id="4" xr3:uid="{3941D92C-5DCA-47C1-A55A-F43BE49B20F9}" name="ATP" dataDxfId="657"/>
    <tableColumn id="5" xr3:uid="{EF1EEFF8-E3F7-4F88-B15E-93D5DBC3493D}" name="PGA" dataDxfId="656"/>
  </tableColumns>
  <tableStyleInfo name="TableStyleDark5" showFirstColumn="0" showLastColumn="0" showRowStripes="1" showColumnStripes="0"/>
</table>
</file>

<file path=xl/tables/table2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2" xr:uid="{FB86B53E-1A54-4456-A078-C1B9BEB8BDC9}" name="Tabell32" displayName="Tabell32" ref="B2:B18" totalsRowShown="0" headerRowDxfId="655" dataDxfId="653" headerRowBorderDxfId="654" tableBorderDxfId="652" totalsRowBorderDxfId="651">
  <tableColumns count="1">
    <tableColumn id="1" xr3:uid="{F69B8940-CB3F-4EF4-AFDC-BC2D6FDC8823}" name="Rank" dataDxfId="650"/>
  </tableColumns>
  <tableStyleInfo name="TableStyleMedium19" showFirstColumn="0" showLastColumn="0" showRowStripes="1" showColumnStripes="0"/>
</table>
</file>

<file path=xl/tables/table24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" xr:uid="{003DC9B5-8562-4A50-83B2-D027CFA1A3EE}" name="Tabell3" displayName="Tabell3" ref="B3:Q19" totalsRowShown="0" headerRowDxfId="649" dataDxfId="647" headerRowBorderDxfId="648" tableBorderDxfId="646" totalsRowBorderDxfId="645">
  <autoFilter ref="B3:Q19" xr:uid="{003DC9B5-8562-4A50-83B2-D027CFA1A3EE}"/>
  <tableColumns count="16">
    <tableColumn id="1" xr3:uid="{979DAD28-D1B7-4351-8DF6-F7F1CDB05E63}" name="Spelare" dataDxfId="644" dataCellStyle="Normal 2"/>
    <tableColumn id="2" xr3:uid="{EE05ECC3-08D2-473B-8E0E-3E4D2DC5E1B1}" name="Kolumn2" dataDxfId="643" dataCellStyle="Normal 2"/>
    <tableColumn id="3" xr3:uid="{093FD127-35FA-4389-9BBA-13FA8451ECB7}" name="2009" dataDxfId="642"/>
    <tableColumn id="4" xr3:uid="{E89EFA81-91B3-4B2E-A6AE-88DB5987A8E2}" name="2010" dataDxfId="641"/>
    <tableColumn id="5" xr3:uid="{E4C268CA-AF34-4BBD-8720-06A173A313F8}" name="2012" dataDxfId="640"/>
    <tableColumn id="6" xr3:uid="{A1FB0A73-E389-40F1-B38F-57565ED1C14A}" name="2013" dataDxfId="639"/>
    <tableColumn id="7" xr3:uid="{8D6650E4-6E7F-480B-AD11-18E0810F9F9B}" name="2014" dataDxfId="638"/>
    <tableColumn id="8" xr3:uid="{BE07C31F-2021-466B-9FD2-4095F069C5C3}" name="2015" dataDxfId="637"/>
    <tableColumn id="9" xr3:uid="{21DC4A7C-090B-4BA9-95EC-5E1DD373062D}" name="2016" dataDxfId="636"/>
    <tableColumn id="10" xr3:uid="{CABFB873-F6EA-44C3-A008-407C89DE9DAF}" name="2017" dataDxfId="635"/>
    <tableColumn id="11" xr3:uid="{3659B0B4-3546-4314-9F69-E4859B0DEB38}" name="2018" dataDxfId="634"/>
    <tableColumn id="12" xr3:uid="{CC8ADE1A-6039-489B-8285-EBD34B6F918F}" name="2019" dataDxfId="633"/>
    <tableColumn id="13" xr3:uid="{7EA8F3B1-46CA-49B7-9CBC-467AB12A5A7B}" name="2020" dataDxfId="632"/>
    <tableColumn id="14" xr3:uid="{A3BD2B85-E391-452D-A697-DBC129AAE8EB}" name="2021" dataDxfId="631"/>
    <tableColumn id="15" xr3:uid="{FE7F6836-717D-4655-A5B9-7A4BC2028A41}" name="2022" dataDxfId="630"/>
    <tableColumn id="16" xr3:uid="{3A5CF4BD-CBBE-4C6E-B3D9-192B18F063F0}" name="2023" dataDxfId="629"/>
  </tableColumns>
  <tableStyleInfo name="TableStyleMedium19" showFirstColumn="0" showLastColumn="0" showRowStripes="1" showColumnStripes="0"/>
</table>
</file>

<file path=xl/tables/table25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5" xr:uid="{00000000-000C-0000-FFFF-FFFF17000000}" name="Tabell5" displayName="Tabell5" ref="B4:V21" totalsRowShown="0" headerRowDxfId="628" dataDxfId="626" headerRowBorderDxfId="627" tableBorderDxfId="625">
  <autoFilter ref="B4:V21" xr:uid="{00000000-0009-0000-0100-000005000000}"/>
  <tableColumns count="21">
    <tableColumn id="1" xr3:uid="{00000000-0010-0000-1700-000001000000}" name="För" dataDxfId="624" dataCellStyle="Normal 2"/>
    <tableColumn id="2" xr3:uid="{00000000-0010-0000-1700-000002000000}" name="Efter" dataDxfId="623" dataCellStyle="Normal 2"/>
    <tableColumn id="3" xr3:uid="{00000000-0010-0000-1700-000003000000}" name="1" dataDxfId="622"/>
    <tableColumn id="4" xr3:uid="{00000000-0010-0000-1700-000004000000}" name="2" dataDxfId="621"/>
    <tableColumn id="5" xr3:uid="{00000000-0010-0000-1700-000005000000}" name="3" dataDxfId="620"/>
    <tableColumn id="6" xr3:uid="{00000000-0010-0000-1700-000006000000}" name="4" dataDxfId="619"/>
    <tableColumn id="7" xr3:uid="{00000000-0010-0000-1700-000007000000}" name="5" dataDxfId="618"/>
    <tableColumn id="8" xr3:uid="{00000000-0010-0000-1700-000008000000}" name="6" dataDxfId="617"/>
    <tableColumn id="9" xr3:uid="{00000000-0010-0000-1700-000009000000}" name="7" dataDxfId="616"/>
    <tableColumn id="10" xr3:uid="{00000000-0010-0000-1700-00000A000000}" name="8" dataDxfId="615"/>
    <tableColumn id="11" xr3:uid="{00000000-0010-0000-1700-00000B000000}" name="9" dataDxfId="614"/>
    <tableColumn id="12" xr3:uid="{00000000-0010-0000-1700-00000C000000}" name="10" dataDxfId="613"/>
    <tableColumn id="13" xr3:uid="{00000000-0010-0000-1700-00000D000000}" name="11" dataDxfId="612"/>
    <tableColumn id="14" xr3:uid="{00000000-0010-0000-1700-00000E000000}" name="12" dataDxfId="611"/>
    <tableColumn id="15" xr3:uid="{00000000-0010-0000-1700-00000F000000}" name="1, 5" dataDxfId="610"/>
    <tableColumn id="16" xr3:uid="{00000000-0010-0000-1700-000010000000}" name="3, 14, 15 &amp; 18" dataDxfId="609"/>
    <tableColumn id="17" xr3:uid="{00000000-0010-0000-1700-000011000000}" name="15" dataDxfId="608"/>
    <tableColumn id="18" xr3:uid="{00000000-0010-0000-1700-000012000000}" name="16" dataDxfId="607"/>
    <tableColumn id="19" xr3:uid="{00000000-0010-0000-1700-000013000000}" name="17" dataDxfId="606"/>
    <tableColumn id="20" xr3:uid="{00000000-0010-0000-1700-000014000000}" name="18" dataDxfId="605"/>
    <tableColumn id="21" xr3:uid="{00000000-0010-0000-1700-000015000000}" name="Tot" dataDxfId="604">
      <calculatedColumnFormula>SUM(D5:U5)</calculatedColumnFormula>
    </tableColumn>
  </tableColumns>
  <tableStyleInfo name="TableStyleDark7" showFirstColumn="0" showLastColumn="0" showRowStripes="1" showColumnStripes="0"/>
</table>
</file>

<file path=xl/tables/table26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7" xr:uid="{00000000-000C-0000-FFFF-FFFF18000000}" name="Tabell7" displayName="Tabell7" ref="B25:V35" totalsRowShown="0" headerRowDxfId="603" dataDxfId="601" headerRowBorderDxfId="602" tableBorderDxfId="600">
  <autoFilter ref="B25:V35" xr:uid="{00000000-0009-0000-0100-000007000000}"/>
  <tableColumns count="21">
    <tableColumn id="1" xr3:uid="{00000000-0010-0000-1800-000001000000}" name="För" dataDxfId="599" dataCellStyle="Normal 2"/>
    <tableColumn id="2" xr3:uid="{00000000-0010-0000-1800-000002000000}" name="Efter" dataDxfId="598" dataCellStyle="Normal 2"/>
    <tableColumn id="3" xr3:uid="{00000000-0010-0000-1800-000003000000}" name="1" dataDxfId="597"/>
    <tableColumn id="4" xr3:uid="{00000000-0010-0000-1800-000004000000}" name="2" dataDxfId="596"/>
    <tableColumn id="5" xr3:uid="{00000000-0010-0000-1800-000005000000}" name="3" dataDxfId="595"/>
    <tableColumn id="6" xr3:uid="{00000000-0010-0000-1800-000006000000}" name="4" dataDxfId="594"/>
    <tableColumn id="7" xr3:uid="{00000000-0010-0000-1800-000007000000}" name="5" dataDxfId="593"/>
    <tableColumn id="8" xr3:uid="{00000000-0010-0000-1800-000008000000}" name="6" dataDxfId="592"/>
    <tableColumn id="9" xr3:uid="{00000000-0010-0000-1800-000009000000}" name="7" dataDxfId="591"/>
    <tableColumn id="10" xr3:uid="{00000000-0010-0000-1800-00000A000000}" name="8" dataDxfId="590"/>
    <tableColumn id="11" xr3:uid="{00000000-0010-0000-1800-00000B000000}" name="9" dataDxfId="589"/>
    <tableColumn id="12" xr3:uid="{00000000-0010-0000-1800-00000C000000}" name="10" dataDxfId="588"/>
    <tableColumn id="13" xr3:uid="{00000000-0010-0000-1800-00000D000000}" name="11" dataDxfId="587"/>
    <tableColumn id="14" xr3:uid="{00000000-0010-0000-1800-00000E000000}" name="12" dataDxfId="586"/>
    <tableColumn id="15" xr3:uid="{00000000-0010-0000-1800-00000F000000}" name="13" dataDxfId="585"/>
    <tableColumn id="16" xr3:uid="{00000000-0010-0000-1800-000010000000}" name="14" dataDxfId="584"/>
    <tableColumn id="17" xr3:uid="{00000000-0010-0000-1800-000011000000}" name="15" dataDxfId="583"/>
    <tableColumn id="18" xr3:uid="{00000000-0010-0000-1800-000012000000}" name="16" dataDxfId="582"/>
    <tableColumn id="19" xr3:uid="{00000000-0010-0000-1800-000013000000}" name="17" dataDxfId="581"/>
    <tableColumn id="20" xr3:uid="{00000000-0010-0000-1800-000014000000}" name="18" dataDxfId="580"/>
    <tableColumn id="21" xr3:uid="{00000000-0010-0000-1800-000015000000}" name="Tot" dataDxfId="579">
      <calculatedColumnFormula>SUM(D26:U26)</calculatedColumnFormula>
    </tableColumn>
  </tableColumns>
  <tableStyleInfo name="TableStyleDark3" showFirstColumn="0" showLastColumn="0" showRowStripes="1" showColumnStripes="0"/>
</table>
</file>

<file path=xl/tables/table27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3" xr:uid="{00000000-000C-0000-FFFF-FFFF19000000}" name="Tabell714" displayName="Tabell714" ref="B37:V47" totalsRowShown="0" headerRowDxfId="578" dataDxfId="576" headerRowBorderDxfId="577" tableBorderDxfId="575">
  <autoFilter ref="B37:V47" xr:uid="{00000000-0009-0000-0100-00000D000000}"/>
  <tableColumns count="21">
    <tableColumn id="1" xr3:uid="{00000000-0010-0000-1900-000001000000}" name="För" dataDxfId="574" dataCellStyle="Normal 2"/>
    <tableColumn id="2" xr3:uid="{00000000-0010-0000-1900-000002000000}" name="Efter" dataDxfId="573" dataCellStyle="Normal 2"/>
    <tableColumn id="3" xr3:uid="{00000000-0010-0000-1900-000003000000}" name="1" dataDxfId="572"/>
    <tableColumn id="4" xr3:uid="{00000000-0010-0000-1900-000004000000}" name="2" dataDxfId="571"/>
    <tableColumn id="5" xr3:uid="{00000000-0010-0000-1900-000005000000}" name="3" dataDxfId="570"/>
    <tableColumn id="6" xr3:uid="{00000000-0010-0000-1900-000006000000}" name="4" dataDxfId="569"/>
    <tableColumn id="7" xr3:uid="{00000000-0010-0000-1900-000007000000}" name="5" dataDxfId="568"/>
    <tableColumn id="8" xr3:uid="{00000000-0010-0000-1900-000008000000}" name="6" dataDxfId="567"/>
    <tableColumn id="9" xr3:uid="{00000000-0010-0000-1900-000009000000}" name="7" dataDxfId="566"/>
    <tableColumn id="10" xr3:uid="{00000000-0010-0000-1900-00000A000000}" name="8" dataDxfId="565"/>
    <tableColumn id="11" xr3:uid="{00000000-0010-0000-1900-00000B000000}" name="9" dataDxfId="564"/>
    <tableColumn id="12" xr3:uid="{00000000-0010-0000-1900-00000C000000}" name="10" dataDxfId="563"/>
    <tableColumn id="13" xr3:uid="{00000000-0010-0000-1900-00000D000000}" name="11" dataDxfId="562"/>
    <tableColumn id="14" xr3:uid="{00000000-0010-0000-1900-00000E000000}" name="12" dataDxfId="561"/>
    <tableColumn id="15" xr3:uid="{00000000-0010-0000-1900-00000F000000}" name="13" dataDxfId="560"/>
    <tableColumn id="16" xr3:uid="{00000000-0010-0000-1900-000010000000}" name="14" dataDxfId="559"/>
    <tableColumn id="17" xr3:uid="{00000000-0010-0000-1900-000011000000}" name="15" dataDxfId="558"/>
    <tableColumn id="18" xr3:uid="{00000000-0010-0000-1900-000012000000}" name="16" dataDxfId="557"/>
    <tableColumn id="19" xr3:uid="{00000000-0010-0000-1900-000013000000}" name="17" dataDxfId="556"/>
    <tableColumn id="20" xr3:uid="{00000000-0010-0000-1900-000014000000}" name="18" dataDxfId="555"/>
    <tableColumn id="21" xr3:uid="{00000000-0010-0000-1900-000015000000}" name="Tot" dataDxfId="554">
      <calculatedColumnFormula>SUM(D38:U38)</calculatedColumnFormula>
    </tableColumn>
  </tableColumns>
  <tableStyleInfo name="TableStyleDark3" showFirstColumn="0" showLastColumn="0" showRowStripes="1" showColumnStripes="0"/>
</table>
</file>

<file path=xl/tables/table28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4" xr:uid="{00000000-000C-0000-FFFF-FFFF1A000000}" name="Tabell71415" displayName="Tabell71415" ref="B50:V60" totalsRowShown="0" headerRowDxfId="553" dataDxfId="551" headerRowBorderDxfId="552" tableBorderDxfId="550">
  <autoFilter ref="B50:V60" xr:uid="{00000000-0009-0000-0100-00000E000000}"/>
  <tableColumns count="21">
    <tableColumn id="1" xr3:uid="{00000000-0010-0000-1A00-000001000000}" name="För" dataDxfId="549" dataCellStyle="Normal 2"/>
    <tableColumn id="2" xr3:uid="{00000000-0010-0000-1A00-000002000000}" name="Efter" dataDxfId="548" dataCellStyle="Normal 2"/>
    <tableColumn id="3" xr3:uid="{00000000-0010-0000-1A00-000003000000}" name="1" dataDxfId="547"/>
    <tableColumn id="4" xr3:uid="{00000000-0010-0000-1A00-000004000000}" name="2" dataDxfId="546"/>
    <tableColumn id="5" xr3:uid="{00000000-0010-0000-1A00-000005000000}" name="3" dataDxfId="545"/>
    <tableColumn id="6" xr3:uid="{00000000-0010-0000-1A00-000006000000}" name="4" dataDxfId="544"/>
    <tableColumn id="7" xr3:uid="{00000000-0010-0000-1A00-000007000000}" name="5" dataDxfId="543"/>
    <tableColumn id="8" xr3:uid="{00000000-0010-0000-1A00-000008000000}" name="6" dataDxfId="542"/>
    <tableColumn id="9" xr3:uid="{00000000-0010-0000-1A00-000009000000}" name="7" dataDxfId="541"/>
    <tableColumn id="10" xr3:uid="{00000000-0010-0000-1A00-00000A000000}" name="8" dataDxfId="540"/>
    <tableColumn id="11" xr3:uid="{00000000-0010-0000-1A00-00000B000000}" name="9" dataDxfId="539"/>
    <tableColumn id="12" xr3:uid="{00000000-0010-0000-1A00-00000C000000}" name="10" dataDxfId="538"/>
    <tableColumn id="13" xr3:uid="{00000000-0010-0000-1A00-00000D000000}" name="11" dataDxfId="537"/>
    <tableColumn id="14" xr3:uid="{00000000-0010-0000-1A00-00000E000000}" name="12" dataDxfId="536"/>
    <tableColumn id="15" xr3:uid="{00000000-0010-0000-1A00-00000F000000}" name="13" dataDxfId="535"/>
    <tableColumn id="16" xr3:uid="{00000000-0010-0000-1A00-000010000000}" name="14" dataDxfId="534"/>
    <tableColumn id="17" xr3:uid="{00000000-0010-0000-1A00-000011000000}" name="15" dataDxfId="533"/>
    <tableColumn id="18" xr3:uid="{00000000-0010-0000-1A00-000012000000}" name="16" dataDxfId="532"/>
    <tableColumn id="19" xr3:uid="{00000000-0010-0000-1A00-000013000000}" name="17" dataDxfId="531"/>
    <tableColumn id="20" xr3:uid="{00000000-0010-0000-1A00-000014000000}" name="18" dataDxfId="530"/>
    <tableColumn id="21" xr3:uid="{00000000-0010-0000-1A00-000015000000}" name="Tot" dataDxfId="529">
      <calculatedColumnFormula>SUM(D51:U51)</calculatedColumnFormula>
    </tableColumn>
  </tableColumns>
  <tableStyleInfo name="TableStyleDark3" showFirstColumn="0" showLastColumn="0" showRowStripes="1" showColumnStripes="0"/>
</table>
</file>

<file path=xl/tables/table29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9" xr:uid="{00000000-000C-0000-FFFF-FFFF1B000000}" name="Tabell7141520" displayName="Tabell7141520" ref="B62:V72" totalsRowShown="0" headerRowDxfId="528" dataDxfId="526" headerRowBorderDxfId="527" tableBorderDxfId="525">
  <autoFilter ref="B62:V72" xr:uid="{00000000-0009-0000-0100-000013000000}"/>
  <tableColumns count="21">
    <tableColumn id="1" xr3:uid="{00000000-0010-0000-1B00-000001000000}" name="För" dataDxfId="524" dataCellStyle="Normal 2"/>
    <tableColumn id="2" xr3:uid="{00000000-0010-0000-1B00-000002000000}" name="Efter" dataDxfId="523" dataCellStyle="Normal 2"/>
    <tableColumn id="3" xr3:uid="{00000000-0010-0000-1B00-000003000000}" name="1" dataDxfId="522"/>
    <tableColumn id="4" xr3:uid="{00000000-0010-0000-1B00-000004000000}" name="2" dataDxfId="521"/>
    <tableColumn id="5" xr3:uid="{00000000-0010-0000-1B00-000005000000}" name="3" dataDxfId="520"/>
    <tableColumn id="6" xr3:uid="{00000000-0010-0000-1B00-000006000000}" name="4" dataDxfId="519"/>
    <tableColumn id="7" xr3:uid="{00000000-0010-0000-1B00-000007000000}" name="5" dataDxfId="518"/>
    <tableColumn id="8" xr3:uid="{00000000-0010-0000-1B00-000008000000}" name="6" dataDxfId="517"/>
    <tableColumn id="9" xr3:uid="{00000000-0010-0000-1B00-000009000000}" name="7" dataDxfId="516"/>
    <tableColumn id="10" xr3:uid="{00000000-0010-0000-1B00-00000A000000}" name="8" dataDxfId="515"/>
    <tableColumn id="11" xr3:uid="{00000000-0010-0000-1B00-00000B000000}" name="9" dataDxfId="514"/>
    <tableColumn id="12" xr3:uid="{00000000-0010-0000-1B00-00000C000000}" name="10" dataDxfId="513"/>
    <tableColumn id="13" xr3:uid="{00000000-0010-0000-1B00-00000D000000}" name="11" dataDxfId="512"/>
    <tableColumn id="14" xr3:uid="{00000000-0010-0000-1B00-00000E000000}" name="12" dataDxfId="511"/>
    <tableColumn id="15" xr3:uid="{00000000-0010-0000-1B00-00000F000000}" name="13" dataDxfId="510"/>
    <tableColumn id="16" xr3:uid="{00000000-0010-0000-1B00-000010000000}" name="14" dataDxfId="509"/>
    <tableColumn id="17" xr3:uid="{00000000-0010-0000-1B00-000011000000}" name="15" dataDxfId="508"/>
    <tableColumn id="18" xr3:uid="{00000000-0010-0000-1B00-000012000000}" name="16" dataDxfId="507"/>
    <tableColumn id="19" xr3:uid="{00000000-0010-0000-1B00-000013000000}" name="17" dataDxfId="506"/>
    <tableColumn id="20" xr3:uid="{00000000-0010-0000-1B00-000014000000}" name="18" dataDxfId="505"/>
    <tableColumn id="21" xr3:uid="{00000000-0010-0000-1B00-000015000000}" name="Tot" dataDxfId="504">
      <calculatedColumnFormula>SUM(D63:U63)</calculatedColumnFormula>
    </tableColumn>
  </tableColumns>
  <tableStyleInfo name="TableStyleDark3" showFirstColumn="0" showLastColumn="0" showRowStripes="1" showColumnStripes="0"/>
</table>
</file>

<file path=xl/tables/table30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0" xr:uid="{00000000-000C-0000-FFFF-FFFF1C000000}" name="Tabell714152021" displayName="Tabell714152021" ref="B74:V84" totalsRowShown="0" headerRowDxfId="503" dataDxfId="501" headerRowBorderDxfId="502" tableBorderDxfId="500">
  <autoFilter ref="B74:V84" xr:uid="{00000000-0009-0000-0100-000014000000}"/>
  <tableColumns count="21">
    <tableColumn id="1" xr3:uid="{00000000-0010-0000-1C00-000001000000}" name="För" dataDxfId="499" dataCellStyle="Normal 2"/>
    <tableColumn id="2" xr3:uid="{00000000-0010-0000-1C00-000002000000}" name="Efter" dataDxfId="498" dataCellStyle="Normal 2"/>
    <tableColumn id="3" xr3:uid="{00000000-0010-0000-1C00-000003000000}" name="1" dataDxfId="497"/>
    <tableColumn id="4" xr3:uid="{00000000-0010-0000-1C00-000004000000}" name="2" dataDxfId="496"/>
    <tableColumn id="5" xr3:uid="{00000000-0010-0000-1C00-000005000000}" name="3" dataDxfId="495"/>
    <tableColumn id="6" xr3:uid="{00000000-0010-0000-1C00-000006000000}" name="4" dataDxfId="494"/>
    <tableColumn id="7" xr3:uid="{00000000-0010-0000-1C00-000007000000}" name="5" dataDxfId="493"/>
    <tableColumn id="8" xr3:uid="{00000000-0010-0000-1C00-000008000000}" name="6" dataDxfId="492"/>
    <tableColumn id="9" xr3:uid="{00000000-0010-0000-1C00-000009000000}" name="7" dataDxfId="491"/>
    <tableColumn id="10" xr3:uid="{00000000-0010-0000-1C00-00000A000000}" name="8" dataDxfId="490"/>
    <tableColumn id="11" xr3:uid="{00000000-0010-0000-1C00-00000B000000}" name="9" dataDxfId="489"/>
    <tableColumn id="12" xr3:uid="{00000000-0010-0000-1C00-00000C000000}" name="10" dataDxfId="488"/>
    <tableColumn id="13" xr3:uid="{00000000-0010-0000-1C00-00000D000000}" name="11" dataDxfId="487"/>
    <tableColumn id="14" xr3:uid="{00000000-0010-0000-1C00-00000E000000}" name="12" dataDxfId="486"/>
    <tableColumn id="15" xr3:uid="{00000000-0010-0000-1C00-00000F000000}" name="13" dataDxfId="485"/>
    <tableColumn id="16" xr3:uid="{00000000-0010-0000-1C00-000010000000}" name="14" dataDxfId="484"/>
    <tableColumn id="17" xr3:uid="{00000000-0010-0000-1C00-000011000000}" name="15" dataDxfId="483"/>
    <tableColumn id="18" xr3:uid="{00000000-0010-0000-1C00-000012000000}" name="16" dataDxfId="482"/>
    <tableColumn id="19" xr3:uid="{00000000-0010-0000-1C00-000013000000}" name="17" dataDxfId="481"/>
    <tableColumn id="20" xr3:uid="{00000000-0010-0000-1C00-000014000000}" name="18" dataDxfId="480"/>
    <tableColumn id="21" xr3:uid="{00000000-0010-0000-1C00-000015000000}" name="Tot" dataDxfId="479">
      <calculatedColumnFormula>SUM(D75:U75)</calculatedColumnFormula>
    </tableColumn>
  </tableColumns>
  <tableStyleInfo name="TableStyleDark3" showFirstColumn="0" showLastColumn="0" showRowStripes="1" showColumnStripes="0"/>
</table>
</file>

<file path=xl/tables/table3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3" xr:uid="{00000000-000C-0000-FFFF-FFFF1D000000}" name="Tabell71415202134" displayName="Tabell71415202134" ref="B86:V96" totalsRowShown="0" headerRowDxfId="478" dataDxfId="476" headerRowBorderDxfId="477" tableBorderDxfId="475">
  <autoFilter ref="B86:V96" xr:uid="{00000000-0009-0000-0100-000021000000}"/>
  <tableColumns count="21">
    <tableColumn id="1" xr3:uid="{00000000-0010-0000-1D00-000001000000}" name="För" dataDxfId="474" dataCellStyle="Normal 2"/>
    <tableColumn id="2" xr3:uid="{00000000-0010-0000-1D00-000002000000}" name="Efter" dataDxfId="473" dataCellStyle="Normal 2"/>
    <tableColumn id="3" xr3:uid="{00000000-0010-0000-1D00-000003000000}" name="1" dataDxfId="472"/>
    <tableColumn id="4" xr3:uid="{00000000-0010-0000-1D00-000004000000}" name="2" dataDxfId="471"/>
    <tableColumn id="5" xr3:uid="{00000000-0010-0000-1D00-000005000000}" name="3" dataDxfId="470"/>
    <tableColumn id="6" xr3:uid="{00000000-0010-0000-1D00-000006000000}" name="4" dataDxfId="469"/>
    <tableColumn id="7" xr3:uid="{00000000-0010-0000-1D00-000007000000}" name="5" dataDxfId="468"/>
    <tableColumn id="8" xr3:uid="{00000000-0010-0000-1D00-000008000000}" name="6" dataDxfId="467"/>
    <tableColumn id="9" xr3:uid="{00000000-0010-0000-1D00-000009000000}" name="7" dataDxfId="466"/>
    <tableColumn id="10" xr3:uid="{00000000-0010-0000-1D00-00000A000000}" name="8" dataDxfId="465"/>
    <tableColumn id="11" xr3:uid="{00000000-0010-0000-1D00-00000B000000}" name="9" dataDxfId="464"/>
    <tableColumn id="12" xr3:uid="{00000000-0010-0000-1D00-00000C000000}" name="10" dataDxfId="463"/>
    <tableColumn id="13" xr3:uid="{00000000-0010-0000-1D00-00000D000000}" name="11" dataDxfId="462"/>
    <tableColumn id="14" xr3:uid="{00000000-0010-0000-1D00-00000E000000}" name="12" dataDxfId="461"/>
    <tableColumn id="15" xr3:uid="{00000000-0010-0000-1D00-00000F000000}" name="13" dataDxfId="460"/>
    <tableColumn id="16" xr3:uid="{00000000-0010-0000-1D00-000010000000}" name="14" dataDxfId="459"/>
    <tableColumn id="17" xr3:uid="{00000000-0010-0000-1D00-000011000000}" name="15" dataDxfId="458"/>
    <tableColumn id="18" xr3:uid="{00000000-0010-0000-1D00-000012000000}" name="16" dataDxfId="457"/>
    <tableColumn id="19" xr3:uid="{00000000-0010-0000-1D00-000013000000}" name="17" dataDxfId="456"/>
    <tableColumn id="20" xr3:uid="{00000000-0010-0000-1D00-000014000000}" name="18" dataDxfId="455"/>
    <tableColumn id="21" xr3:uid="{00000000-0010-0000-1D00-000015000000}" name="Tot" dataDxfId="454">
      <calculatedColumnFormula>SUM(D87:U87)</calculatedColumnFormula>
    </tableColumn>
  </tableColumns>
  <tableStyleInfo name="TableStyleDark3" showFirstColumn="0" showLastColumn="0" showRowStripes="1" showColumnStripes="0"/>
</table>
</file>

<file path=xl/tables/table3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4" xr:uid="{00000000-000C-0000-FFFF-FFFF1E000000}" name="Tabell7141520213435" displayName="Tabell7141520213435" ref="B98:V108" totalsRowShown="0" headerRowDxfId="453" dataDxfId="451" headerRowBorderDxfId="452" tableBorderDxfId="450">
  <autoFilter ref="B98:V108" xr:uid="{00000000-0009-0000-0100-000022000000}"/>
  <tableColumns count="21">
    <tableColumn id="1" xr3:uid="{00000000-0010-0000-1E00-000001000000}" name="För" dataDxfId="449" dataCellStyle="Normal 2"/>
    <tableColumn id="2" xr3:uid="{00000000-0010-0000-1E00-000002000000}" name="Efter" dataDxfId="448" dataCellStyle="Normal 2"/>
    <tableColumn id="3" xr3:uid="{00000000-0010-0000-1E00-000003000000}" name="1" dataDxfId="447"/>
    <tableColumn id="4" xr3:uid="{00000000-0010-0000-1E00-000004000000}" name="2" dataDxfId="446"/>
    <tableColumn id="5" xr3:uid="{00000000-0010-0000-1E00-000005000000}" name="3" dataDxfId="445"/>
    <tableColumn id="6" xr3:uid="{00000000-0010-0000-1E00-000006000000}" name="4" dataDxfId="444"/>
    <tableColumn id="7" xr3:uid="{00000000-0010-0000-1E00-000007000000}" name="5" dataDxfId="443"/>
    <tableColumn id="8" xr3:uid="{00000000-0010-0000-1E00-000008000000}" name="6" dataDxfId="442"/>
    <tableColumn id="9" xr3:uid="{00000000-0010-0000-1E00-000009000000}" name="7" dataDxfId="441"/>
    <tableColumn id="10" xr3:uid="{00000000-0010-0000-1E00-00000A000000}" name="8" dataDxfId="440"/>
    <tableColumn id="11" xr3:uid="{00000000-0010-0000-1E00-00000B000000}" name="9" dataDxfId="439"/>
    <tableColumn id="12" xr3:uid="{00000000-0010-0000-1E00-00000C000000}" name="10" dataDxfId="438"/>
    <tableColumn id="13" xr3:uid="{00000000-0010-0000-1E00-00000D000000}" name="11" dataDxfId="437"/>
    <tableColumn id="14" xr3:uid="{00000000-0010-0000-1E00-00000E000000}" name="12" dataDxfId="436"/>
    <tableColumn id="15" xr3:uid="{00000000-0010-0000-1E00-00000F000000}" name="13" dataDxfId="435"/>
    <tableColumn id="16" xr3:uid="{00000000-0010-0000-1E00-000010000000}" name="14" dataDxfId="434"/>
    <tableColumn id="17" xr3:uid="{00000000-0010-0000-1E00-000011000000}" name="15" dataDxfId="433"/>
    <tableColumn id="18" xr3:uid="{00000000-0010-0000-1E00-000012000000}" name="16" dataDxfId="432"/>
    <tableColumn id="19" xr3:uid="{00000000-0010-0000-1E00-000013000000}" name="17" dataDxfId="431"/>
    <tableColumn id="20" xr3:uid="{00000000-0010-0000-1E00-000014000000}" name="18" dataDxfId="430"/>
    <tableColumn id="21" xr3:uid="{00000000-0010-0000-1E00-000015000000}" name="Tot" dataDxfId="429">
      <calculatedColumnFormula>SUM(D99:U99)</calculatedColumnFormula>
    </tableColumn>
  </tableColumns>
  <tableStyleInfo name="TableStyleDark3" showFirstColumn="0" showLastColumn="0" showRowStripes="1" showColumnStripes="0"/>
</table>
</file>

<file path=xl/tables/table3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5" xr:uid="{00000000-000C-0000-FFFF-FFFF1F000000}" name="Tabell714152021343536" displayName="Tabell714152021343536" ref="B110:V120" totalsRowShown="0" headerRowDxfId="428" dataDxfId="426" headerRowBorderDxfId="427" tableBorderDxfId="425">
  <autoFilter ref="B110:V120" xr:uid="{00000000-0009-0000-0100-000023000000}"/>
  <tableColumns count="21">
    <tableColumn id="1" xr3:uid="{00000000-0010-0000-1F00-000001000000}" name="För" dataDxfId="424" dataCellStyle="Normal 2"/>
    <tableColumn id="2" xr3:uid="{00000000-0010-0000-1F00-000002000000}" name="Efter" dataDxfId="423" dataCellStyle="Normal 2"/>
    <tableColumn id="3" xr3:uid="{00000000-0010-0000-1F00-000003000000}" name="1" dataDxfId="422"/>
    <tableColumn id="4" xr3:uid="{00000000-0010-0000-1F00-000004000000}" name="2" dataDxfId="421"/>
    <tableColumn id="5" xr3:uid="{00000000-0010-0000-1F00-000005000000}" name="3" dataDxfId="420"/>
    <tableColumn id="6" xr3:uid="{00000000-0010-0000-1F00-000006000000}" name="4" dataDxfId="419"/>
    <tableColumn id="7" xr3:uid="{00000000-0010-0000-1F00-000007000000}" name="5" dataDxfId="418"/>
    <tableColumn id="8" xr3:uid="{00000000-0010-0000-1F00-000008000000}" name="6" dataDxfId="417"/>
    <tableColumn id="9" xr3:uid="{00000000-0010-0000-1F00-000009000000}" name="7" dataDxfId="416"/>
    <tableColumn id="10" xr3:uid="{00000000-0010-0000-1F00-00000A000000}" name="8" dataDxfId="415"/>
    <tableColumn id="11" xr3:uid="{00000000-0010-0000-1F00-00000B000000}" name="9" dataDxfId="414"/>
    <tableColumn id="12" xr3:uid="{00000000-0010-0000-1F00-00000C000000}" name="10" dataDxfId="413"/>
    <tableColumn id="13" xr3:uid="{00000000-0010-0000-1F00-00000D000000}" name="11" dataDxfId="412"/>
    <tableColumn id="14" xr3:uid="{00000000-0010-0000-1F00-00000E000000}" name="12" dataDxfId="411"/>
    <tableColumn id="15" xr3:uid="{00000000-0010-0000-1F00-00000F000000}" name="13" dataDxfId="410"/>
    <tableColumn id="16" xr3:uid="{00000000-0010-0000-1F00-000010000000}" name="14" dataDxfId="409"/>
    <tableColumn id="17" xr3:uid="{00000000-0010-0000-1F00-000011000000}" name="15" dataDxfId="408"/>
    <tableColumn id="18" xr3:uid="{00000000-0010-0000-1F00-000012000000}" name="16" dataDxfId="407"/>
    <tableColumn id="19" xr3:uid="{00000000-0010-0000-1F00-000013000000}" name="17" dataDxfId="406"/>
    <tableColumn id="20" xr3:uid="{00000000-0010-0000-1F00-000014000000}" name="18" dataDxfId="405"/>
    <tableColumn id="21" xr3:uid="{00000000-0010-0000-1F00-000015000000}" name="Tot" dataDxfId="404">
      <calculatedColumnFormula>SUM(D111:U111)</calculatedColumnFormula>
    </tableColumn>
  </tableColumns>
  <tableStyleInfo name="TableStyleDark3" showFirstColumn="0" showLastColumn="0" showRowStripes="1" showColumnStripes="0"/>
</table>
</file>

<file path=xl/tables/table34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6" xr:uid="{00000000-000C-0000-FFFF-FFFF20000000}" name="Tabell71415202134353637" displayName="Tabell71415202134353637" ref="B122:V132" totalsRowShown="0" headerRowDxfId="403" dataDxfId="401" headerRowBorderDxfId="402" tableBorderDxfId="400">
  <autoFilter ref="B122:V132" xr:uid="{00000000-0009-0000-0100-000024000000}"/>
  <tableColumns count="21">
    <tableColumn id="1" xr3:uid="{00000000-0010-0000-2000-000001000000}" name="För" dataDxfId="399" dataCellStyle="Normal 2"/>
    <tableColumn id="2" xr3:uid="{00000000-0010-0000-2000-000002000000}" name="Efter" dataDxfId="398" dataCellStyle="Normal 2"/>
    <tableColumn id="3" xr3:uid="{00000000-0010-0000-2000-000003000000}" name="1" dataDxfId="397"/>
    <tableColumn id="4" xr3:uid="{00000000-0010-0000-2000-000004000000}" name="2" dataDxfId="396"/>
    <tableColumn id="5" xr3:uid="{00000000-0010-0000-2000-000005000000}" name="3" dataDxfId="395"/>
    <tableColumn id="6" xr3:uid="{00000000-0010-0000-2000-000006000000}" name="4" dataDxfId="394"/>
    <tableColumn id="7" xr3:uid="{00000000-0010-0000-2000-000007000000}" name="5" dataDxfId="393"/>
    <tableColumn id="8" xr3:uid="{00000000-0010-0000-2000-000008000000}" name="6" dataDxfId="392"/>
    <tableColumn id="9" xr3:uid="{00000000-0010-0000-2000-000009000000}" name="7" dataDxfId="391"/>
    <tableColumn id="10" xr3:uid="{00000000-0010-0000-2000-00000A000000}" name="8" dataDxfId="390"/>
    <tableColumn id="11" xr3:uid="{00000000-0010-0000-2000-00000B000000}" name="9" dataDxfId="389"/>
    <tableColumn id="12" xr3:uid="{00000000-0010-0000-2000-00000C000000}" name="10" dataDxfId="388"/>
    <tableColumn id="13" xr3:uid="{00000000-0010-0000-2000-00000D000000}" name="11" dataDxfId="387"/>
    <tableColumn id="14" xr3:uid="{00000000-0010-0000-2000-00000E000000}" name="12" dataDxfId="386"/>
    <tableColumn id="15" xr3:uid="{00000000-0010-0000-2000-00000F000000}" name="13" dataDxfId="385"/>
    <tableColumn id="16" xr3:uid="{00000000-0010-0000-2000-000010000000}" name="14" dataDxfId="384"/>
    <tableColumn id="17" xr3:uid="{00000000-0010-0000-2000-000011000000}" name="15" dataDxfId="383"/>
    <tableColumn id="18" xr3:uid="{00000000-0010-0000-2000-000012000000}" name="16" dataDxfId="382"/>
    <tableColumn id="19" xr3:uid="{00000000-0010-0000-2000-000013000000}" name="17" dataDxfId="381"/>
    <tableColumn id="20" xr3:uid="{00000000-0010-0000-2000-000014000000}" name="18" dataDxfId="380"/>
    <tableColumn id="21" xr3:uid="{00000000-0010-0000-2000-000015000000}" name="Tot" dataDxfId="379">
      <calculatedColumnFormula>SUM(D123:U123)</calculatedColumnFormula>
    </tableColumn>
  </tableColumns>
  <tableStyleInfo name="TableStyleDark3" showFirstColumn="0" showLastColumn="0" showRowStripes="1" showColumnStripes="0"/>
</table>
</file>

<file path=xl/tables/table35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7" xr:uid="{00000000-000C-0000-FFFF-FFFF21000000}" name="Tabell7141520213435363738" displayName="Tabell7141520213435363738" ref="B134:V145" totalsRowShown="0" headerRowDxfId="378" dataDxfId="376" headerRowBorderDxfId="377" tableBorderDxfId="375">
  <autoFilter ref="B134:V145" xr:uid="{00000000-0009-0000-0100-000025000000}"/>
  <tableColumns count="21">
    <tableColumn id="1" xr3:uid="{00000000-0010-0000-2100-000001000000}" name="För" dataDxfId="374" dataCellStyle="Normal 2"/>
    <tableColumn id="2" xr3:uid="{00000000-0010-0000-2100-000002000000}" name="Efter" dataDxfId="373" dataCellStyle="Normal 2"/>
    <tableColumn id="3" xr3:uid="{00000000-0010-0000-2100-000003000000}" name="1" dataDxfId="372"/>
    <tableColumn id="4" xr3:uid="{00000000-0010-0000-2100-000004000000}" name="2" dataDxfId="371"/>
    <tableColumn id="5" xr3:uid="{00000000-0010-0000-2100-000005000000}" name="3" dataDxfId="370"/>
    <tableColumn id="6" xr3:uid="{00000000-0010-0000-2100-000006000000}" name="4" dataDxfId="369"/>
    <tableColumn id="7" xr3:uid="{00000000-0010-0000-2100-000007000000}" name="5" dataDxfId="368"/>
    <tableColumn id="8" xr3:uid="{00000000-0010-0000-2100-000008000000}" name="6" dataDxfId="367"/>
    <tableColumn id="9" xr3:uid="{00000000-0010-0000-2100-000009000000}" name="7" dataDxfId="366"/>
    <tableColumn id="10" xr3:uid="{00000000-0010-0000-2100-00000A000000}" name="8" dataDxfId="365"/>
    <tableColumn id="11" xr3:uid="{00000000-0010-0000-2100-00000B000000}" name="9" dataDxfId="364"/>
    <tableColumn id="12" xr3:uid="{00000000-0010-0000-2100-00000C000000}" name="10" dataDxfId="363"/>
    <tableColumn id="13" xr3:uid="{00000000-0010-0000-2100-00000D000000}" name="11" dataDxfId="362"/>
    <tableColumn id="14" xr3:uid="{00000000-0010-0000-2100-00000E000000}" name="12" dataDxfId="361"/>
    <tableColumn id="15" xr3:uid="{00000000-0010-0000-2100-00000F000000}" name="13" dataDxfId="360"/>
    <tableColumn id="16" xr3:uid="{00000000-0010-0000-2100-000010000000}" name="14" dataDxfId="359"/>
    <tableColumn id="17" xr3:uid="{00000000-0010-0000-2100-000011000000}" name="15" dataDxfId="358"/>
    <tableColumn id="18" xr3:uid="{00000000-0010-0000-2100-000012000000}" name="16" dataDxfId="357"/>
    <tableColumn id="19" xr3:uid="{00000000-0010-0000-2100-000013000000}" name="17" dataDxfId="356"/>
    <tableColumn id="20" xr3:uid="{00000000-0010-0000-2100-000014000000}" name="18" dataDxfId="355"/>
    <tableColumn id="21" xr3:uid="{00000000-0010-0000-2100-000015000000}" name="Tot" dataDxfId="354">
      <calculatedColumnFormula>SUM(D135:U135)</calculatedColumnFormula>
    </tableColumn>
  </tableColumns>
  <tableStyleInfo name="TableStyleDark3" showFirstColumn="0" showLastColumn="0" showRowStripes="1" showColumnStripes="0"/>
</table>
</file>

<file path=xl/tables/table36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8" xr:uid="{00000000-000C-0000-FFFF-FFFF22000000}" name="Tabell714152021343536373839" displayName="Tabell714152021343536373839" ref="B146:V156" totalsRowShown="0" headerRowDxfId="353" dataDxfId="351" headerRowBorderDxfId="352" tableBorderDxfId="350">
  <autoFilter ref="B146:V156" xr:uid="{00000000-0009-0000-0100-000026000000}"/>
  <tableColumns count="21">
    <tableColumn id="1" xr3:uid="{00000000-0010-0000-2200-000001000000}" name="För" dataDxfId="349" dataCellStyle="Normal 2"/>
    <tableColumn id="2" xr3:uid="{00000000-0010-0000-2200-000002000000}" name="Efter" dataDxfId="348" dataCellStyle="Normal 2"/>
    <tableColumn id="3" xr3:uid="{00000000-0010-0000-2200-000003000000}" name="1" dataDxfId="347"/>
    <tableColumn id="4" xr3:uid="{00000000-0010-0000-2200-000004000000}" name="2" dataDxfId="346"/>
    <tableColumn id="5" xr3:uid="{00000000-0010-0000-2200-000005000000}" name="3" dataDxfId="345"/>
    <tableColumn id="6" xr3:uid="{00000000-0010-0000-2200-000006000000}" name="4" dataDxfId="344"/>
    <tableColumn id="7" xr3:uid="{00000000-0010-0000-2200-000007000000}" name="5" dataDxfId="343"/>
    <tableColumn id="8" xr3:uid="{00000000-0010-0000-2200-000008000000}" name="6" dataDxfId="342"/>
    <tableColumn id="9" xr3:uid="{00000000-0010-0000-2200-000009000000}" name="7" dataDxfId="341"/>
    <tableColumn id="10" xr3:uid="{00000000-0010-0000-2200-00000A000000}" name="8" dataDxfId="340"/>
    <tableColumn id="11" xr3:uid="{00000000-0010-0000-2200-00000B000000}" name="9" dataDxfId="339"/>
    <tableColumn id="12" xr3:uid="{00000000-0010-0000-2200-00000C000000}" name="10" dataDxfId="338"/>
    <tableColumn id="13" xr3:uid="{00000000-0010-0000-2200-00000D000000}" name="11" dataDxfId="337"/>
    <tableColumn id="14" xr3:uid="{00000000-0010-0000-2200-00000E000000}" name="12" dataDxfId="336"/>
    <tableColumn id="15" xr3:uid="{00000000-0010-0000-2200-00000F000000}" name="13" dataDxfId="335"/>
    <tableColumn id="16" xr3:uid="{00000000-0010-0000-2200-000010000000}" name="14" dataDxfId="334"/>
    <tableColumn id="17" xr3:uid="{00000000-0010-0000-2200-000011000000}" name="15" dataDxfId="333"/>
    <tableColumn id="18" xr3:uid="{00000000-0010-0000-2200-000012000000}" name="16" dataDxfId="332"/>
    <tableColumn id="19" xr3:uid="{00000000-0010-0000-2200-000013000000}" name="17" dataDxfId="331"/>
    <tableColumn id="20" xr3:uid="{00000000-0010-0000-2200-000014000000}" name="18" dataDxfId="330"/>
    <tableColumn id="21" xr3:uid="{00000000-0010-0000-2200-000015000000}" name="Tot" dataDxfId="329">
      <calculatedColumnFormula>SUM(D147:U147)</calculatedColumnFormula>
    </tableColumn>
  </tableColumns>
  <tableStyleInfo name="TableStyleDark3" showFirstColumn="0" showLastColumn="0" showRowStripes="1" showColumnStripes="0"/>
</table>
</file>

<file path=xl/tables/table37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9" xr:uid="{00000000-000C-0000-FFFF-FFFF23000000}" name="Tabell71415202134353637383940" displayName="Tabell71415202134353637383940" ref="B158:V168" totalsRowShown="0" headerRowDxfId="328" dataDxfId="326" headerRowBorderDxfId="327" tableBorderDxfId="325">
  <autoFilter ref="B158:V168" xr:uid="{00000000-0009-0000-0100-000027000000}"/>
  <tableColumns count="21">
    <tableColumn id="1" xr3:uid="{00000000-0010-0000-2300-000001000000}" name="För" dataDxfId="324" dataCellStyle="Normal 2"/>
    <tableColumn id="2" xr3:uid="{00000000-0010-0000-2300-000002000000}" name="Efter" dataDxfId="323" dataCellStyle="Normal 2"/>
    <tableColumn id="3" xr3:uid="{00000000-0010-0000-2300-000003000000}" name="1" dataDxfId="322"/>
    <tableColumn id="4" xr3:uid="{00000000-0010-0000-2300-000004000000}" name="2" dataDxfId="321"/>
    <tableColumn id="5" xr3:uid="{00000000-0010-0000-2300-000005000000}" name="3" dataDxfId="320"/>
    <tableColumn id="6" xr3:uid="{00000000-0010-0000-2300-000006000000}" name="4" dataDxfId="319"/>
    <tableColumn id="7" xr3:uid="{00000000-0010-0000-2300-000007000000}" name="5" dataDxfId="318"/>
    <tableColumn id="8" xr3:uid="{00000000-0010-0000-2300-000008000000}" name="6" dataDxfId="317"/>
    <tableColumn id="9" xr3:uid="{00000000-0010-0000-2300-000009000000}" name="7" dataDxfId="316"/>
    <tableColumn id="10" xr3:uid="{00000000-0010-0000-2300-00000A000000}" name="8" dataDxfId="315"/>
    <tableColumn id="11" xr3:uid="{00000000-0010-0000-2300-00000B000000}" name="9" dataDxfId="314"/>
    <tableColumn id="12" xr3:uid="{00000000-0010-0000-2300-00000C000000}" name="10" dataDxfId="313"/>
    <tableColumn id="13" xr3:uid="{00000000-0010-0000-2300-00000D000000}" name="11" dataDxfId="312"/>
    <tableColumn id="14" xr3:uid="{00000000-0010-0000-2300-00000E000000}" name="12" dataDxfId="311"/>
    <tableColumn id="15" xr3:uid="{00000000-0010-0000-2300-00000F000000}" name="13" dataDxfId="310"/>
    <tableColumn id="16" xr3:uid="{00000000-0010-0000-2300-000010000000}" name="14" dataDxfId="309"/>
    <tableColumn id="17" xr3:uid="{00000000-0010-0000-2300-000011000000}" name="15" dataDxfId="308"/>
    <tableColumn id="18" xr3:uid="{00000000-0010-0000-2300-000012000000}" name="16" dataDxfId="307"/>
    <tableColumn id="19" xr3:uid="{00000000-0010-0000-2300-000013000000}" name="17" dataDxfId="306"/>
    <tableColumn id="20" xr3:uid="{00000000-0010-0000-2300-000014000000}" name="18" dataDxfId="305"/>
    <tableColumn id="21" xr3:uid="{00000000-0010-0000-2300-000015000000}" name="Tot" dataDxfId="304">
      <calculatedColumnFormula>SUM(D159:U159)</calculatedColumnFormula>
    </tableColumn>
  </tableColumns>
  <tableStyleInfo name="TableStyleDark3" showFirstColumn="0" showLastColumn="0" showRowStripes="1" showColumnStripes="0"/>
</table>
</file>

<file path=xl/tables/table38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0" xr:uid="{00000000-000C-0000-FFFF-FFFF24000000}" name="Tabell7141520213435363738394041" displayName="Tabell7141520213435363738394041" ref="B170:V180" totalsRowShown="0" headerRowDxfId="303" dataDxfId="301" headerRowBorderDxfId="302" tableBorderDxfId="300">
  <autoFilter ref="B170:V180" xr:uid="{00000000-0009-0000-0100-000028000000}"/>
  <tableColumns count="21">
    <tableColumn id="1" xr3:uid="{00000000-0010-0000-2400-000001000000}" name="För" dataDxfId="299" dataCellStyle="Normal 2"/>
    <tableColumn id="2" xr3:uid="{00000000-0010-0000-2400-000002000000}" name="Efter" dataDxfId="298" dataCellStyle="Normal 2"/>
    <tableColumn id="3" xr3:uid="{00000000-0010-0000-2400-000003000000}" name="1" dataDxfId="297"/>
    <tableColumn id="4" xr3:uid="{00000000-0010-0000-2400-000004000000}" name="2" dataDxfId="296"/>
    <tableColumn id="5" xr3:uid="{00000000-0010-0000-2400-000005000000}" name="3" dataDxfId="295"/>
    <tableColumn id="6" xr3:uid="{00000000-0010-0000-2400-000006000000}" name="4" dataDxfId="294"/>
    <tableColumn id="7" xr3:uid="{00000000-0010-0000-2400-000007000000}" name="5" dataDxfId="293"/>
    <tableColumn id="8" xr3:uid="{00000000-0010-0000-2400-000008000000}" name="6" dataDxfId="292"/>
    <tableColumn id="9" xr3:uid="{00000000-0010-0000-2400-000009000000}" name="7" dataDxfId="291"/>
    <tableColumn id="10" xr3:uid="{00000000-0010-0000-2400-00000A000000}" name="8" dataDxfId="290"/>
    <tableColumn id="11" xr3:uid="{00000000-0010-0000-2400-00000B000000}" name="9" dataDxfId="289"/>
    <tableColumn id="12" xr3:uid="{00000000-0010-0000-2400-00000C000000}" name="10" dataDxfId="288"/>
    <tableColumn id="13" xr3:uid="{00000000-0010-0000-2400-00000D000000}" name="11" dataDxfId="287"/>
    <tableColumn id="14" xr3:uid="{00000000-0010-0000-2400-00000E000000}" name="12" dataDxfId="286"/>
    <tableColumn id="15" xr3:uid="{00000000-0010-0000-2400-00000F000000}" name="13" dataDxfId="285"/>
    <tableColumn id="16" xr3:uid="{00000000-0010-0000-2400-000010000000}" name="14" dataDxfId="284"/>
    <tableColumn id="17" xr3:uid="{00000000-0010-0000-2400-000011000000}" name="15" dataDxfId="283"/>
    <tableColumn id="18" xr3:uid="{00000000-0010-0000-2400-000012000000}" name="16" dataDxfId="282"/>
    <tableColumn id="19" xr3:uid="{00000000-0010-0000-2400-000013000000}" name="17" dataDxfId="281"/>
    <tableColumn id="20" xr3:uid="{00000000-0010-0000-2400-000014000000}" name="18" dataDxfId="280"/>
    <tableColumn id="21" xr3:uid="{00000000-0010-0000-2400-000015000000}" name="Tot" dataDxfId="279">
      <calculatedColumnFormula>SUM(D171:U171)</calculatedColumnFormula>
    </tableColumn>
  </tableColumns>
  <tableStyleInfo name="TableStyleDark3" showFirstColumn="0" showLastColumn="0" showRowStripes="1" showColumnStripes="0"/>
</table>
</file>

<file path=xl/tables/table39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1" xr:uid="{00000000-000C-0000-FFFF-FFFF25000000}" name="Tabell714152021343536373839404142" displayName="Tabell714152021343536373839404142" ref="B182:V192" totalsRowShown="0" headerRowDxfId="278" dataDxfId="276" headerRowBorderDxfId="277" tableBorderDxfId="275">
  <autoFilter ref="B182:V192" xr:uid="{00000000-0009-0000-0100-000029000000}"/>
  <tableColumns count="21">
    <tableColumn id="1" xr3:uid="{00000000-0010-0000-2500-000001000000}" name="För" dataDxfId="274" dataCellStyle="Normal 2"/>
    <tableColumn id="2" xr3:uid="{00000000-0010-0000-2500-000002000000}" name="Efter" dataDxfId="273" dataCellStyle="Normal 2"/>
    <tableColumn id="3" xr3:uid="{00000000-0010-0000-2500-000003000000}" name="1" dataDxfId="272"/>
    <tableColumn id="4" xr3:uid="{00000000-0010-0000-2500-000004000000}" name="2" dataDxfId="271"/>
    <tableColumn id="5" xr3:uid="{00000000-0010-0000-2500-000005000000}" name="3" dataDxfId="270"/>
    <tableColumn id="6" xr3:uid="{00000000-0010-0000-2500-000006000000}" name="4" dataDxfId="269"/>
    <tableColumn id="7" xr3:uid="{00000000-0010-0000-2500-000007000000}" name="5" dataDxfId="268"/>
    <tableColumn id="8" xr3:uid="{00000000-0010-0000-2500-000008000000}" name="6" dataDxfId="267"/>
    <tableColumn id="9" xr3:uid="{00000000-0010-0000-2500-000009000000}" name="7" dataDxfId="266"/>
    <tableColumn id="10" xr3:uid="{00000000-0010-0000-2500-00000A000000}" name="8" dataDxfId="265"/>
    <tableColumn id="11" xr3:uid="{00000000-0010-0000-2500-00000B000000}" name="9" dataDxfId="264"/>
    <tableColumn id="12" xr3:uid="{00000000-0010-0000-2500-00000C000000}" name="10" dataDxfId="263"/>
    <tableColumn id="13" xr3:uid="{00000000-0010-0000-2500-00000D000000}" name="11" dataDxfId="262"/>
    <tableColumn id="14" xr3:uid="{00000000-0010-0000-2500-00000E000000}" name="12" dataDxfId="261"/>
    <tableColumn id="15" xr3:uid="{00000000-0010-0000-2500-00000F000000}" name="13" dataDxfId="260"/>
    <tableColumn id="16" xr3:uid="{00000000-0010-0000-2500-000010000000}" name="14" dataDxfId="259"/>
    <tableColumn id="17" xr3:uid="{00000000-0010-0000-2500-000011000000}" name="15" dataDxfId="258"/>
    <tableColumn id="18" xr3:uid="{00000000-0010-0000-2500-000012000000}" name="16" dataDxfId="257"/>
    <tableColumn id="19" xr3:uid="{00000000-0010-0000-2500-000013000000}" name="17" dataDxfId="256"/>
    <tableColumn id="20" xr3:uid="{00000000-0010-0000-2500-000014000000}" name="18" dataDxfId="255"/>
    <tableColumn id="21" xr3:uid="{00000000-0010-0000-2500-000015000000}" name="Tot" dataDxfId="254">
      <calculatedColumnFormula>SUM(D183:U183)</calculatedColumnFormula>
    </tableColumn>
  </tableColumns>
  <tableStyleInfo name="TableStyleDark3" showFirstColumn="0" showLastColumn="0" showRowStripes="1" showColumnStripes="0"/>
</table>
</file>

<file path=xl/tables/table40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2" xr:uid="{00000000-000C-0000-FFFF-FFFF26000000}" name="Tabell42" displayName="Tabell42" ref="X4:X22" totalsRowCount="1" headerRowDxfId="253" dataDxfId="251" totalsRowDxfId="249" headerRowBorderDxfId="252" tableBorderDxfId="250" totalsRowBorderDxfId="248">
  <autoFilter ref="X4:X21" xr:uid="{00000000-0009-0000-0100-00002A000000}"/>
  <tableColumns count="1">
    <tableColumn id="1" xr3:uid="{00000000-0010-0000-2600-000001000000}" name="Score" totalsRowFunction="custom" dataDxfId="247" totalsRowDxfId="246">
      <calculatedColumnFormula>72-Tabell5[[#This Row],[Tot]]</calculatedColumnFormula>
      <totalsRowFormula>AVERAGE(Tabell42[Score])</totalsRowFormula>
    </tableColumn>
  </tableColumns>
  <tableStyleInfo name="TableStyleDark7" showFirstColumn="0" showLastColumn="0" showRowStripes="1" showColumnStripes="0"/>
</table>
</file>

<file path=xl/tables/table4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3" xr:uid="{00000000-000C-0000-FFFF-FFFF27000000}" name="Tabell43" displayName="Tabell43" ref="X25:X35" totalsRowShown="0" headerRowDxfId="245" dataDxfId="243" headerRowBorderDxfId="244" tableBorderDxfId="242" totalsRowBorderDxfId="241">
  <autoFilter ref="X25:X35" xr:uid="{00000000-0009-0000-0100-00002B000000}"/>
  <tableColumns count="1">
    <tableColumn id="1" xr3:uid="{00000000-0010-0000-2700-000001000000}" name="Score" dataDxfId="240">
      <calculatedColumnFormula>70+Tabell7[[#This Row],[Tot]]</calculatedColumnFormula>
    </tableColumn>
  </tableColumns>
  <tableStyleInfo name="TableStyleDark3" showFirstColumn="0" showLastColumn="0" showRowStripes="1" showColumnStripes="0"/>
</table>
</file>

<file path=xl/tables/table4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4" xr:uid="{00000000-000C-0000-FFFF-FFFF28000000}" name="Tabell4345" displayName="Tabell4345" ref="X37:X47" totalsRowShown="0" headerRowDxfId="239" dataDxfId="237" headerRowBorderDxfId="238" tableBorderDxfId="236" totalsRowBorderDxfId="235">
  <autoFilter ref="X37:X47" xr:uid="{00000000-0009-0000-0100-00002C000000}"/>
  <tableColumns count="1">
    <tableColumn id="1" xr3:uid="{00000000-0010-0000-2800-000001000000}" name="Score" dataDxfId="234">
      <calculatedColumnFormula>70+Tabell714[[#This Row],[Tot]]</calculatedColumnFormula>
    </tableColumn>
  </tableColumns>
  <tableStyleInfo name="TableStyleDark3" showFirstColumn="0" showLastColumn="0" showRowStripes="1" showColumnStripes="0"/>
</table>
</file>

<file path=xl/tables/table4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6" xr:uid="{00000000-000C-0000-FFFF-FFFF29000000}" name="Tabell43454647" displayName="Tabell43454647" ref="X62:X72" totalsRowShown="0" headerRowDxfId="233" dataDxfId="231" headerRowBorderDxfId="232" tableBorderDxfId="230" totalsRowBorderDxfId="229">
  <autoFilter ref="X62:X72" xr:uid="{00000000-0009-0000-0100-00002E000000}"/>
  <tableColumns count="1">
    <tableColumn id="1" xr3:uid="{00000000-0010-0000-2900-000001000000}" name="Score" dataDxfId="228"/>
  </tableColumns>
  <tableStyleInfo name="TableStyleDark3" showFirstColumn="0" showLastColumn="0" showRowStripes="1" showColumnStripes="0"/>
</table>
</file>

<file path=xl/tables/table44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7" xr:uid="{00000000-000C-0000-FFFF-FFFF2A000000}" name="Tabell43454648" displayName="Tabell43454648" ref="X74:X84" totalsRowShown="0" headerRowDxfId="227" dataDxfId="225" headerRowBorderDxfId="226" tableBorderDxfId="224" totalsRowBorderDxfId="223">
  <autoFilter ref="X74:X84" xr:uid="{00000000-0009-0000-0100-00002F000000}"/>
  <tableColumns count="1">
    <tableColumn id="1" xr3:uid="{00000000-0010-0000-2A00-000001000000}" name="Score" dataDxfId="222"/>
  </tableColumns>
  <tableStyleInfo name="TableStyleDark3" showFirstColumn="0" showLastColumn="0" showRowStripes="1" showColumnStripes="0"/>
</table>
</file>

<file path=xl/tables/table45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8" xr:uid="{00000000-000C-0000-FFFF-FFFF2B000000}" name="Tabell43454649" displayName="Tabell43454649" ref="X86:X96" totalsRowShown="0" headerRowDxfId="221" dataDxfId="219" headerRowBorderDxfId="220" tableBorderDxfId="218" totalsRowBorderDxfId="217">
  <autoFilter ref="X86:X96" xr:uid="{00000000-0009-0000-0100-000030000000}"/>
  <tableColumns count="1">
    <tableColumn id="1" xr3:uid="{00000000-0010-0000-2B00-000001000000}" name="Score" dataDxfId="216"/>
  </tableColumns>
  <tableStyleInfo name="TableStyleDark3" showFirstColumn="0" showLastColumn="0" showRowStripes="1" showColumnStripes="0"/>
</table>
</file>

<file path=xl/tables/table46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9" xr:uid="{00000000-000C-0000-FFFF-FFFF2C000000}" name="Tabell43454650" displayName="Tabell43454650" ref="X98:X108" totalsRowShown="0" headerRowDxfId="215" dataDxfId="213" headerRowBorderDxfId="214" tableBorderDxfId="212" totalsRowBorderDxfId="211">
  <autoFilter ref="X98:X108" xr:uid="{00000000-0009-0000-0100-000031000000}"/>
  <tableColumns count="1">
    <tableColumn id="1" xr3:uid="{00000000-0010-0000-2C00-000001000000}" name="Score" dataDxfId="210"/>
  </tableColumns>
  <tableStyleInfo name="TableStyleDark3" showFirstColumn="0" showLastColumn="0" showRowStripes="1" showColumnStripes="0"/>
</table>
</file>

<file path=xl/tables/table47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50" xr:uid="{00000000-000C-0000-FFFF-FFFF2D000000}" name="Tabell43454651" displayName="Tabell43454651" ref="X110:X120" totalsRowShown="0" headerRowDxfId="209" dataDxfId="207" headerRowBorderDxfId="208" tableBorderDxfId="206" totalsRowBorderDxfId="205">
  <autoFilter ref="X110:X120" xr:uid="{00000000-0009-0000-0100-000032000000}"/>
  <tableColumns count="1">
    <tableColumn id="1" xr3:uid="{00000000-0010-0000-2D00-000001000000}" name="Score" dataDxfId="204"/>
  </tableColumns>
  <tableStyleInfo name="TableStyleDark3" showFirstColumn="0" showLastColumn="0" showRowStripes="1" showColumnStripes="0"/>
</table>
</file>

<file path=xl/tables/table48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51" xr:uid="{00000000-000C-0000-FFFF-FFFF2E000000}" name="Tabell43454652" displayName="Tabell43454652" ref="X122:X132" totalsRowShown="0" headerRowDxfId="203" dataDxfId="201" headerRowBorderDxfId="202" tableBorderDxfId="200" totalsRowBorderDxfId="199">
  <autoFilter ref="X122:X132" xr:uid="{00000000-0009-0000-0100-000033000000}"/>
  <tableColumns count="1">
    <tableColumn id="1" xr3:uid="{00000000-0010-0000-2E00-000001000000}" name="Score" dataDxfId="198">
      <calculatedColumnFormula>71+V123</calculatedColumnFormula>
    </tableColumn>
  </tableColumns>
  <tableStyleInfo name="TableStyleDark3" showFirstColumn="0" showLastColumn="0" showRowStripes="1" showColumnStripes="0"/>
</table>
</file>

<file path=xl/tables/table49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52" xr:uid="{00000000-000C-0000-FFFF-FFFF2F000000}" name="Tabell43454653" displayName="Tabell43454653" ref="X134:X144" totalsRowShown="0" headerRowDxfId="197" dataDxfId="195" headerRowBorderDxfId="196" tableBorderDxfId="194" totalsRowBorderDxfId="193">
  <autoFilter ref="X134:X144" xr:uid="{00000000-0009-0000-0100-000034000000}"/>
  <tableColumns count="1">
    <tableColumn id="1" xr3:uid="{00000000-0010-0000-2F00-000001000000}" name="Score" dataDxfId="192">
      <calculatedColumnFormula>70+V135</calculatedColumnFormula>
    </tableColumn>
  </tableColumns>
  <tableStyleInfo name="TableStyleDark3" showFirstColumn="0" showLastColumn="0" showRowStripes="1" showColumnStripes="0"/>
</table>
</file>

<file path=xl/tables/table50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53" xr:uid="{00000000-000C-0000-FFFF-FFFF30000000}" name="Tabell43454654" displayName="Tabell43454654" ref="X146:X156" totalsRowShown="0" headerRowDxfId="191" dataDxfId="189" headerRowBorderDxfId="190" tableBorderDxfId="188" totalsRowBorderDxfId="187">
  <autoFilter ref="X146:X156" xr:uid="{00000000-0009-0000-0100-000035000000}"/>
  <tableColumns count="1">
    <tableColumn id="1" xr3:uid="{00000000-0010-0000-3000-000001000000}" name="Score" dataDxfId="186"/>
  </tableColumns>
  <tableStyleInfo name="TableStyleDark3" showFirstColumn="0" showLastColumn="0" showRowStripes="1" showColumnStripes="0"/>
</table>
</file>

<file path=xl/tables/table5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54" xr:uid="{00000000-000C-0000-FFFF-FFFF31000000}" name="Tabell43454655" displayName="Tabell43454655" ref="X158:X168" totalsRowShown="0" headerRowDxfId="185" dataDxfId="183" headerRowBorderDxfId="184" tableBorderDxfId="182" totalsRowBorderDxfId="181">
  <autoFilter ref="X158:X168" xr:uid="{00000000-0009-0000-0100-000036000000}"/>
  <tableColumns count="1">
    <tableColumn id="1" xr3:uid="{00000000-0010-0000-3100-000001000000}" name="Score" dataDxfId="180">
      <calculatedColumnFormula>70+V159</calculatedColumnFormula>
    </tableColumn>
  </tableColumns>
  <tableStyleInfo name="TableStyleDark3" showFirstColumn="0" showLastColumn="0" showRowStripes="1" showColumnStripes="0"/>
</table>
</file>

<file path=xl/tables/table5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55" xr:uid="{00000000-000C-0000-FFFF-FFFF32000000}" name="Tabell43454656" displayName="Tabell43454656" ref="X170:X180" totalsRowShown="0" headerRowDxfId="179" dataDxfId="177" headerRowBorderDxfId="178" tableBorderDxfId="176" totalsRowBorderDxfId="175">
  <autoFilter ref="X170:X180" xr:uid="{00000000-0009-0000-0100-000037000000}"/>
  <tableColumns count="1">
    <tableColumn id="1" xr3:uid="{00000000-0010-0000-3200-000001000000}" name="Score" dataDxfId="174">
      <calculatedColumnFormula>70+V171</calculatedColumnFormula>
    </tableColumn>
  </tableColumns>
  <tableStyleInfo name="TableStyleDark3" showFirstColumn="0" showLastColumn="0" showRowStripes="1" showColumnStripes="0"/>
</table>
</file>

<file path=xl/tables/table5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56" xr:uid="{00000000-000C-0000-FFFF-FFFF33000000}" name="Tabell43454657" displayName="Tabell43454657" ref="X182:X191" totalsRowShown="0" headerRowDxfId="173" dataDxfId="171" headerRowBorderDxfId="172" tableBorderDxfId="170" totalsRowBorderDxfId="169">
  <autoFilter ref="X182:X191" xr:uid="{00000000-0009-0000-0100-000038000000}"/>
  <tableColumns count="1">
    <tableColumn id="1" xr3:uid="{00000000-0010-0000-3300-000001000000}" name="Score" dataDxfId="168">
      <calculatedColumnFormula>72+V183</calculatedColumnFormula>
    </tableColumn>
  </tableColumns>
  <tableStyleInfo name="TableStyleDark3" showFirstColumn="0" showLastColumn="0" showRowStripes="1" showColumnStripes="0"/>
</table>
</file>

<file path=xl/tables/table54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57" xr:uid="{00000000-000C-0000-FFFF-FFFF34000000}" name="Tabell57" displayName="Tabell57" ref="Z4:Z21" totalsRowShown="0" headerRowDxfId="167" dataDxfId="166">
  <autoFilter ref="Z4:Z21" xr:uid="{00000000-0009-0000-0100-000039000000}"/>
  <tableColumns count="1">
    <tableColumn id="1" xr3:uid="{00000000-0010-0000-3400-000001000000}" name="PL" dataDxfId="165">
      <calculatedColumnFormula>RANK(X5,Tabell42[Score],0)</calculatedColumnFormula>
    </tableColumn>
  </tableColumns>
  <tableStyleInfo name="TableStyleDark7" showFirstColumn="0" showLastColumn="0" showRowStripes="1" showColumnStripes="0"/>
</table>
</file>

<file path=xl/tables/table55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58" xr:uid="{00000000-000C-0000-FFFF-FFFF35000000}" name="Tabell58" displayName="Tabell58" ref="AB4:AB21" totalsRowShown="0" headerRowDxfId="164" dataDxfId="163">
  <autoFilter ref="AB4:AB21" xr:uid="{00000000-0009-0000-0100-00003A000000}"/>
  <tableColumns count="1">
    <tableColumn id="1" xr3:uid="{00000000-0010-0000-3500-000001000000}" name="Ahead" dataDxfId="162">
      <calculatedColumnFormula>X5-SMALL(X5:X21,1)</calculatedColumnFormula>
    </tableColumn>
  </tableColumns>
  <tableStyleInfo name="TableStyleDark7" showFirstColumn="0" showLastColumn="0" showRowStripes="1" showColumnStripes="0"/>
</table>
</file>

<file path=xl/tables/table56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62" xr:uid="{00000000-000C-0000-FFFF-FFFF36000000}" name="Tabell62" displayName="Tabell62" ref="AD4:AD22" totalsRowShown="0" headerRowDxfId="161" dataDxfId="160">
  <autoFilter ref="AD4:AD22" xr:uid="{00000000-0009-0000-0100-00003E000000}"/>
  <tableColumns count="1">
    <tableColumn id="1" xr3:uid="{00000000-0010-0000-3600-000001000000}" name="Bästa" dataDxfId="159"/>
  </tableColumns>
  <tableStyleInfo name="TableStyleDark7" showFirstColumn="0" showLastColumn="0" showRowStripes="1" showColumnStripes="0"/>
</table>
</file>

<file path=xl/tables/table57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5" xr:uid="{00000000-000C-0000-FFFF-FFFF37000000}" name="Tabell434546" displayName="Tabell434546" ref="X50:X60" totalsRowShown="0" headerRowDxfId="158" dataDxfId="156" headerRowBorderDxfId="157" tableBorderDxfId="155" totalsRowBorderDxfId="154">
  <autoFilter ref="X50:X60" xr:uid="{00000000-0009-0000-0100-00002D000000}"/>
  <tableColumns count="1">
    <tableColumn id="1" xr3:uid="{00000000-0010-0000-3700-000001000000}" name="Score" dataDxfId="153">
      <calculatedColumnFormula>70+Tabell71415[[#This Row],[Tot]]</calculatedColumnFormula>
    </tableColumn>
  </tableColumns>
  <tableStyleInfo name="TableStyleDark3" showFirstColumn="0" showLastColumn="0" showRowStripes="1" showColumnStripes="0"/>
</table>
</file>

<file path=xl/tables/table58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71" xr:uid="{00000000-000C-0000-FFFF-FFFF38000000}" name="Tabell71415202134353637383940414272" displayName="Tabell71415202134353637383940414272" ref="B193:V203" totalsRowShown="0" headerRowDxfId="152" dataDxfId="150" headerRowBorderDxfId="151" tableBorderDxfId="149">
  <autoFilter ref="B193:V203" xr:uid="{00000000-0009-0000-0100-000047000000}"/>
  <tableColumns count="21">
    <tableColumn id="1" xr3:uid="{00000000-0010-0000-3800-000001000000}" name="För" dataDxfId="148" dataCellStyle="Normal 2"/>
    <tableColumn id="2" xr3:uid="{00000000-0010-0000-3800-000002000000}" name="Efter" dataDxfId="147" dataCellStyle="Normal 2"/>
    <tableColumn id="3" xr3:uid="{00000000-0010-0000-3800-000003000000}" name="1" dataDxfId="146"/>
    <tableColumn id="4" xr3:uid="{00000000-0010-0000-3800-000004000000}" name="2" dataDxfId="145"/>
    <tableColumn id="5" xr3:uid="{00000000-0010-0000-3800-000005000000}" name="3" dataDxfId="144"/>
    <tableColumn id="6" xr3:uid="{00000000-0010-0000-3800-000006000000}" name="4" dataDxfId="143"/>
    <tableColumn id="7" xr3:uid="{00000000-0010-0000-3800-000007000000}" name="5" dataDxfId="142"/>
    <tableColumn id="8" xr3:uid="{00000000-0010-0000-3800-000008000000}" name="6" dataDxfId="141"/>
    <tableColumn id="9" xr3:uid="{00000000-0010-0000-3800-000009000000}" name="7" dataDxfId="140"/>
    <tableColumn id="10" xr3:uid="{00000000-0010-0000-3800-00000A000000}" name="8" dataDxfId="139"/>
    <tableColumn id="11" xr3:uid="{00000000-0010-0000-3800-00000B000000}" name="9" dataDxfId="138"/>
    <tableColumn id="12" xr3:uid="{00000000-0010-0000-3800-00000C000000}" name="10" dataDxfId="137"/>
    <tableColumn id="13" xr3:uid="{00000000-0010-0000-3800-00000D000000}" name="11" dataDxfId="136"/>
    <tableColumn id="14" xr3:uid="{00000000-0010-0000-3800-00000E000000}" name="12" dataDxfId="135"/>
    <tableColumn id="15" xr3:uid="{00000000-0010-0000-3800-00000F000000}" name="13" dataDxfId="134"/>
    <tableColumn id="16" xr3:uid="{00000000-0010-0000-3800-000010000000}" name="14" dataDxfId="133"/>
    <tableColumn id="17" xr3:uid="{00000000-0010-0000-3800-000011000000}" name="15" dataDxfId="132"/>
    <tableColumn id="18" xr3:uid="{00000000-0010-0000-3800-000012000000}" name="16" dataDxfId="131"/>
    <tableColumn id="19" xr3:uid="{00000000-0010-0000-3800-000013000000}" name="17" dataDxfId="130"/>
    <tableColumn id="20" xr3:uid="{00000000-0010-0000-3800-000014000000}" name="18" dataDxfId="129"/>
    <tableColumn id="21" xr3:uid="{00000000-0010-0000-3800-000015000000}" name="Tot" dataDxfId="128">
      <calculatedColumnFormula>SUM(D194:U194)</calculatedColumnFormula>
    </tableColumn>
  </tableColumns>
  <tableStyleInfo name="TableStyleDark3" showFirstColumn="0" showLastColumn="0" showRowStripes="1" showColumnStripes="0"/>
</table>
</file>

<file path=xl/tables/table59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72" xr:uid="{00000000-000C-0000-FFFF-FFFF39000000}" name="Tabell4345465773" displayName="Tabell4345465773" ref="X193:X203" totalsRowCount="1" headerRowDxfId="127" dataDxfId="125" headerRowBorderDxfId="126" tableBorderDxfId="124" totalsRowBorderDxfId="123">
  <autoFilter ref="X193:X202" xr:uid="{00000000-0009-0000-0100-000048000000}"/>
  <tableColumns count="1">
    <tableColumn id="1" xr3:uid="{00000000-0010-0000-3900-000001000000}" name="Score" totalsRowFunction="custom" dataDxfId="122" totalsRowDxfId="121">
      <calculatedColumnFormula>70+V194</calculatedColumnFormula>
      <totalsRowFormula>72+V203</totalsRowFormula>
    </tableColumn>
  </tableColumns>
  <tableStyleInfo name="TableStyleDark3" showFirstColumn="0" showLastColumn="0" showRowStripes="1" showColumnStripes="0"/>
</table>
</file>

<file path=xl/tables/table60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81D92156-128E-4A83-8695-D57D22D36D3A}" name="Tabell714152021343536373839404142722" displayName="Tabell714152021343536373839404142722" ref="B205:V215" totalsRowShown="0" headerRowDxfId="120" dataDxfId="118" headerRowBorderDxfId="119" tableBorderDxfId="117">
  <autoFilter ref="B205:V215" xr:uid="{FD30C75B-0C76-448F-A094-37FE58FF7BC2}"/>
  <tableColumns count="21">
    <tableColumn id="1" xr3:uid="{D302A8C3-38A2-46D0-8ADD-C51ABA333E55}" name="För" dataDxfId="116" dataCellStyle="Normal 2"/>
    <tableColumn id="2" xr3:uid="{409B86FC-18AE-43E7-B495-FD7D152723FA}" name="Efter" dataDxfId="115" dataCellStyle="Normal 2"/>
    <tableColumn id="3" xr3:uid="{9404F1C7-8BF0-439C-A2C3-C052A948352C}" name="1" dataDxfId="114"/>
    <tableColumn id="4" xr3:uid="{6C882491-F79E-421C-B980-6BF4CC86C064}" name="2" dataDxfId="113"/>
    <tableColumn id="5" xr3:uid="{3DE90502-D5B4-440E-8EA0-277682941241}" name="3" dataDxfId="112"/>
    <tableColumn id="6" xr3:uid="{A0B4858D-704E-41F9-AEA4-01D089C875B7}" name="4" dataDxfId="111"/>
    <tableColumn id="7" xr3:uid="{8A0541FC-9E9B-475B-B410-3E273788AB03}" name="5" dataDxfId="110"/>
    <tableColumn id="8" xr3:uid="{DBD2AF9A-BFDE-4104-AFA9-1F216A90881A}" name="6" dataDxfId="109"/>
    <tableColumn id="9" xr3:uid="{FC2DF8A6-C1F8-4045-97FE-93277403F93B}" name="7" dataDxfId="108"/>
    <tableColumn id="10" xr3:uid="{1B0093D7-020F-433F-BDDD-BFDF8F2DCC79}" name="8" dataDxfId="107"/>
    <tableColumn id="11" xr3:uid="{357E38BC-0128-4497-802A-461128D90FDB}" name="9" dataDxfId="106"/>
    <tableColumn id="12" xr3:uid="{7DBE5883-3CE2-4719-9B2E-47242C86FD93}" name="10" dataDxfId="105"/>
    <tableColumn id="13" xr3:uid="{9917BB52-28B0-419D-AB1A-7801A0052C82}" name="11" dataDxfId="104"/>
    <tableColumn id="14" xr3:uid="{B76BFCFD-5EA7-4338-89C9-F89A339B793A}" name="12" dataDxfId="103"/>
    <tableColumn id="15" xr3:uid="{F8650BB7-9CE8-4CA1-8796-1B637215679B}" name="13" dataDxfId="102"/>
    <tableColumn id="16" xr3:uid="{386814F6-4413-4DE3-8EF5-1D965FFF0937}" name="14" dataDxfId="101"/>
    <tableColumn id="17" xr3:uid="{9F5F1166-D44D-4881-AF6C-A1A4B5418F19}" name="15" dataDxfId="100"/>
    <tableColumn id="18" xr3:uid="{C494ADEA-252C-4936-AA1D-B81DCA78B4F5}" name="16" dataDxfId="99"/>
    <tableColumn id="19" xr3:uid="{CDEA5A1D-83B0-426D-AFD8-C63B0E8ED983}" name="17" dataDxfId="98"/>
    <tableColumn id="20" xr3:uid="{57BC0DD3-4D3E-4814-BD0F-1B0C2A715536}" name="18" dataDxfId="97"/>
    <tableColumn id="21" xr3:uid="{58E05848-4349-474E-80FB-9C7FC8A088D2}" name="Tot" dataDxfId="96">
      <calculatedColumnFormula>SUM(D206:U206)</calculatedColumnFormula>
    </tableColumn>
  </tableColumns>
  <tableStyleInfo name="TableStyleDark3" showFirstColumn="0" showLastColumn="0" showRowStripes="1" showColumnStripes="0"/>
</table>
</file>

<file path=xl/tables/table6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2" xr:uid="{EE8A2EEE-7AD8-4528-AC0A-472660FD1F3B}" name="Tabell434546577313" displayName="Tabell434546577313" ref="X205:X215" totalsRowCount="1" headerRowDxfId="95" dataDxfId="93" headerRowBorderDxfId="94" tableBorderDxfId="92" totalsRowBorderDxfId="91">
  <autoFilter ref="X205:X214" xr:uid="{16C3ACC1-8900-4E29-93B5-09E49CA68AF3}"/>
  <tableColumns count="1">
    <tableColumn id="1" xr3:uid="{C1D37496-122B-4EF4-9B21-FE7379842FA8}" name="Score" totalsRowFunction="custom" dataDxfId="90" totalsRowDxfId="89">
      <calculatedColumnFormula>70+V206</calculatedColumnFormula>
      <totalsRowFormula>71+V215</totalsRowFormula>
    </tableColumn>
  </tableColumns>
  <tableStyleInfo name="TableStyleDark3" showFirstColumn="0" showLastColumn="0" showRowStripes="1" showColumnStripes="0"/>
</table>
</file>

<file path=xl/tables/table6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5" xr:uid="{3F6069AC-604B-4272-BD1C-4F4089A25D3B}" name="Tabell15" displayName="Tabell15" ref="C4:L20" totalsRowShown="0" headerRowDxfId="88" dataDxfId="87" tableBorderDxfId="86">
  <autoFilter ref="C4:L20" xr:uid="{7C94BB4F-BE0D-4459-8729-80B588470099}"/>
  <tableColumns count="10">
    <tableColumn id="1" xr3:uid="{FB466465-6AA8-44FE-957A-4A0C310072B6}" name="Spelare" dataDxfId="85"/>
    <tableColumn id="2" xr3:uid="{D5BAE6CA-C89F-4E6A-9674-DE7C42FD02A5}" name="Namn" dataDxfId="84"/>
    <tableColumn id="3" xr3:uid="{9FF710E9-92BF-4A8B-BABA-36155D3A9ACC}" name="Lag" dataDxfId="83"/>
    <tableColumn id="4" xr3:uid="{7EB86CA0-59C8-470A-9A34-565F5A6E5D80}" name="Brutto 1" dataDxfId="82">
      <calculatedColumnFormula>Scoreboard!L4</calculatedColumnFormula>
    </tableColumn>
    <tableColumn id="5" xr3:uid="{E425506A-197E-46D4-8A28-1513ACDB0F53}" name="Brutto 2" dataDxfId="81">
      <calculatedColumnFormula>Scoreboard!M4</calculatedColumnFormula>
    </tableColumn>
    <tableColumn id="6" xr3:uid="{0E8D2C50-0533-45F2-9761-1A8BE716D56F}" name="Totalt B" dataDxfId="80">
      <calculatedColumnFormula>F5+G5</calculatedColumnFormula>
    </tableColumn>
    <tableColumn id="7" xr3:uid="{680EFF0E-E954-486E-9386-3086821C6833}" name="Lag2" dataDxfId="79"/>
    <tableColumn id="8" xr3:uid="{193F132F-A3BA-400D-993D-E2C24450BF2E}" name="Netto 1" dataDxfId="78">
      <calculatedColumnFormula>Scoreboard!L24</calculatedColumnFormula>
    </tableColumn>
    <tableColumn id="9" xr3:uid="{51A2486F-E714-4F6D-A3E8-0D1BD3EA533D}" name="Netto 2" dataDxfId="77">
      <calculatedColumnFormula>Scoreboard!M24</calculatedColumnFormula>
    </tableColumn>
    <tableColumn id="10" xr3:uid="{0BAE6347-CA5E-4724-BE63-CCC5DC066BE5}" name="Totalt N" dataDxfId="76">
      <calculatedColumnFormula>J5+K5</calculatedColumnFormula>
    </tableColumn>
  </tableColumns>
  <tableStyleInfo name="TableStyleMedium9" showFirstColumn="0" showLastColumn="0" showRowStripes="1" showColumnStripes="0"/>
</table>
</file>

<file path=xl/tables/table6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7" xr:uid="{0DD1EA5C-45BF-4A8A-BBF2-16FE23C35099}" name="Tabell17" displayName="Tabell17" ref="N4:N20" totalsRowShown="0" headerRowDxfId="75" dataDxfId="73" headerRowBorderDxfId="74" tableBorderDxfId="72" totalsRowBorderDxfId="71">
  <autoFilter ref="N4:N20" xr:uid="{9206FDFF-1079-416C-8AD6-D71933AA5274}"/>
  <tableColumns count="1">
    <tableColumn id="1" xr3:uid="{0E497DB1-8A2A-4619-A8B6-2FA1D91EA16E}" name="Samla Par" dataDxfId="70"/>
  </tableColumns>
  <tableStyleInfo name="TableStyleMedium16" showFirstColumn="0" showLastColumn="0" showRowStripes="1" showColumnStripes="0"/>
</table>
</file>

<file path=xl/tables/table64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8" xr:uid="{20446DEF-B56F-435E-80C4-B22F6A6E3679}" name="Tabell1719" displayName="Tabell1719" ref="P4:Q20" totalsRowShown="0" headerRowDxfId="69" dataDxfId="67" headerRowBorderDxfId="68" tableBorderDxfId="66" totalsRowBorderDxfId="65">
  <autoFilter ref="P4:Q20" xr:uid="{4CDCFF86-0B9D-43DF-96C0-D000FB00FD8F}"/>
  <tableColumns count="2">
    <tableColumn id="1" xr3:uid="{F74096DB-755D-4497-9E6D-F7DD18D3C8D3}" name="Samla birdie" dataDxfId="64">
      <calculatedColumnFormula>COUNTIF(Dreamscore!D166:U167,0)</calculatedColumnFormula>
    </tableColumn>
    <tableColumn id="2" xr3:uid="{40714E67-5616-44C5-A292-33005E15116E}" name="Kolumn1" dataDxfId="63">
      <calculatedColumnFormula>Tabell1719[[#This Row],[Samla birdie]]*2</calculatedColumnFormula>
    </tableColumn>
  </tableColumns>
  <tableStyleInfo name="TableStyleMedium16" showFirstColumn="0" showLastColumn="0" showRowStripes="1" showColumnStripes="0"/>
</table>
</file>

<file path=xl/tables/table65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9" xr:uid="{F463B0AB-73C2-49EC-B602-8673385B463B}" name="Tabell29" displayName="Tabell29" ref="S4:S20" totalsRowShown="0" headerRowDxfId="62" dataDxfId="61" tableBorderDxfId="60">
  <autoFilter ref="S4:S20" xr:uid="{9B7D93AA-0A90-4444-B49C-EC6763E3D1AB}"/>
  <tableColumns count="1">
    <tableColumn id="1" xr3:uid="{BF65B52F-D7D2-47A6-8D4E-45A441743D2B}" name="Poäng" dataDxfId="59"/>
  </tableColumns>
  <tableStyleInfo name="TableStyleMedium9" showFirstColumn="0" showLastColumn="0" showRowStripes="1" showColumnStripes="0"/>
</table>
</file>

<file path=xl/tables/table66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0" xr:uid="{D9B57BF4-9673-4AFB-A575-1FEB6BA9CDE7}" name="Tabell30" displayName="Tabell30" ref="U4:U20" totalsRowShown="0" headerRowDxfId="58" dataDxfId="56" headerRowBorderDxfId="57" tableBorderDxfId="55" totalsRowBorderDxfId="54" headerRowCellStyle="Anteckning" dataCellStyle="Anteckning">
  <autoFilter ref="U4:U20" xr:uid="{70B1A997-6307-4234-A86C-5DABEACAB1B6}"/>
  <tableColumns count="1">
    <tableColumn id="1" xr3:uid="{42F55760-12E1-4D35-8AA9-AB38149266A6}" name="Prognos" dataDxfId="53" dataCellStyle="Anteckning"/>
  </tableColumns>
  <tableStyleInfo name="TableStyleMedium19" showFirstColumn="0" showLastColumn="0" showRowStripes="1" showColumnStripes="0"/>
</table>
</file>

<file path=xl/tables/table67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1" xr:uid="{AD2C9845-6980-40CB-B046-BACD59816326}" name="Tabell31" displayName="Tabell31" ref="W4:W20" totalsRowShown="0" headerRowDxfId="52" dataDxfId="51" tableBorderDxfId="50">
  <autoFilter ref="W4:W20" xr:uid="{FB467A10-30CE-4E50-8EE1-41482B05FC21}"/>
  <tableColumns count="1">
    <tableColumn id="1" xr3:uid="{AE536783-233D-416C-B29C-707D96F7693E}" name="Hur gick det" dataDxfId="49"/>
  </tableColumns>
  <tableStyleInfo name="TableStyleMedium14" showFirstColumn="0" showLastColumn="0" showRowStripes="1" showColumnStripes="0"/>
</table>
</file>

<file path=xl/theme/theme1.xml><?xml version="1.0" encoding="utf-8"?>
<a:theme xmlns:a="http://schemas.openxmlformats.org/drawingml/2006/main" name="Office-tema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table" Target="../tables/table7.xml"/><Relationship Id="rId3" Type="http://schemas.openxmlformats.org/officeDocument/2006/relationships/table" Target="../tables/table2.xml"/><Relationship Id="rId7" Type="http://schemas.openxmlformats.org/officeDocument/2006/relationships/table" Target="../tables/table6.xml"/><Relationship Id="rId2" Type="http://schemas.openxmlformats.org/officeDocument/2006/relationships/table" Target="../tables/table1.xml"/><Relationship Id="rId1" Type="http://schemas.openxmlformats.org/officeDocument/2006/relationships/printerSettings" Target="../printerSettings/printerSettings1.bin"/><Relationship Id="rId6" Type="http://schemas.openxmlformats.org/officeDocument/2006/relationships/table" Target="../tables/table5.xml"/><Relationship Id="rId11" Type="http://schemas.openxmlformats.org/officeDocument/2006/relationships/table" Target="../tables/table10.xml"/><Relationship Id="rId5" Type="http://schemas.openxmlformats.org/officeDocument/2006/relationships/table" Target="../tables/table4.xml"/><Relationship Id="rId10" Type="http://schemas.openxmlformats.org/officeDocument/2006/relationships/table" Target="../tables/table9.xml"/><Relationship Id="rId4" Type="http://schemas.openxmlformats.org/officeDocument/2006/relationships/table" Target="../tables/table3.xml"/><Relationship Id="rId9" Type="http://schemas.openxmlformats.org/officeDocument/2006/relationships/table" Target="../tables/table8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3.xml"/><Relationship Id="rId2" Type="http://schemas.openxmlformats.org/officeDocument/2006/relationships/table" Target="../tables/table12.xml"/><Relationship Id="rId1" Type="http://schemas.openxmlformats.org/officeDocument/2006/relationships/table" Target="../tables/table11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5.xml"/><Relationship Id="rId2" Type="http://schemas.openxmlformats.org/officeDocument/2006/relationships/table" Target="../tables/table14.xml"/><Relationship Id="rId1" Type="http://schemas.openxmlformats.org/officeDocument/2006/relationships/drawing" Target="../drawings/drawing1.xml"/><Relationship Id="rId5" Type="http://schemas.openxmlformats.org/officeDocument/2006/relationships/table" Target="../tables/table17.xml"/><Relationship Id="rId4" Type="http://schemas.openxmlformats.org/officeDocument/2006/relationships/table" Target="../tables/table16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table" Target="../tables/table18.xml"/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table" Target="../tables/table21.xml"/><Relationship Id="rId2" Type="http://schemas.openxmlformats.org/officeDocument/2006/relationships/table" Target="../tables/table20.xml"/><Relationship Id="rId1" Type="http://schemas.openxmlformats.org/officeDocument/2006/relationships/table" Target="../tables/table19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table" Target="../tables/table22.x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Relationship Id="rId4" Type="http://schemas.openxmlformats.org/officeDocument/2006/relationships/table" Target="../tables/table23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table" Target="../tables/table24.xml"/><Relationship Id="rId1" Type="http://schemas.openxmlformats.org/officeDocument/2006/relationships/drawing" Target="../drawings/drawing4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table" Target="../tables/table30.xml"/><Relationship Id="rId13" Type="http://schemas.openxmlformats.org/officeDocument/2006/relationships/table" Target="../tables/table35.xml"/><Relationship Id="rId18" Type="http://schemas.openxmlformats.org/officeDocument/2006/relationships/table" Target="../tables/table40.xml"/><Relationship Id="rId26" Type="http://schemas.openxmlformats.org/officeDocument/2006/relationships/table" Target="../tables/table48.xml"/><Relationship Id="rId39" Type="http://schemas.openxmlformats.org/officeDocument/2006/relationships/table" Target="../tables/table61.xml"/><Relationship Id="rId3" Type="http://schemas.openxmlformats.org/officeDocument/2006/relationships/table" Target="../tables/table25.xml"/><Relationship Id="rId21" Type="http://schemas.openxmlformats.org/officeDocument/2006/relationships/table" Target="../tables/table43.xml"/><Relationship Id="rId34" Type="http://schemas.openxmlformats.org/officeDocument/2006/relationships/table" Target="../tables/table56.xml"/><Relationship Id="rId7" Type="http://schemas.openxmlformats.org/officeDocument/2006/relationships/table" Target="../tables/table29.xml"/><Relationship Id="rId12" Type="http://schemas.openxmlformats.org/officeDocument/2006/relationships/table" Target="../tables/table34.xml"/><Relationship Id="rId17" Type="http://schemas.openxmlformats.org/officeDocument/2006/relationships/table" Target="../tables/table39.xml"/><Relationship Id="rId25" Type="http://schemas.openxmlformats.org/officeDocument/2006/relationships/table" Target="../tables/table47.xml"/><Relationship Id="rId33" Type="http://schemas.openxmlformats.org/officeDocument/2006/relationships/table" Target="../tables/table55.xml"/><Relationship Id="rId38" Type="http://schemas.openxmlformats.org/officeDocument/2006/relationships/table" Target="../tables/table60.xml"/><Relationship Id="rId2" Type="http://schemas.openxmlformats.org/officeDocument/2006/relationships/drawing" Target="../drawings/drawing5.xml"/><Relationship Id="rId16" Type="http://schemas.openxmlformats.org/officeDocument/2006/relationships/table" Target="../tables/table38.xml"/><Relationship Id="rId20" Type="http://schemas.openxmlformats.org/officeDocument/2006/relationships/table" Target="../tables/table42.xml"/><Relationship Id="rId29" Type="http://schemas.openxmlformats.org/officeDocument/2006/relationships/table" Target="../tables/table51.xml"/><Relationship Id="rId1" Type="http://schemas.openxmlformats.org/officeDocument/2006/relationships/printerSettings" Target="../printerSettings/printerSettings3.bin"/><Relationship Id="rId6" Type="http://schemas.openxmlformats.org/officeDocument/2006/relationships/table" Target="../tables/table28.xml"/><Relationship Id="rId11" Type="http://schemas.openxmlformats.org/officeDocument/2006/relationships/table" Target="../tables/table33.xml"/><Relationship Id="rId24" Type="http://schemas.openxmlformats.org/officeDocument/2006/relationships/table" Target="../tables/table46.xml"/><Relationship Id="rId32" Type="http://schemas.openxmlformats.org/officeDocument/2006/relationships/table" Target="../tables/table54.xml"/><Relationship Id="rId37" Type="http://schemas.openxmlformats.org/officeDocument/2006/relationships/table" Target="../tables/table59.xml"/><Relationship Id="rId5" Type="http://schemas.openxmlformats.org/officeDocument/2006/relationships/table" Target="../tables/table27.xml"/><Relationship Id="rId15" Type="http://schemas.openxmlformats.org/officeDocument/2006/relationships/table" Target="../tables/table37.xml"/><Relationship Id="rId23" Type="http://schemas.openxmlformats.org/officeDocument/2006/relationships/table" Target="../tables/table45.xml"/><Relationship Id="rId28" Type="http://schemas.openxmlformats.org/officeDocument/2006/relationships/table" Target="../tables/table50.xml"/><Relationship Id="rId36" Type="http://schemas.openxmlformats.org/officeDocument/2006/relationships/table" Target="../tables/table58.xml"/><Relationship Id="rId10" Type="http://schemas.openxmlformats.org/officeDocument/2006/relationships/table" Target="../tables/table32.xml"/><Relationship Id="rId19" Type="http://schemas.openxmlformats.org/officeDocument/2006/relationships/table" Target="../tables/table41.xml"/><Relationship Id="rId31" Type="http://schemas.openxmlformats.org/officeDocument/2006/relationships/table" Target="../tables/table53.xml"/><Relationship Id="rId4" Type="http://schemas.openxmlformats.org/officeDocument/2006/relationships/table" Target="../tables/table26.xml"/><Relationship Id="rId9" Type="http://schemas.openxmlformats.org/officeDocument/2006/relationships/table" Target="../tables/table31.xml"/><Relationship Id="rId14" Type="http://schemas.openxmlformats.org/officeDocument/2006/relationships/table" Target="../tables/table36.xml"/><Relationship Id="rId22" Type="http://schemas.openxmlformats.org/officeDocument/2006/relationships/table" Target="../tables/table44.xml"/><Relationship Id="rId27" Type="http://schemas.openxmlformats.org/officeDocument/2006/relationships/table" Target="../tables/table49.xml"/><Relationship Id="rId30" Type="http://schemas.openxmlformats.org/officeDocument/2006/relationships/table" Target="../tables/table52.xml"/><Relationship Id="rId35" Type="http://schemas.openxmlformats.org/officeDocument/2006/relationships/table" Target="../tables/table5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4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5.bin"/></Relationships>
</file>

<file path=xl/worksheets/_rels/sheet14.xml.rels><?xml version="1.0" encoding="UTF-8" standalone="yes"?>
<Relationships xmlns="http://schemas.openxmlformats.org/package/2006/relationships"><Relationship Id="rId8" Type="http://schemas.openxmlformats.org/officeDocument/2006/relationships/table" Target="../tables/table67.xml"/><Relationship Id="rId3" Type="http://schemas.openxmlformats.org/officeDocument/2006/relationships/table" Target="../tables/table62.xml"/><Relationship Id="rId7" Type="http://schemas.openxmlformats.org/officeDocument/2006/relationships/table" Target="../tables/table66.x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6.bin"/><Relationship Id="rId6" Type="http://schemas.openxmlformats.org/officeDocument/2006/relationships/table" Target="../tables/table65.xml"/><Relationship Id="rId5" Type="http://schemas.openxmlformats.org/officeDocument/2006/relationships/table" Target="../tables/table64.xml"/><Relationship Id="rId4" Type="http://schemas.openxmlformats.org/officeDocument/2006/relationships/table" Target="../tables/table63.xml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00B050"/>
    <pageSetUpPr fitToPage="1"/>
  </sheetPr>
  <dimension ref="B1:AR44"/>
  <sheetViews>
    <sheetView topLeftCell="A3" zoomScale="69" zoomScaleNormal="69" workbookViewId="0">
      <selection activeCell="AF4" sqref="AF4"/>
    </sheetView>
  </sheetViews>
  <sheetFormatPr defaultColWidth="8.85546875" defaultRowHeight="15"/>
  <cols>
    <col min="1" max="1" width="3.42578125" style="3" customWidth="1"/>
    <col min="2" max="2" width="9.140625" style="3" bestFit="1" customWidth="1"/>
    <col min="3" max="3" width="15.42578125" style="3" bestFit="1" customWidth="1"/>
    <col min="4" max="4" width="8.28515625" style="3" customWidth="1"/>
    <col min="5" max="5" width="9.42578125" style="3" customWidth="1"/>
    <col min="6" max="6" width="8.140625" style="3" customWidth="1"/>
    <col min="7" max="7" width="6.7109375" style="3" customWidth="1"/>
    <col min="8" max="10" width="9.140625" style="3" bestFit="1" customWidth="1"/>
    <col min="11" max="12" width="7" style="3" customWidth="1"/>
    <col min="13" max="13" width="6.42578125" style="13" customWidth="1"/>
    <col min="14" max="14" width="25.7109375" style="3" customWidth="1"/>
    <col min="15" max="23" width="4.140625" style="13" customWidth="1"/>
    <col min="24" max="24" width="5" style="13" customWidth="1"/>
    <col min="25" max="25" width="4.85546875" style="13" customWidth="1"/>
    <col min="26" max="26" width="8.85546875" style="3" customWidth="1"/>
    <col min="27" max="27" width="9.42578125" style="13" customWidth="1"/>
    <col min="28" max="28" width="2.42578125" style="3" customWidth="1"/>
    <col min="29" max="29" width="12.85546875" style="13" bestFit="1" customWidth="1"/>
    <col min="30" max="30" width="5.42578125" style="3" customWidth="1"/>
    <col min="31" max="31" width="12" style="13" customWidth="1"/>
    <col min="32" max="32" width="11.7109375" style="3" bestFit="1" customWidth="1"/>
    <col min="33" max="33" width="8.85546875" style="3"/>
    <col min="34" max="34" width="11.5703125" style="3" customWidth="1"/>
    <col min="35" max="42" width="8.85546875" style="3" customWidth="1"/>
    <col min="43" max="16384" width="8.85546875" style="3"/>
  </cols>
  <sheetData>
    <row r="1" spans="2:42" ht="15.75" thickBot="1"/>
    <row r="2" spans="2:42" ht="15.75" thickBot="1">
      <c r="D2" s="352" t="s">
        <v>0</v>
      </c>
      <c r="E2" s="353"/>
      <c r="F2" s="353"/>
      <c r="G2" s="353"/>
      <c r="H2" s="353"/>
      <c r="I2" s="353"/>
      <c r="J2" s="353"/>
      <c r="K2" s="353"/>
      <c r="L2" s="354"/>
      <c r="P2" s="100" t="s">
        <v>1</v>
      </c>
      <c r="Q2" s="101"/>
      <c r="R2" s="101"/>
      <c r="S2" s="101"/>
      <c r="T2" s="101"/>
      <c r="U2" s="101"/>
      <c r="V2" s="101"/>
      <c r="W2" s="101"/>
      <c r="X2" s="102"/>
    </row>
    <row r="3" spans="2:42" ht="15.75" thickBot="1">
      <c r="B3" s="246" t="s">
        <v>2</v>
      </c>
      <c r="C3" s="247" t="s">
        <v>3</v>
      </c>
      <c r="D3" s="247" t="s">
        <v>4</v>
      </c>
      <c r="E3" s="247" t="s">
        <v>5</v>
      </c>
      <c r="F3" s="247" t="s">
        <v>6</v>
      </c>
      <c r="G3" s="247" t="s">
        <v>7</v>
      </c>
      <c r="H3" s="247" t="s">
        <v>8</v>
      </c>
      <c r="I3" s="247" t="s">
        <v>9</v>
      </c>
      <c r="J3" s="247" t="s">
        <v>10</v>
      </c>
      <c r="K3" s="247" t="s">
        <v>11</v>
      </c>
      <c r="L3" s="247" t="s">
        <v>12</v>
      </c>
      <c r="M3" s="247" t="s">
        <v>13</v>
      </c>
      <c r="N3" s="248" t="s">
        <v>14</v>
      </c>
      <c r="O3" s="3"/>
      <c r="P3" s="23" t="s">
        <v>4</v>
      </c>
      <c r="Q3" s="24" t="s">
        <v>5</v>
      </c>
      <c r="R3" s="24" t="s">
        <v>6</v>
      </c>
      <c r="S3" s="24" t="s">
        <v>7</v>
      </c>
      <c r="T3" s="24" t="s">
        <v>8</v>
      </c>
      <c r="U3" s="24" t="s">
        <v>9</v>
      </c>
      <c r="V3" s="24" t="s">
        <v>10</v>
      </c>
      <c r="W3" s="24" t="s">
        <v>11</v>
      </c>
      <c r="X3" s="25" t="s">
        <v>15</v>
      </c>
      <c r="Y3" s="24" t="s">
        <v>13</v>
      </c>
      <c r="Z3" s="14" t="s">
        <v>14</v>
      </c>
      <c r="AA3" s="19" t="s">
        <v>16</v>
      </c>
      <c r="AC3" s="27" t="s">
        <v>17</v>
      </c>
      <c r="AE3" s="35" t="s">
        <v>18</v>
      </c>
      <c r="AF3" s="32" t="s">
        <v>19</v>
      </c>
    </row>
    <row r="4" spans="2:42" ht="15.75" thickBot="1">
      <c r="B4" s="249" t="s">
        <v>20</v>
      </c>
      <c r="C4" s="250" t="s">
        <v>21</v>
      </c>
      <c r="D4" s="251">
        <v>91</v>
      </c>
      <c r="E4" s="251">
        <v>90</v>
      </c>
      <c r="F4" s="251">
        <v>90</v>
      </c>
      <c r="G4" s="251">
        <v>86</v>
      </c>
      <c r="H4" s="251">
        <v>97</v>
      </c>
      <c r="I4" s="251">
        <v>94</v>
      </c>
      <c r="J4" s="251">
        <v>92</v>
      </c>
      <c r="K4" s="251">
        <v>89</v>
      </c>
      <c r="L4" s="251">
        <v>87</v>
      </c>
      <c r="M4" s="251">
        <v>162</v>
      </c>
      <c r="N4" s="252">
        <f t="shared" ref="N4:N19" si="0">SMALL(D4:M4,1)+SMALL(D4:M4,2)+SMALL(D4:M4,3)+SMALL(D4:M4,4)+SMALL(D4:M4,5)</f>
        <v>442</v>
      </c>
      <c r="O4" s="3"/>
      <c r="P4" s="166">
        <v>2</v>
      </c>
      <c r="Q4" s="166">
        <v>2</v>
      </c>
      <c r="R4" s="166">
        <v>2</v>
      </c>
      <c r="S4" s="166">
        <v>1</v>
      </c>
      <c r="T4" s="166">
        <v>3</v>
      </c>
      <c r="U4" s="166">
        <v>1</v>
      </c>
      <c r="V4" s="166">
        <v>1</v>
      </c>
      <c r="W4" s="166">
        <v>1</v>
      </c>
      <c r="X4" s="166">
        <v>1</v>
      </c>
      <c r="Y4" s="166">
        <v>16</v>
      </c>
      <c r="Z4" s="15">
        <f>SMALL(P4:Y4,1)+SMALL(P4:Y4,2)+SMALL(P4:Y4,3)+SMALL(P4:Y4,4)+SMALL(P4:Y4,5)</f>
        <v>5</v>
      </c>
      <c r="AA4" s="20">
        <f>RANK(Z4,Z4:Z19,1)</f>
        <v>1</v>
      </c>
      <c r="AC4" s="27"/>
      <c r="AE4" s="224"/>
      <c r="AF4" s="33">
        <f>(SMALL(D4:M4,1)+SMALL(D4:M4,2)+SMALL(D4:M4,3)+SMALL(D4:M4,4)+SMALL(D4:M4,5))/5</f>
        <v>88.4</v>
      </c>
      <c r="AH4" s="3">
        <f>COUNTIF(Tabell10[#This Row],1)</f>
        <v>5</v>
      </c>
      <c r="AI4" s="3">
        <f>COUNTIF(Tabell10[#This Row],2)</f>
        <v>3</v>
      </c>
      <c r="AJ4" s="3">
        <f>COUNTIF(Tabell10[#This Row],3)</f>
        <v>1</v>
      </c>
      <c r="AK4" s="3">
        <f>AH4*300</f>
        <v>1500</v>
      </c>
      <c r="AL4" s="3">
        <f>AI4*200</f>
        <v>600</v>
      </c>
      <c r="AM4" s="3">
        <f>AJ4*100</f>
        <v>100</v>
      </c>
      <c r="AN4" s="3">
        <f>AK4+AL4+AM4</f>
        <v>2200</v>
      </c>
      <c r="AP4" s="3">
        <f>AN4+AN24</f>
        <v>3100</v>
      </c>
    </row>
    <row r="5" spans="2:42" ht="15.75" thickBot="1">
      <c r="B5" s="253" t="s">
        <v>22</v>
      </c>
      <c r="C5" s="254" t="s">
        <v>23</v>
      </c>
      <c r="D5" s="255">
        <v>98</v>
      </c>
      <c r="E5" s="255"/>
      <c r="F5" s="255">
        <v>91</v>
      </c>
      <c r="G5" s="255">
        <v>92</v>
      </c>
      <c r="H5" s="255">
        <v>95</v>
      </c>
      <c r="I5" s="255">
        <v>97</v>
      </c>
      <c r="J5" s="255">
        <v>95</v>
      </c>
      <c r="K5" s="255">
        <v>97</v>
      </c>
      <c r="L5" s="255">
        <v>97</v>
      </c>
      <c r="M5" s="255">
        <v>162</v>
      </c>
      <c r="N5" s="256">
        <f t="shared" si="0"/>
        <v>470</v>
      </c>
      <c r="O5" s="1"/>
      <c r="P5" s="166">
        <v>5</v>
      </c>
      <c r="Q5" s="166"/>
      <c r="R5" s="166">
        <v>3</v>
      </c>
      <c r="S5" s="166">
        <v>4</v>
      </c>
      <c r="T5" s="166">
        <v>2</v>
      </c>
      <c r="U5" s="166">
        <v>2</v>
      </c>
      <c r="V5" s="166">
        <v>3</v>
      </c>
      <c r="W5" s="166">
        <v>2</v>
      </c>
      <c r="X5" s="166">
        <v>5</v>
      </c>
      <c r="Y5" s="166">
        <v>16</v>
      </c>
      <c r="Z5" s="15">
        <f t="shared" ref="Z5:Z18" si="1">SMALL(P5:Y5,1)+SMALL(P5:Y5,2)+SMALL(P5:Y5,3)+SMALL(P5:Y5,4)+SMALL(P5:Y5,5)</f>
        <v>12</v>
      </c>
      <c r="AA5" s="21">
        <f>RANK(Z5,Z4:Z19,1)</f>
        <v>3</v>
      </c>
      <c r="AC5" s="28"/>
      <c r="AE5" s="225"/>
      <c r="AF5" s="33">
        <f t="shared" ref="AF5:AF19" si="2">(SMALL(D5:M5,1)+SMALL(D5:M5,2)+SMALL(D5:M5,3)+SMALL(D5:M5,4)+SMALL(D5:M5,5))/5</f>
        <v>94</v>
      </c>
      <c r="AH5" s="3">
        <f>COUNTIF(Tabell10[#This Row],1)</f>
        <v>0</v>
      </c>
      <c r="AI5" s="3">
        <f>COUNTIF(Tabell10[#This Row],2)</f>
        <v>3</v>
      </c>
      <c r="AJ5" s="3">
        <f>COUNTIF(Tabell10[#This Row],3)</f>
        <v>2</v>
      </c>
      <c r="AK5" s="3">
        <f t="shared" ref="AK5:AK18" si="3">AH5*300</f>
        <v>0</v>
      </c>
      <c r="AL5" s="3">
        <f t="shared" ref="AL5:AL18" si="4">AI5*200</f>
        <v>600</v>
      </c>
      <c r="AM5" s="3">
        <f t="shared" ref="AM5:AM18" si="5">AJ5*100</f>
        <v>200</v>
      </c>
      <c r="AN5" s="3">
        <f t="shared" ref="AN5:AN18" si="6">AK5+AL5+AM5</f>
        <v>800</v>
      </c>
      <c r="AP5" s="3">
        <f>AN5+AN25</f>
        <v>1400</v>
      </c>
    </row>
    <row r="6" spans="2:42" ht="15.75" thickBot="1">
      <c r="B6" s="257" t="s">
        <v>24</v>
      </c>
      <c r="C6" s="258" t="s">
        <v>25</v>
      </c>
      <c r="D6" s="251">
        <v>107</v>
      </c>
      <c r="E6" s="251"/>
      <c r="F6" s="251"/>
      <c r="G6" s="251"/>
      <c r="H6" s="251"/>
      <c r="I6" s="251"/>
      <c r="J6" s="251"/>
      <c r="K6" s="251"/>
      <c r="L6" s="251"/>
      <c r="M6" s="251"/>
      <c r="N6" s="259" t="e">
        <f t="shared" si="0"/>
        <v>#NUM!</v>
      </c>
      <c r="O6" s="1"/>
      <c r="P6" s="166">
        <v>10</v>
      </c>
      <c r="Q6" s="166"/>
      <c r="R6" s="166"/>
      <c r="S6" s="166"/>
      <c r="T6" s="166">
        <v>16</v>
      </c>
      <c r="U6" s="166"/>
      <c r="V6" s="166">
        <v>16</v>
      </c>
      <c r="W6" s="166"/>
      <c r="X6" s="166">
        <v>16</v>
      </c>
      <c r="Y6" s="166">
        <v>16</v>
      </c>
      <c r="Z6" s="15">
        <f t="shared" si="1"/>
        <v>74</v>
      </c>
      <c r="AA6" s="21">
        <f>RANK(Z6,Z4:Z19,1)</f>
        <v>16</v>
      </c>
      <c r="AC6" s="28"/>
      <c r="AE6" s="225"/>
      <c r="AF6" s="33" t="e">
        <f t="shared" si="2"/>
        <v>#NUM!</v>
      </c>
      <c r="AH6" s="3">
        <f>COUNTIF(Tabell10[#This Row],1)</f>
        <v>0</v>
      </c>
      <c r="AI6" s="3">
        <f>COUNTIF(Tabell10[#This Row],2)</f>
        <v>0</v>
      </c>
      <c r="AJ6" s="3">
        <f>COUNTIF(Tabell10[#This Row],3)</f>
        <v>0</v>
      </c>
      <c r="AK6" s="3">
        <f t="shared" si="3"/>
        <v>0</v>
      </c>
      <c r="AL6" s="3">
        <f t="shared" si="4"/>
        <v>0</v>
      </c>
      <c r="AM6" s="3">
        <f t="shared" si="5"/>
        <v>0</v>
      </c>
      <c r="AN6" s="3">
        <f t="shared" si="6"/>
        <v>0</v>
      </c>
      <c r="AP6" s="3">
        <f>AN6+AN26</f>
        <v>0</v>
      </c>
    </row>
    <row r="7" spans="2:42" ht="15.75" thickBot="1">
      <c r="B7" s="253" t="s">
        <v>26</v>
      </c>
      <c r="C7" s="254" t="s">
        <v>27</v>
      </c>
      <c r="D7" s="255">
        <v>86</v>
      </c>
      <c r="E7" s="255"/>
      <c r="F7" s="255">
        <v>89</v>
      </c>
      <c r="G7" s="255">
        <v>104</v>
      </c>
      <c r="H7" s="255">
        <v>91</v>
      </c>
      <c r="I7" s="255">
        <v>104</v>
      </c>
      <c r="J7" s="255">
        <v>100</v>
      </c>
      <c r="K7" s="255">
        <v>93</v>
      </c>
      <c r="L7" s="255">
        <v>93</v>
      </c>
      <c r="M7" s="255">
        <v>162</v>
      </c>
      <c r="N7" s="256">
        <f t="shared" si="0"/>
        <v>452</v>
      </c>
      <c r="O7" s="1"/>
      <c r="P7" s="166">
        <v>1</v>
      </c>
      <c r="Q7" s="166"/>
      <c r="R7" s="166">
        <v>1</v>
      </c>
      <c r="S7" s="166">
        <v>9</v>
      </c>
      <c r="T7" s="166">
        <v>1</v>
      </c>
      <c r="U7" s="166">
        <v>5</v>
      </c>
      <c r="V7" s="166">
        <v>4</v>
      </c>
      <c r="W7" s="166">
        <v>4</v>
      </c>
      <c r="X7" s="166">
        <v>3</v>
      </c>
      <c r="Y7" s="166">
        <v>16</v>
      </c>
      <c r="Z7" s="15">
        <f t="shared" si="1"/>
        <v>10</v>
      </c>
      <c r="AA7" s="21">
        <f>RANK(Z7,Z4:Z19,1)</f>
        <v>2</v>
      </c>
      <c r="AC7" s="28"/>
      <c r="AE7" s="225"/>
      <c r="AF7" s="33">
        <f t="shared" si="2"/>
        <v>90.4</v>
      </c>
      <c r="AH7" s="3">
        <f>COUNTIF(Tabell10[#This Row],1)</f>
        <v>3</v>
      </c>
      <c r="AI7" s="3">
        <f>COUNTIF(Tabell10[#This Row],2)</f>
        <v>0</v>
      </c>
      <c r="AJ7" s="3">
        <f>COUNTIF(Tabell10[#This Row],3)</f>
        <v>1</v>
      </c>
      <c r="AK7" s="3">
        <f t="shared" si="3"/>
        <v>900</v>
      </c>
      <c r="AL7" s="3">
        <f t="shared" si="4"/>
        <v>0</v>
      </c>
      <c r="AM7" s="3">
        <f t="shared" si="5"/>
        <v>100</v>
      </c>
      <c r="AN7" s="3">
        <f t="shared" si="6"/>
        <v>1000</v>
      </c>
      <c r="AP7" s="3">
        <f>AN7+AN27</f>
        <v>1800</v>
      </c>
    </row>
    <row r="8" spans="2:42" ht="15.75" thickBot="1">
      <c r="B8" s="257" t="s">
        <v>28</v>
      </c>
      <c r="C8" s="258" t="s">
        <v>29</v>
      </c>
      <c r="D8" s="251">
        <v>110</v>
      </c>
      <c r="E8" s="251">
        <v>101</v>
      </c>
      <c r="F8" s="251">
        <v>91</v>
      </c>
      <c r="G8" s="251">
        <v>96</v>
      </c>
      <c r="H8" s="251">
        <v>103</v>
      </c>
      <c r="I8" s="251">
        <v>110</v>
      </c>
      <c r="J8" s="251">
        <v>104</v>
      </c>
      <c r="K8" s="251">
        <v>99</v>
      </c>
      <c r="L8" s="251">
        <v>96</v>
      </c>
      <c r="M8" s="251">
        <v>162</v>
      </c>
      <c r="N8" s="259">
        <f t="shared" si="0"/>
        <v>483</v>
      </c>
      <c r="O8" s="1"/>
      <c r="P8" s="166">
        <v>12</v>
      </c>
      <c r="Q8" s="166">
        <v>4</v>
      </c>
      <c r="R8" s="166">
        <v>3</v>
      </c>
      <c r="S8" s="166">
        <v>5</v>
      </c>
      <c r="T8" s="166">
        <v>5</v>
      </c>
      <c r="U8" s="166">
        <v>9</v>
      </c>
      <c r="V8" s="166">
        <v>5</v>
      </c>
      <c r="W8" s="166">
        <v>3</v>
      </c>
      <c r="X8" s="166">
        <v>4</v>
      </c>
      <c r="Y8" s="166">
        <v>16</v>
      </c>
      <c r="Z8" s="15">
        <f t="shared" si="1"/>
        <v>19</v>
      </c>
      <c r="AA8" s="21">
        <f>RANK(Z8,Z4:Z19,1)</f>
        <v>4</v>
      </c>
      <c r="AC8" s="28">
        <v>4</v>
      </c>
      <c r="AE8" s="225"/>
      <c r="AF8" s="33">
        <f t="shared" si="2"/>
        <v>96.6</v>
      </c>
      <c r="AH8" s="3">
        <f>COUNTIF(Tabell10[#This Row],1)</f>
        <v>0</v>
      </c>
      <c r="AI8" s="3">
        <f>COUNTIF(Tabell10[#This Row],2)</f>
        <v>0</v>
      </c>
      <c r="AJ8" s="3">
        <f>COUNTIF(Tabell10[#This Row],3)</f>
        <v>2</v>
      </c>
      <c r="AK8" s="3">
        <f t="shared" si="3"/>
        <v>0</v>
      </c>
      <c r="AL8" s="3">
        <f t="shared" si="4"/>
        <v>0</v>
      </c>
      <c r="AM8" s="3">
        <f t="shared" si="5"/>
        <v>200</v>
      </c>
      <c r="AN8" s="3">
        <f t="shared" si="6"/>
        <v>200</v>
      </c>
      <c r="AP8" s="3">
        <f t="shared" ref="AP8:AP18" si="7">AN8+AN28</f>
        <v>900</v>
      </c>
    </row>
    <row r="9" spans="2:42" ht="15.75" thickBot="1">
      <c r="B9" s="253" t="s">
        <v>30</v>
      </c>
      <c r="C9" s="254" t="s">
        <v>31</v>
      </c>
      <c r="D9" s="255">
        <v>100</v>
      </c>
      <c r="E9" s="255">
        <v>110</v>
      </c>
      <c r="F9" s="255">
        <v>101</v>
      </c>
      <c r="G9" s="255">
        <v>101</v>
      </c>
      <c r="H9" s="255">
        <v>112</v>
      </c>
      <c r="I9" s="255">
        <v>121</v>
      </c>
      <c r="J9" s="255">
        <v>112</v>
      </c>
      <c r="K9" s="255">
        <v>104</v>
      </c>
      <c r="L9" s="255">
        <v>97</v>
      </c>
      <c r="M9" s="255">
        <v>162</v>
      </c>
      <c r="N9" s="256">
        <f t="shared" si="0"/>
        <v>503</v>
      </c>
      <c r="O9" s="1"/>
      <c r="P9" s="166">
        <v>6</v>
      </c>
      <c r="Q9" s="166">
        <v>10</v>
      </c>
      <c r="R9" s="166">
        <v>10</v>
      </c>
      <c r="S9" s="166">
        <v>7</v>
      </c>
      <c r="T9" s="166">
        <v>10</v>
      </c>
      <c r="U9" s="166">
        <v>13</v>
      </c>
      <c r="V9" s="166">
        <v>7</v>
      </c>
      <c r="W9" s="166">
        <v>6</v>
      </c>
      <c r="X9" s="166">
        <v>5</v>
      </c>
      <c r="Y9" s="166">
        <v>16</v>
      </c>
      <c r="Z9" s="15">
        <f t="shared" si="1"/>
        <v>31</v>
      </c>
      <c r="AA9" s="21">
        <f>RANK(Z9,Z4:Z19,1)</f>
        <v>10</v>
      </c>
      <c r="AC9" s="28"/>
      <c r="AE9" s="225"/>
      <c r="AF9" s="33">
        <f t="shared" si="2"/>
        <v>100.6</v>
      </c>
      <c r="AH9" s="3">
        <f>COUNTIF(Tabell10[#This Row],1)</f>
        <v>0</v>
      </c>
      <c r="AI9" s="3">
        <f>COUNTIF(Tabell10[#This Row],2)</f>
        <v>0</v>
      </c>
      <c r="AJ9" s="3">
        <f>COUNTIF(Tabell10[#This Row],3)</f>
        <v>0</v>
      </c>
      <c r="AK9" s="3">
        <f t="shared" si="3"/>
        <v>0</v>
      </c>
      <c r="AL9" s="3">
        <f t="shared" si="4"/>
        <v>0</v>
      </c>
      <c r="AM9" s="3">
        <f t="shared" si="5"/>
        <v>0</v>
      </c>
      <c r="AN9" s="3">
        <f t="shared" si="6"/>
        <v>0</v>
      </c>
      <c r="AP9" s="3">
        <f t="shared" si="7"/>
        <v>800</v>
      </c>
    </row>
    <row r="10" spans="2:42" ht="15.75" thickBot="1">
      <c r="B10" s="257" t="s">
        <v>32</v>
      </c>
      <c r="C10" s="258" t="s">
        <v>33</v>
      </c>
      <c r="D10" s="251">
        <v>111</v>
      </c>
      <c r="E10" s="251">
        <v>98</v>
      </c>
      <c r="F10" s="251">
        <v>100</v>
      </c>
      <c r="G10" s="251">
        <v>100</v>
      </c>
      <c r="H10" s="251">
        <v>110</v>
      </c>
      <c r="I10" s="251">
        <v>105</v>
      </c>
      <c r="J10" s="251"/>
      <c r="K10" s="251">
        <v>103</v>
      </c>
      <c r="L10" s="251">
        <v>118</v>
      </c>
      <c r="M10" s="251">
        <v>162</v>
      </c>
      <c r="N10" s="259">
        <f t="shared" si="0"/>
        <v>506</v>
      </c>
      <c r="O10" s="1"/>
      <c r="P10" s="166">
        <v>13</v>
      </c>
      <c r="Q10" s="166">
        <v>3</v>
      </c>
      <c r="R10" s="166">
        <v>6</v>
      </c>
      <c r="S10" s="166">
        <v>6</v>
      </c>
      <c r="T10" s="166">
        <v>8</v>
      </c>
      <c r="U10" s="166">
        <v>7</v>
      </c>
      <c r="V10" s="166"/>
      <c r="W10" s="166">
        <v>5</v>
      </c>
      <c r="X10" s="166">
        <v>10</v>
      </c>
      <c r="Y10" s="166">
        <v>16</v>
      </c>
      <c r="Z10" s="15">
        <f t="shared" si="1"/>
        <v>27</v>
      </c>
      <c r="AA10" s="21">
        <f>RANK(Z10,Z4:Z19,1)</f>
        <v>8</v>
      </c>
      <c r="AC10" s="28">
        <v>4</v>
      </c>
      <c r="AE10" s="225"/>
      <c r="AF10" s="33">
        <f t="shared" si="2"/>
        <v>101.2</v>
      </c>
      <c r="AH10" s="3">
        <f>COUNTIF(Tabell10[#This Row],1)</f>
        <v>0</v>
      </c>
      <c r="AI10" s="3">
        <f>COUNTIF(Tabell10[#This Row],2)</f>
        <v>0</v>
      </c>
      <c r="AJ10" s="3">
        <f>COUNTIF(Tabell10[#This Row],3)</f>
        <v>1</v>
      </c>
      <c r="AK10" s="3">
        <f t="shared" si="3"/>
        <v>0</v>
      </c>
      <c r="AL10" s="3">
        <f t="shared" si="4"/>
        <v>0</v>
      </c>
      <c r="AM10" s="3">
        <f t="shared" si="5"/>
        <v>100</v>
      </c>
      <c r="AN10" s="3">
        <f t="shared" si="6"/>
        <v>100</v>
      </c>
      <c r="AP10" s="3">
        <f t="shared" si="7"/>
        <v>100</v>
      </c>
    </row>
    <row r="11" spans="2:42" ht="15.75" thickBot="1">
      <c r="B11" s="253" t="s">
        <v>20</v>
      </c>
      <c r="C11" s="254" t="s">
        <v>34</v>
      </c>
      <c r="D11" s="255">
        <v>115</v>
      </c>
      <c r="E11" s="255">
        <v>89</v>
      </c>
      <c r="F11" s="255">
        <v>100</v>
      </c>
      <c r="G11" s="255">
        <v>106</v>
      </c>
      <c r="H11" s="255">
        <v>110</v>
      </c>
      <c r="I11" s="255">
        <v>108</v>
      </c>
      <c r="J11" s="255"/>
      <c r="K11" s="255">
        <v>107</v>
      </c>
      <c r="L11" s="255">
        <v>101</v>
      </c>
      <c r="M11" s="255">
        <v>162</v>
      </c>
      <c r="N11" s="256">
        <f t="shared" si="0"/>
        <v>503</v>
      </c>
      <c r="O11" s="1"/>
      <c r="P11" s="166">
        <v>15</v>
      </c>
      <c r="Q11" s="166">
        <v>1</v>
      </c>
      <c r="R11" s="166">
        <v>6</v>
      </c>
      <c r="S11" s="166">
        <v>10</v>
      </c>
      <c r="T11" s="166">
        <v>8</v>
      </c>
      <c r="U11" s="166">
        <v>8</v>
      </c>
      <c r="V11" s="166"/>
      <c r="W11" s="166">
        <v>8</v>
      </c>
      <c r="X11" s="166">
        <v>6</v>
      </c>
      <c r="Y11" s="166">
        <v>16</v>
      </c>
      <c r="Z11" s="15">
        <f t="shared" si="1"/>
        <v>29</v>
      </c>
      <c r="AA11" s="21">
        <f>RANK(Z11,Z4:Z19,1)</f>
        <v>9</v>
      </c>
      <c r="AC11" s="28">
        <v>4</v>
      </c>
      <c r="AE11" s="225"/>
      <c r="AF11" s="33">
        <f t="shared" si="2"/>
        <v>100.6</v>
      </c>
      <c r="AH11" s="3">
        <f>COUNTIF(Tabell10[#This Row],1)</f>
        <v>1</v>
      </c>
      <c r="AI11" s="3">
        <f>COUNTIF(Tabell10[#This Row],2)</f>
        <v>0</v>
      </c>
      <c r="AJ11" s="3">
        <f>COUNTIF(Tabell10[#This Row],3)</f>
        <v>0</v>
      </c>
      <c r="AK11" s="3">
        <f t="shared" si="3"/>
        <v>300</v>
      </c>
      <c r="AL11" s="3">
        <f t="shared" si="4"/>
        <v>0</v>
      </c>
      <c r="AM11" s="3">
        <f t="shared" si="5"/>
        <v>0</v>
      </c>
      <c r="AN11" s="3">
        <f t="shared" si="6"/>
        <v>300</v>
      </c>
      <c r="AP11" s="3">
        <f t="shared" si="7"/>
        <v>600</v>
      </c>
    </row>
    <row r="12" spans="2:42" ht="15.75" thickBot="1">
      <c r="B12" s="257" t="s">
        <v>35</v>
      </c>
      <c r="C12" s="258" t="s">
        <v>36</v>
      </c>
      <c r="D12" s="251">
        <v>104</v>
      </c>
      <c r="E12" s="251">
        <v>102</v>
      </c>
      <c r="F12" s="251">
        <v>100</v>
      </c>
      <c r="G12" s="251">
        <v>113</v>
      </c>
      <c r="H12" s="251"/>
      <c r="I12" s="251">
        <v>114</v>
      </c>
      <c r="J12" s="251">
        <v>124</v>
      </c>
      <c r="K12" s="251">
        <v>126</v>
      </c>
      <c r="L12" s="251"/>
      <c r="M12" s="251">
        <v>162</v>
      </c>
      <c r="N12" s="259">
        <f t="shared" si="0"/>
        <v>533</v>
      </c>
      <c r="O12" s="1"/>
      <c r="P12" s="166">
        <v>7</v>
      </c>
      <c r="Q12" s="166">
        <v>8</v>
      </c>
      <c r="R12" s="166">
        <v>6</v>
      </c>
      <c r="S12" s="166">
        <v>13</v>
      </c>
      <c r="T12" s="166"/>
      <c r="U12" s="166">
        <v>10</v>
      </c>
      <c r="V12" s="166">
        <v>11</v>
      </c>
      <c r="W12" s="166">
        <v>12</v>
      </c>
      <c r="X12" s="166">
        <v>16</v>
      </c>
      <c r="Y12" s="166">
        <v>16</v>
      </c>
      <c r="Z12" s="15">
        <f t="shared" si="1"/>
        <v>42</v>
      </c>
      <c r="AA12" s="21">
        <f>RANK(Z12,Z4:Z19,1)</f>
        <v>12</v>
      </c>
      <c r="AC12" s="28">
        <v>3</v>
      </c>
      <c r="AE12" s="225"/>
      <c r="AF12" s="33">
        <f t="shared" si="2"/>
        <v>106.6</v>
      </c>
      <c r="AH12" s="3">
        <f>COUNTIF(Tabell10[#This Row],1)</f>
        <v>0</v>
      </c>
      <c r="AI12" s="3">
        <f>COUNTIF(Tabell10[#This Row],2)</f>
        <v>0</v>
      </c>
      <c r="AJ12" s="3">
        <f>COUNTIF(Tabell10[#This Row],3)</f>
        <v>0</v>
      </c>
      <c r="AK12" s="3">
        <f t="shared" si="3"/>
        <v>0</v>
      </c>
      <c r="AL12" s="3">
        <f t="shared" si="4"/>
        <v>0</v>
      </c>
      <c r="AM12" s="3">
        <f t="shared" si="5"/>
        <v>0</v>
      </c>
      <c r="AN12" s="3">
        <f t="shared" si="6"/>
        <v>0</v>
      </c>
      <c r="AP12" s="3">
        <f t="shared" si="7"/>
        <v>400</v>
      </c>
    </row>
    <row r="13" spans="2:42" ht="15.75" thickBot="1">
      <c r="B13" s="253" t="s">
        <v>37</v>
      </c>
      <c r="C13" s="254" t="s">
        <v>38</v>
      </c>
      <c r="D13" s="255">
        <v>109</v>
      </c>
      <c r="E13" s="255"/>
      <c r="F13" s="255"/>
      <c r="G13" s="255"/>
      <c r="H13" s="255">
        <v>116</v>
      </c>
      <c r="I13" s="255"/>
      <c r="J13" s="255">
        <v>117</v>
      </c>
      <c r="K13" s="255"/>
      <c r="L13" s="255"/>
      <c r="M13" s="255">
        <v>162</v>
      </c>
      <c r="N13" s="256" t="e">
        <f t="shared" si="0"/>
        <v>#NUM!</v>
      </c>
      <c r="O13" s="1"/>
      <c r="P13" s="166">
        <v>11</v>
      </c>
      <c r="Q13" s="166"/>
      <c r="R13" s="166"/>
      <c r="S13" s="166"/>
      <c r="T13" s="166">
        <v>11</v>
      </c>
      <c r="U13" s="166"/>
      <c r="V13" s="166">
        <v>10</v>
      </c>
      <c r="W13" s="166"/>
      <c r="X13" s="166">
        <v>16</v>
      </c>
      <c r="Y13" s="166">
        <v>16</v>
      </c>
      <c r="Z13" s="15">
        <f t="shared" si="1"/>
        <v>64</v>
      </c>
      <c r="AA13" s="21">
        <f>RANK(Z13,Z4:Z19,1)</f>
        <v>15</v>
      </c>
      <c r="AC13" s="28">
        <v>3</v>
      </c>
      <c r="AE13" s="225"/>
      <c r="AF13" s="33" t="e">
        <f t="shared" si="2"/>
        <v>#NUM!</v>
      </c>
      <c r="AH13" s="3">
        <f>COUNTIF(Tabell10[#This Row],1)</f>
        <v>0</v>
      </c>
      <c r="AI13" s="3">
        <f>COUNTIF(Tabell10[#This Row],2)</f>
        <v>0</v>
      </c>
      <c r="AJ13" s="3">
        <f>COUNTIF(Tabell10[#This Row],3)</f>
        <v>0</v>
      </c>
      <c r="AK13" s="3">
        <f t="shared" si="3"/>
        <v>0</v>
      </c>
      <c r="AL13" s="3">
        <f t="shared" si="4"/>
        <v>0</v>
      </c>
      <c r="AM13" s="3">
        <f t="shared" si="5"/>
        <v>0</v>
      </c>
      <c r="AN13" s="3">
        <f t="shared" si="6"/>
        <v>0</v>
      </c>
      <c r="AP13" s="3">
        <f t="shared" si="7"/>
        <v>0</v>
      </c>
    </row>
    <row r="14" spans="2:42" ht="15.75" thickBot="1">
      <c r="B14" s="257" t="s">
        <v>39</v>
      </c>
      <c r="C14" s="258" t="s">
        <v>40</v>
      </c>
      <c r="D14" s="251">
        <v>104</v>
      </c>
      <c r="E14" s="251">
        <v>101</v>
      </c>
      <c r="F14" s="251">
        <v>97</v>
      </c>
      <c r="G14" s="251">
        <v>110</v>
      </c>
      <c r="H14" s="251">
        <v>101</v>
      </c>
      <c r="I14" s="251">
        <v>100</v>
      </c>
      <c r="J14" s="251">
        <v>94</v>
      </c>
      <c r="K14" s="251">
        <v>108</v>
      </c>
      <c r="L14" s="251">
        <v>108</v>
      </c>
      <c r="M14" s="251">
        <v>162</v>
      </c>
      <c r="N14" s="259">
        <f t="shared" si="0"/>
        <v>493</v>
      </c>
      <c r="O14" s="1"/>
      <c r="P14" s="166">
        <v>7</v>
      </c>
      <c r="Q14" s="166">
        <v>4</v>
      </c>
      <c r="R14" s="166">
        <v>5</v>
      </c>
      <c r="S14" s="166">
        <v>12</v>
      </c>
      <c r="T14" s="166">
        <v>4</v>
      </c>
      <c r="U14" s="166">
        <v>4</v>
      </c>
      <c r="V14" s="166">
        <v>2</v>
      </c>
      <c r="W14" s="166">
        <v>9</v>
      </c>
      <c r="X14" s="166">
        <v>8</v>
      </c>
      <c r="Y14" s="166">
        <v>16</v>
      </c>
      <c r="Z14" s="15">
        <f t="shared" si="1"/>
        <v>19</v>
      </c>
      <c r="AA14" s="21">
        <f>RANK(Z14,Z4:Z18,1)</f>
        <v>4</v>
      </c>
      <c r="AC14" s="28">
        <v>2</v>
      </c>
      <c r="AE14" s="225"/>
      <c r="AF14" s="33">
        <f t="shared" si="2"/>
        <v>98.6</v>
      </c>
      <c r="AH14" s="3">
        <f>COUNTIF(Tabell10[#This Row],1)</f>
        <v>0</v>
      </c>
      <c r="AI14" s="3">
        <f>COUNTIF(Tabell10[#This Row],2)</f>
        <v>1</v>
      </c>
      <c r="AJ14" s="3">
        <f>COUNTIF(Tabell10[#This Row],3)</f>
        <v>0</v>
      </c>
      <c r="AK14" s="3">
        <f t="shared" si="3"/>
        <v>0</v>
      </c>
      <c r="AL14" s="3">
        <f t="shared" si="4"/>
        <v>200</v>
      </c>
      <c r="AM14" s="3">
        <f t="shared" si="5"/>
        <v>0</v>
      </c>
      <c r="AN14" s="3">
        <f t="shared" si="6"/>
        <v>200</v>
      </c>
      <c r="AP14" s="3">
        <f t="shared" si="7"/>
        <v>1100</v>
      </c>
    </row>
    <row r="15" spans="2:42" ht="15.75" thickBot="1">
      <c r="B15" s="253" t="s">
        <v>32</v>
      </c>
      <c r="C15" s="254" t="s">
        <v>41</v>
      </c>
      <c r="D15" s="255">
        <v>106</v>
      </c>
      <c r="E15" s="255">
        <v>112</v>
      </c>
      <c r="F15" s="255">
        <v>117</v>
      </c>
      <c r="G15" s="255">
        <v>108</v>
      </c>
      <c r="H15" s="255"/>
      <c r="I15" s="255"/>
      <c r="J15" s="255">
        <v>116</v>
      </c>
      <c r="K15" s="255">
        <v>127</v>
      </c>
      <c r="L15" s="255"/>
      <c r="M15" s="255">
        <v>162</v>
      </c>
      <c r="N15" s="256">
        <f t="shared" si="0"/>
        <v>559</v>
      </c>
      <c r="O15" s="1"/>
      <c r="P15" s="166">
        <v>9</v>
      </c>
      <c r="Q15" s="166">
        <v>11</v>
      </c>
      <c r="R15" s="166">
        <v>12</v>
      </c>
      <c r="S15" s="166">
        <v>11</v>
      </c>
      <c r="T15" s="166"/>
      <c r="U15" s="166"/>
      <c r="V15" s="166">
        <v>9</v>
      </c>
      <c r="W15" s="166">
        <v>13</v>
      </c>
      <c r="X15" s="166">
        <v>16</v>
      </c>
      <c r="Y15" s="166">
        <v>16</v>
      </c>
      <c r="Z15" s="15">
        <f t="shared" si="1"/>
        <v>52</v>
      </c>
      <c r="AA15" s="21">
        <f>RANK(Z15,Z4:Z19,1)</f>
        <v>14</v>
      </c>
      <c r="AC15" s="28">
        <v>1</v>
      </c>
      <c r="AE15" s="225"/>
      <c r="AF15" s="33">
        <f t="shared" si="2"/>
        <v>111.8</v>
      </c>
      <c r="AH15" s="3">
        <f>COUNTIF(Tabell10[#This Row],1)</f>
        <v>0</v>
      </c>
      <c r="AI15" s="3">
        <f>COUNTIF(Tabell10[#This Row],2)</f>
        <v>0</v>
      </c>
      <c r="AJ15" s="3">
        <f>COUNTIF(Tabell10[#This Row],3)</f>
        <v>0</v>
      </c>
      <c r="AK15" s="3">
        <f t="shared" si="3"/>
        <v>0</v>
      </c>
      <c r="AL15" s="3">
        <f t="shared" si="4"/>
        <v>0</v>
      </c>
      <c r="AM15" s="3">
        <f t="shared" si="5"/>
        <v>0</v>
      </c>
      <c r="AN15" s="3">
        <f t="shared" si="6"/>
        <v>0</v>
      </c>
      <c r="AP15" s="3">
        <f t="shared" si="7"/>
        <v>0</v>
      </c>
    </row>
    <row r="16" spans="2:42" ht="15.75" thickBot="1">
      <c r="B16" s="257" t="s">
        <v>42</v>
      </c>
      <c r="C16" s="258" t="s">
        <v>27</v>
      </c>
      <c r="D16" s="251">
        <v>111</v>
      </c>
      <c r="E16" s="251">
        <v>101</v>
      </c>
      <c r="F16" s="251"/>
      <c r="G16" s="251">
        <v>103</v>
      </c>
      <c r="H16" s="251">
        <v>107</v>
      </c>
      <c r="I16" s="251">
        <v>114</v>
      </c>
      <c r="J16" s="251"/>
      <c r="K16" s="251"/>
      <c r="L16" s="251">
        <v>106</v>
      </c>
      <c r="M16" s="251">
        <v>162</v>
      </c>
      <c r="N16" s="259">
        <f t="shared" si="0"/>
        <v>528</v>
      </c>
      <c r="O16" s="1"/>
      <c r="P16" s="166">
        <v>13</v>
      </c>
      <c r="Q16" s="166">
        <v>4</v>
      </c>
      <c r="R16" s="166"/>
      <c r="S16" s="166">
        <v>8</v>
      </c>
      <c r="T16" s="166">
        <v>7</v>
      </c>
      <c r="U16" s="166">
        <v>10</v>
      </c>
      <c r="V16" s="166"/>
      <c r="W16" s="166"/>
      <c r="X16" s="166">
        <v>7</v>
      </c>
      <c r="Y16" s="166">
        <v>16</v>
      </c>
      <c r="Z16" s="15">
        <f t="shared" si="1"/>
        <v>36</v>
      </c>
      <c r="AA16" s="21">
        <f>RANK(Z16,Z4:Z19,1)</f>
        <v>11</v>
      </c>
      <c r="AC16" s="28"/>
      <c r="AE16" s="225"/>
      <c r="AF16" s="33">
        <f t="shared" si="2"/>
        <v>105.6</v>
      </c>
      <c r="AH16" s="3">
        <f>COUNTIF(Tabell10[#This Row],1)</f>
        <v>0</v>
      </c>
      <c r="AI16" s="3">
        <f>COUNTIF(Tabell10[#This Row],2)</f>
        <v>0</v>
      </c>
      <c r="AJ16" s="3">
        <f>COUNTIF(Tabell10[#This Row],3)</f>
        <v>0</v>
      </c>
      <c r="AK16" s="3">
        <f t="shared" si="3"/>
        <v>0</v>
      </c>
      <c r="AL16" s="3">
        <f t="shared" si="4"/>
        <v>0</v>
      </c>
      <c r="AM16" s="3">
        <f t="shared" si="5"/>
        <v>0</v>
      </c>
      <c r="AN16" s="3">
        <f t="shared" si="6"/>
        <v>0</v>
      </c>
      <c r="AP16" s="3">
        <f t="shared" si="7"/>
        <v>0</v>
      </c>
    </row>
    <row r="17" spans="2:44" ht="15.75" thickBot="1">
      <c r="B17" s="253" t="s">
        <v>43</v>
      </c>
      <c r="C17" s="254" t="s">
        <v>44</v>
      </c>
      <c r="D17" s="255">
        <v>93</v>
      </c>
      <c r="E17" s="255"/>
      <c r="F17" s="255">
        <v>100</v>
      </c>
      <c r="G17" s="255">
        <v>91</v>
      </c>
      <c r="H17" s="255"/>
      <c r="I17" s="255">
        <v>104</v>
      </c>
      <c r="J17" s="255">
        <v>107</v>
      </c>
      <c r="K17" s="255">
        <v>111</v>
      </c>
      <c r="L17" s="255"/>
      <c r="M17" s="255">
        <v>162</v>
      </c>
      <c r="N17" s="256">
        <f t="shared" si="0"/>
        <v>495</v>
      </c>
      <c r="O17" s="1"/>
      <c r="P17" s="166">
        <v>3</v>
      </c>
      <c r="Q17" s="166"/>
      <c r="R17" s="166">
        <v>6</v>
      </c>
      <c r="S17" s="166">
        <v>3</v>
      </c>
      <c r="T17" s="166"/>
      <c r="U17" s="166">
        <v>5</v>
      </c>
      <c r="V17" s="166">
        <v>6</v>
      </c>
      <c r="W17" s="166">
        <v>10</v>
      </c>
      <c r="X17" s="166">
        <v>16</v>
      </c>
      <c r="Y17" s="166">
        <v>16</v>
      </c>
      <c r="Z17" s="15">
        <f t="shared" si="1"/>
        <v>23</v>
      </c>
      <c r="AA17" s="22">
        <f>RANK(Z17,Z4:Z19,1)</f>
        <v>7</v>
      </c>
      <c r="AC17" s="28"/>
      <c r="AE17" s="226"/>
      <c r="AF17" s="33">
        <f t="shared" si="2"/>
        <v>99</v>
      </c>
      <c r="AH17" s="3">
        <f>COUNTIF(Tabell10[#This Row],1)</f>
        <v>0</v>
      </c>
      <c r="AI17" s="3">
        <f>COUNTIF(Tabell10[#This Row],2)</f>
        <v>0</v>
      </c>
      <c r="AJ17" s="3">
        <f>COUNTIF(Tabell10[#This Row],3)</f>
        <v>2</v>
      </c>
      <c r="AK17" s="3">
        <f t="shared" si="3"/>
        <v>0</v>
      </c>
      <c r="AL17" s="3">
        <f t="shared" si="4"/>
        <v>0</v>
      </c>
      <c r="AM17" s="3">
        <f t="shared" si="5"/>
        <v>200</v>
      </c>
      <c r="AN17" s="3">
        <f t="shared" si="6"/>
        <v>200</v>
      </c>
      <c r="AP17" s="3">
        <f t="shared" si="7"/>
        <v>600</v>
      </c>
    </row>
    <row r="18" spans="2:44" s="60" customFormat="1" ht="15.75" thickBot="1">
      <c r="B18" s="260" t="s">
        <v>45</v>
      </c>
      <c r="C18" s="261" t="s">
        <v>46</v>
      </c>
      <c r="D18" s="251">
        <v>95</v>
      </c>
      <c r="E18" s="251">
        <v>103</v>
      </c>
      <c r="F18" s="251"/>
      <c r="G18" s="251">
        <v>88</v>
      </c>
      <c r="H18" s="251">
        <v>104</v>
      </c>
      <c r="I18" s="251">
        <v>99</v>
      </c>
      <c r="J18" s="251"/>
      <c r="K18" s="251">
        <v>106</v>
      </c>
      <c r="L18" s="251"/>
      <c r="M18" s="251">
        <v>162</v>
      </c>
      <c r="N18" s="259">
        <f t="shared" si="0"/>
        <v>489</v>
      </c>
      <c r="O18" s="58"/>
      <c r="P18" s="166">
        <v>4</v>
      </c>
      <c r="Q18" s="166">
        <v>9</v>
      </c>
      <c r="R18" s="166"/>
      <c r="S18" s="166">
        <v>2</v>
      </c>
      <c r="T18" s="166">
        <v>6</v>
      </c>
      <c r="U18" s="166">
        <v>3</v>
      </c>
      <c r="V18" s="166"/>
      <c r="W18" s="166">
        <v>7</v>
      </c>
      <c r="X18" s="166">
        <v>16</v>
      </c>
      <c r="Y18" s="166">
        <v>16</v>
      </c>
      <c r="Z18" s="15">
        <f t="shared" si="1"/>
        <v>22</v>
      </c>
      <c r="AA18" s="22">
        <f>RANK(Z18,Z4:Z19,1)</f>
        <v>6</v>
      </c>
      <c r="AC18" s="210">
        <v>2</v>
      </c>
      <c r="AD18" s="59"/>
      <c r="AE18" s="226"/>
      <c r="AF18" s="33">
        <f t="shared" si="2"/>
        <v>97.8</v>
      </c>
      <c r="AH18" s="3">
        <f>COUNTIF(Tabell10[#This Row],1)</f>
        <v>0</v>
      </c>
      <c r="AI18" s="3">
        <f>COUNTIF(Tabell10[#This Row],2)</f>
        <v>1</v>
      </c>
      <c r="AJ18" s="3">
        <f>COUNTIF(Tabell10[#This Row],3)</f>
        <v>1</v>
      </c>
      <c r="AK18" s="3">
        <f t="shared" si="3"/>
        <v>0</v>
      </c>
      <c r="AL18" s="3">
        <f t="shared" si="4"/>
        <v>200</v>
      </c>
      <c r="AM18" s="3">
        <f t="shared" si="5"/>
        <v>100</v>
      </c>
      <c r="AN18" s="3">
        <f t="shared" si="6"/>
        <v>300</v>
      </c>
      <c r="AP18" s="3">
        <f t="shared" si="7"/>
        <v>600</v>
      </c>
    </row>
    <row r="19" spans="2:44" ht="15.75" thickBot="1">
      <c r="B19" s="262" t="s">
        <v>47</v>
      </c>
      <c r="C19" s="263" t="s">
        <v>27</v>
      </c>
      <c r="D19" s="251">
        <v>122</v>
      </c>
      <c r="E19" s="251">
        <v>101</v>
      </c>
      <c r="F19" s="251">
        <v>109</v>
      </c>
      <c r="G19" s="251">
        <v>120</v>
      </c>
      <c r="H19" s="251">
        <v>116</v>
      </c>
      <c r="I19" s="251">
        <v>117</v>
      </c>
      <c r="J19" s="251">
        <v>114</v>
      </c>
      <c r="K19" s="251">
        <v>127</v>
      </c>
      <c r="L19" s="251">
        <v>114</v>
      </c>
      <c r="M19" s="251">
        <v>162</v>
      </c>
      <c r="N19" s="259">
        <f t="shared" si="0"/>
        <v>554</v>
      </c>
      <c r="P19" s="166">
        <v>16</v>
      </c>
      <c r="Q19" s="166">
        <v>4</v>
      </c>
      <c r="R19" s="166">
        <v>11</v>
      </c>
      <c r="S19" s="166">
        <v>14</v>
      </c>
      <c r="T19" s="166">
        <v>11</v>
      </c>
      <c r="U19" s="166">
        <v>12</v>
      </c>
      <c r="V19" s="166">
        <v>8</v>
      </c>
      <c r="W19" s="166">
        <v>13</v>
      </c>
      <c r="X19" s="166">
        <v>9</v>
      </c>
      <c r="Y19" s="166">
        <v>16</v>
      </c>
      <c r="Z19" s="15">
        <f>SMALL(P19:Y19,1)+SMALL(P19:Y19,2)+SMALL(P19:Y19,3)+SMALL(P19:Y19,4)+SMALL(P19:Y19,5)</f>
        <v>43</v>
      </c>
      <c r="AA19" s="22">
        <f>RANK(Z19,Z4:Z19,1)</f>
        <v>13</v>
      </c>
      <c r="AC19" s="227" t="s">
        <v>8</v>
      </c>
      <c r="AE19" s="226"/>
      <c r="AF19" s="33">
        <f t="shared" si="2"/>
        <v>110.8</v>
      </c>
      <c r="AH19" s="3">
        <f>COUNTIF(Tabell10[#This Row],1)</f>
        <v>0</v>
      </c>
      <c r="AI19" s="3">
        <f>COUNTIF(Tabell10[#This Row],2)</f>
        <v>0</v>
      </c>
      <c r="AJ19" s="3">
        <f>COUNTIF(Tabell10[#This Row],3)</f>
        <v>0</v>
      </c>
      <c r="AK19" s="3">
        <f t="shared" ref="AK19" si="8">AH19*300</f>
        <v>0</v>
      </c>
      <c r="AL19" s="3">
        <f t="shared" ref="AL19" si="9">AI19*200</f>
        <v>0</v>
      </c>
      <c r="AM19" s="3">
        <f t="shared" ref="AM19" si="10">AJ19*100</f>
        <v>0</v>
      </c>
      <c r="AN19" s="3">
        <f t="shared" ref="AN19" si="11">AK19+AL19+AM19</f>
        <v>0</v>
      </c>
      <c r="AO19" s="60"/>
      <c r="AP19" s="3">
        <f t="shared" ref="AP19" si="12">AN19+AN39</f>
        <v>300</v>
      </c>
      <c r="AQ19" s="3" t="s">
        <v>48</v>
      </c>
    </row>
    <row r="20" spans="2:44" ht="15.75" thickBot="1">
      <c r="B20" s="173" t="s">
        <v>49</v>
      </c>
      <c r="C20" s="290" t="s">
        <v>50</v>
      </c>
      <c r="D20" s="291">
        <f t="shared" ref="D20:L20" si="13">AVERAGE(D4:D19)</f>
        <v>103.875</v>
      </c>
      <c r="E20" s="291">
        <f t="shared" si="13"/>
        <v>100.72727272727273</v>
      </c>
      <c r="F20" s="291">
        <f t="shared" si="13"/>
        <v>98.75</v>
      </c>
      <c r="G20" s="291">
        <f t="shared" si="13"/>
        <v>101.28571428571429</v>
      </c>
      <c r="H20" s="291">
        <f t="shared" si="13"/>
        <v>105.16666666666667</v>
      </c>
      <c r="I20" s="291">
        <f t="shared" si="13"/>
        <v>106.69230769230769</v>
      </c>
      <c r="J20" s="291">
        <f t="shared" si="13"/>
        <v>106.81818181818181</v>
      </c>
      <c r="K20" s="291">
        <f t="shared" si="13"/>
        <v>107.46153846153847</v>
      </c>
      <c r="L20" s="291">
        <f t="shared" si="13"/>
        <v>101.7</v>
      </c>
      <c r="M20" s="291">
        <f t="shared" ref="M20:N20" si="14">AVERAGE(M4:M19)</f>
        <v>162</v>
      </c>
      <c r="N20" s="291" t="e">
        <f t="shared" si="14"/>
        <v>#NUM!</v>
      </c>
      <c r="O20" s="13" t="s">
        <v>48</v>
      </c>
      <c r="P20" s="174" t="s">
        <v>48</v>
      </c>
      <c r="Q20" s="175"/>
      <c r="R20" s="175"/>
      <c r="S20" s="175"/>
      <c r="T20" s="176"/>
      <c r="U20" s="176"/>
      <c r="V20" s="176"/>
      <c r="W20" s="176"/>
      <c r="X20" s="176"/>
      <c r="Y20" s="177"/>
      <c r="AC20" s="211">
        <f>SUM(Tabell11[[#Data],[#Totals],[Öl]])</f>
        <v>23</v>
      </c>
      <c r="AE20" s="226"/>
      <c r="AF20" s="34" t="e">
        <f>SUBTOTAL(101,Tabell61[Snittscore])</f>
        <v>#NUM!</v>
      </c>
    </row>
    <row r="21" spans="2:44" ht="15.75" thickBot="1">
      <c r="B21" s="2"/>
      <c r="C21" s="1"/>
      <c r="D21" s="13"/>
      <c r="E21" s="1"/>
      <c r="F21" s="1"/>
      <c r="G21" s="1"/>
      <c r="H21" s="1"/>
      <c r="I21" s="1"/>
      <c r="J21" s="1"/>
      <c r="K21" s="1"/>
      <c r="L21" s="1"/>
      <c r="M21" s="1"/>
      <c r="N21" s="1" t="s">
        <v>48</v>
      </c>
      <c r="P21" s="3"/>
      <c r="Q21" s="3"/>
      <c r="R21" s="3"/>
      <c r="S21" s="3"/>
      <c r="T21" s="3"/>
      <c r="U21" s="3"/>
      <c r="V21" s="3"/>
      <c r="W21" s="3"/>
      <c r="X21" s="3"/>
      <c r="Y21" s="3"/>
      <c r="AA21" s="3"/>
      <c r="AC21" s="264">
        <f>AC20+Tabell11[[#Totals],[Öl]]</f>
        <v>28</v>
      </c>
      <c r="AE21" s="13" t="s">
        <v>48</v>
      </c>
    </row>
    <row r="22" spans="2:44" s="8" customFormat="1" ht="15.75" thickBot="1">
      <c r="B22" s="2"/>
      <c r="C22" s="1"/>
      <c r="D22" s="355" t="s">
        <v>51</v>
      </c>
      <c r="E22" s="356"/>
      <c r="F22" s="356"/>
      <c r="G22" s="356"/>
      <c r="H22" s="356"/>
      <c r="I22" s="356"/>
      <c r="J22" s="356"/>
      <c r="K22" s="356"/>
      <c r="L22" s="357"/>
      <c r="M22" s="1"/>
      <c r="N22" s="1"/>
      <c r="P22" s="100" t="s">
        <v>52</v>
      </c>
      <c r="Q22" s="101"/>
      <c r="R22" s="101"/>
      <c r="S22" s="101"/>
      <c r="T22" s="101"/>
      <c r="U22" s="101"/>
      <c r="V22" s="101"/>
      <c r="W22" s="101"/>
      <c r="X22" s="102"/>
      <c r="Y22" s="13"/>
      <c r="Z22" s="3"/>
      <c r="AA22" s="13"/>
      <c r="AC22" s="59"/>
      <c r="AE22" s="95" t="s">
        <v>19</v>
      </c>
      <c r="AG22" s="90" t="s">
        <v>48</v>
      </c>
      <c r="AR22" s="8" t="s">
        <v>48</v>
      </c>
    </row>
    <row r="23" spans="2:44" s="8" customFormat="1" ht="15.75" thickBot="1">
      <c r="B23" s="91" t="s">
        <v>2</v>
      </c>
      <c r="C23" s="92" t="s">
        <v>3</v>
      </c>
      <c r="D23" s="184" t="s">
        <v>4</v>
      </c>
      <c r="E23" s="184" t="s">
        <v>5</v>
      </c>
      <c r="F23" s="184" t="s">
        <v>6</v>
      </c>
      <c r="G23" s="184" t="s">
        <v>7</v>
      </c>
      <c r="H23" s="184" t="s">
        <v>8</v>
      </c>
      <c r="I23" s="184" t="s">
        <v>9</v>
      </c>
      <c r="J23" s="184" t="s">
        <v>10</v>
      </c>
      <c r="K23" s="184" t="s">
        <v>11</v>
      </c>
      <c r="L23" s="184" t="s">
        <v>15</v>
      </c>
      <c r="M23" s="184" t="s">
        <v>13</v>
      </c>
      <c r="N23" s="184" t="s">
        <v>14</v>
      </c>
      <c r="O23" s="183" t="s">
        <v>53</v>
      </c>
      <c r="P23" s="16" t="s">
        <v>4</v>
      </c>
      <c r="Q23" s="16" t="s">
        <v>5</v>
      </c>
      <c r="R23" s="16" t="s">
        <v>6</v>
      </c>
      <c r="S23" s="16" t="s">
        <v>7</v>
      </c>
      <c r="T23" s="16" t="s">
        <v>8</v>
      </c>
      <c r="U23" s="16" t="s">
        <v>9</v>
      </c>
      <c r="V23" s="16" t="s">
        <v>10</v>
      </c>
      <c r="W23" s="16" t="s">
        <v>11</v>
      </c>
      <c r="X23" s="16" t="s">
        <v>15</v>
      </c>
      <c r="Y23" s="17" t="s">
        <v>13</v>
      </c>
      <c r="Z23" s="16" t="s">
        <v>14</v>
      </c>
      <c r="AA23" s="19" t="s">
        <v>16</v>
      </c>
      <c r="AC23" s="113" t="s">
        <v>54</v>
      </c>
      <c r="AE23" s="178" t="s">
        <v>55</v>
      </c>
      <c r="AG23" s="90"/>
    </row>
    <row r="24" spans="2:44" ht="15.75" thickBot="1">
      <c r="B24" s="292" t="s">
        <v>20</v>
      </c>
      <c r="C24" s="293" t="s">
        <v>21</v>
      </c>
      <c r="D24" s="190">
        <v>75</v>
      </c>
      <c r="E24" s="190">
        <v>75</v>
      </c>
      <c r="F24" s="190">
        <v>75</v>
      </c>
      <c r="G24" s="190">
        <v>71</v>
      </c>
      <c r="H24" s="190">
        <v>83</v>
      </c>
      <c r="I24" s="190">
        <v>79</v>
      </c>
      <c r="J24" s="190">
        <v>76</v>
      </c>
      <c r="K24" s="190">
        <v>72</v>
      </c>
      <c r="L24" s="190">
        <v>72</v>
      </c>
      <c r="M24" s="190">
        <v>126</v>
      </c>
      <c r="N24" s="185">
        <f>SMALL(D24:M24,1)+SMALL(D24:M24,2)+SMALL(D24:M24,3)+SMALL(D24:M24,4)+SMALL(D24:M24,5)</f>
        <v>365</v>
      </c>
      <c r="O24" s="3"/>
      <c r="P24" s="166">
        <v>6</v>
      </c>
      <c r="Q24" s="166">
        <v>4</v>
      </c>
      <c r="R24" s="166">
        <v>7</v>
      </c>
      <c r="S24" s="166">
        <v>1</v>
      </c>
      <c r="T24" s="166">
        <v>7</v>
      </c>
      <c r="U24" s="166">
        <v>3</v>
      </c>
      <c r="V24" s="166">
        <v>3</v>
      </c>
      <c r="W24" s="166">
        <v>1</v>
      </c>
      <c r="X24" s="166">
        <v>3</v>
      </c>
      <c r="Y24" s="166">
        <v>16</v>
      </c>
      <c r="Z24" s="167">
        <f>SMALL(P24:Y24,1)+SMALL(P24:Y24,2)+SMALL(P24:Y24,3)+SMALL(P24:Y24,4)+SMALL(P24:Y24,5)</f>
        <v>11</v>
      </c>
      <c r="AA24" s="61">
        <f>RANK(Z24,Z24:Z39,1)</f>
        <v>1</v>
      </c>
      <c r="AC24" s="109">
        <v>4</v>
      </c>
      <c r="AE24" s="97">
        <f>Tabell4[[#This Row],[Sum]]/5</f>
        <v>73</v>
      </c>
      <c r="AG24" s="13"/>
      <c r="AH24" s="3">
        <f>COUNTIF(Tabell6[[#This Row],[1]:[10]],1)</f>
        <v>2</v>
      </c>
      <c r="AI24" s="3">
        <f>COUNTIF(Tabell6[[#This Row],[1]:[10]],3)</f>
        <v>3</v>
      </c>
      <c r="AJ24" s="3">
        <f>COUNTIF(Tabell6[[#This Row],[1]:[10]],2)</f>
        <v>0</v>
      </c>
      <c r="AK24" s="3">
        <f>AH24*300</f>
        <v>600</v>
      </c>
      <c r="AL24" s="3">
        <f>AI24*100</f>
        <v>300</v>
      </c>
      <c r="AM24" s="3">
        <f>AJ24*200</f>
        <v>0</v>
      </c>
      <c r="AN24" s="3">
        <f>AK24+AL24+AM24</f>
        <v>900</v>
      </c>
    </row>
    <row r="25" spans="2:44" ht="15.75" thickBot="1">
      <c r="B25" s="128" t="s">
        <v>22</v>
      </c>
      <c r="C25" s="192" t="s">
        <v>23</v>
      </c>
      <c r="D25" s="190">
        <v>79</v>
      </c>
      <c r="E25" s="190"/>
      <c r="F25" s="190">
        <v>73</v>
      </c>
      <c r="G25" s="190">
        <v>75</v>
      </c>
      <c r="H25" s="190">
        <v>77</v>
      </c>
      <c r="I25" s="190">
        <v>78</v>
      </c>
      <c r="J25" s="190">
        <v>75</v>
      </c>
      <c r="K25" s="190">
        <v>76</v>
      </c>
      <c r="L25" s="190">
        <v>77</v>
      </c>
      <c r="M25" s="190">
        <v>126</v>
      </c>
      <c r="N25" s="186">
        <f t="shared" ref="N25:N39" si="15">SMALL(D25:M25,1)+SMALL(D25:M25,2)+SMALL(D25:M25,3)+SMALL(D25:M25,4)++SMALL(D25:M25,5)</f>
        <v>376</v>
      </c>
      <c r="O25" s="3"/>
      <c r="P25" s="166">
        <v>8</v>
      </c>
      <c r="Q25" s="166"/>
      <c r="R25" s="166">
        <v>4</v>
      </c>
      <c r="S25" s="166">
        <v>5</v>
      </c>
      <c r="T25" s="166">
        <v>3</v>
      </c>
      <c r="U25" s="166">
        <v>2</v>
      </c>
      <c r="V25" s="166">
        <v>2</v>
      </c>
      <c r="W25" s="166">
        <v>4</v>
      </c>
      <c r="X25" s="166">
        <v>6</v>
      </c>
      <c r="Y25" s="166">
        <v>16</v>
      </c>
      <c r="Z25" s="168">
        <f t="shared" ref="Z25:Z39" si="16">SMALL(P25:Y25,1)+SMALL(P25:Y25,2)+SMALL(P25:Y25,3)+SMALL(P25:Y25,4)+SMALL(P25:Y25,5)</f>
        <v>15</v>
      </c>
      <c r="AA25" s="61">
        <f>RANK(Z25,Z24:Z39,1)</f>
        <v>4</v>
      </c>
      <c r="AC25" s="109"/>
      <c r="AE25" s="97">
        <f>Tabell4[[#This Row],[Sum]]/5</f>
        <v>75.2</v>
      </c>
      <c r="AG25" s="13"/>
      <c r="AH25" s="3">
        <f>COUNTIF(Tabell6[[#This Row],[1]:[10]],1)</f>
        <v>0</v>
      </c>
      <c r="AI25" s="3">
        <f>COUNTIF(Tabell6[[#This Row],[1]:[10]],3)</f>
        <v>1</v>
      </c>
      <c r="AJ25" s="3">
        <f>COUNTIF(Tabell6[[#This Row],[1]:[10]],2)</f>
        <v>2</v>
      </c>
      <c r="AK25" s="3">
        <f t="shared" ref="AK25:AK38" si="17">AH25*300</f>
        <v>0</v>
      </c>
      <c r="AL25" s="3">
        <f t="shared" ref="AL25:AL38" si="18">AI25*200</f>
        <v>200</v>
      </c>
      <c r="AM25" s="3">
        <f t="shared" ref="AM25:AM38" si="19">AJ25*200</f>
        <v>400</v>
      </c>
      <c r="AN25" s="3">
        <f t="shared" ref="AN25:AN38" si="20">AK25+AL25+AM25</f>
        <v>600</v>
      </c>
    </row>
    <row r="26" spans="2:44" ht="15.75" thickBot="1">
      <c r="B26" s="128" t="s">
        <v>24</v>
      </c>
      <c r="C26" s="192" t="s">
        <v>25</v>
      </c>
      <c r="D26" s="190">
        <v>82</v>
      </c>
      <c r="E26" s="190"/>
      <c r="F26" s="190"/>
      <c r="G26" s="190"/>
      <c r="H26" s="190"/>
      <c r="I26" s="190"/>
      <c r="J26" s="190"/>
      <c r="K26" s="190"/>
      <c r="L26" s="190"/>
      <c r="M26" s="190">
        <v>126</v>
      </c>
      <c r="N26" s="186" t="e">
        <f t="shared" si="15"/>
        <v>#NUM!</v>
      </c>
      <c r="O26" s="3"/>
      <c r="P26" s="166">
        <v>11</v>
      </c>
      <c r="Q26" s="166"/>
      <c r="R26" s="166"/>
      <c r="S26" s="166"/>
      <c r="T26" s="166"/>
      <c r="U26" s="166"/>
      <c r="V26" s="166">
        <v>16</v>
      </c>
      <c r="W26" s="166">
        <v>16</v>
      </c>
      <c r="X26" s="166">
        <v>16</v>
      </c>
      <c r="Y26" s="166">
        <v>16</v>
      </c>
      <c r="Z26" s="168">
        <f t="shared" si="16"/>
        <v>75</v>
      </c>
      <c r="AA26" s="61">
        <f>RANK(Z26,Z24:Z39,1)</f>
        <v>16</v>
      </c>
      <c r="AC26" s="109"/>
      <c r="AE26" s="97" t="e">
        <f>Tabell4[[#This Row],[Sum]]/5</f>
        <v>#NUM!</v>
      </c>
      <c r="AG26" s="13"/>
      <c r="AH26" s="3">
        <f>COUNTIF(Tabell6[[#This Row],[1]:[10]],1)</f>
        <v>0</v>
      </c>
      <c r="AI26" s="3">
        <f>COUNTIF(Tabell6[[#This Row],[1]:[10]],3)</f>
        <v>0</v>
      </c>
      <c r="AJ26" s="3">
        <f>COUNTIF(Tabell6[[#This Row],[1]:[10]],2)</f>
        <v>0</v>
      </c>
      <c r="AK26" s="3">
        <f t="shared" si="17"/>
        <v>0</v>
      </c>
      <c r="AL26" s="3">
        <f t="shared" si="18"/>
        <v>0</v>
      </c>
      <c r="AM26" s="3">
        <f t="shared" si="19"/>
        <v>0</v>
      </c>
      <c r="AN26" s="3">
        <f t="shared" si="20"/>
        <v>0</v>
      </c>
    </row>
    <row r="27" spans="2:44" ht="15.75" thickBot="1">
      <c r="B27" s="128" t="s">
        <v>26</v>
      </c>
      <c r="C27" s="192" t="s">
        <v>27</v>
      </c>
      <c r="D27" s="190">
        <v>70</v>
      </c>
      <c r="E27" s="190"/>
      <c r="F27" s="190">
        <v>72</v>
      </c>
      <c r="G27" s="190">
        <v>90</v>
      </c>
      <c r="H27" s="190">
        <v>76</v>
      </c>
      <c r="I27" s="190">
        <v>88</v>
      </c>
      <c r="J27" s="190">
        <v>82</v>
      </c>
      <c r="K27" s="190">
        <v>82</v>
      </c>
      <c r="L27" s="190">
        <v>75</v>
      </c>
      <c r="M27" s="190">
        <v>126</v>
      </c>
      <c r="N27" s="186">
        <f t="shared" si="15"/>
        <v>375</v>
      </c>
      <c r="O27" s="3"/>
      <c r="P27" s="166">
        <v>1</v>
      </c>
      <c r="Q27" s="166"/>
      <c r="R27" s="166">
        <v>3</v>
      </c>
      <c r="S27" s="166">
        <v>13</v>
      </c>
      <c r="T27" s="166">
        <v>1</v>
      </c>
      <c r="U27" s="166">
        <v>12</v>
      </c>
      <c r="V27" s="166">
        <v>6</v>
      </c>
      <c r="W27" s="166">
        <v>7</v>
      </c>
      <c r="X27" s="166">
        <v>4</v>
      </c>
      <c r="Y27" s="166">
        <v>16</v>
      </c>
      <c r="Z27" s="168">
        <f t="shared" si="16"/>
        <v>15</v>
      </c>
      <c r="AA27" s="61">
        <f>RANK(Z27,Z24:Z39,1)</f>
        <v>4</v>
      </c>
      <c r="AC27" s="109">
        <v>3</v>
      </c>
      <c r="AE27" s="97">
        <f>Tabell4[[#This Row],[Sum]]/5</f>
        <v>75</v>
      </c>
      <c r="AG27" s="13"/>
      <c r="AH27" s="3">
        <f>COUNTIF(Tabell6[[#This Row],[1]:[10]],1)</f>
        <v>2</v>
      </c>
      <c r="AI27" s="3">
        <f>COUNTIF(Tabell6[[#This Row],[1]:[10]],3)</f>
        <v>1</v>
      </c>
      <c r="AJ27" s="3">
        <f>COUNTIF(Tabell6[[#This Row],[1]:[10]],2)</f>
        <v>0</v>
      </c>
      <c r="AK27" s="3">
        <f t="shared" si="17"/>
        <v>600</v>
      </c>
      <c r="AL27" s="3">
        <f t="shared" si="18"/>
        <v>200</v>
      </c>
      <c r="AM27" s="3">
        <f t="shared" si="19"/>
        <v>0</v>
      </c>
      <c r="AN27" s="3">
        <f t="shared" si="20"/>
        <v>800</v>
      </c>
    </row>
    <row r="28" spans="2:44" ht="15.75" thickBot="1">
      <c r="B28" s="128" t="s">
        <v>28</v>
      </c>
      <c r="C28" s="192" t="s">
        <v>29</v>
      </c>
      <c r="D28" s="190">
        <v>88</v>
      </c>
      <c r="E28" s="190">
        <v>80</v>
      </c>
      <c r="F28" s="190">
        <v>70</v>
      </c>
      <c r="G28" s="190">
        <v>76</v>
      </c>
      <c r="H28" s="190">
        <v>82</v>
      </c>
      <c r="I28" s="190">
        <v>86</v>
      </c>
      <c r="J28" s="190">
        <v>79</v>
      </c>
      <c r="K28" s="190">
        <v>73</v>
      </c>
      <c r="L28" s="190">
        <v>71</v>
      </c>
      <c r="M28" s="190">
        <v>126</v>
      </c>
      <c r="N28" s="186">
        <f t="shared" si="15"/>
        <v>369</v>
      </c>
      <c r="O28" s="3"/>
      <c r="P28" s="166">
        <v>15</v>
      </c>
      <c r="Q28" s="166">
        <v>7</v>
      </c>
      <c r="R28" s="166">
        <v>1</v>
      </c>
      <c r="S28" s="166">
        <v>8</v>
      </c>
      <c r="T28" s="166">
        <v>5</v>
      </c>
      <c r="U28" s="166">
        <v>11</v>
      </c>
      <c r="V28" s="166">
        <v>4</v>
      </c>
      <c r="W28" s="166">
        <v>3</v>
      </c>
      <c r="X28" s="166">
        <v>2</v>
      </c>
      <c r="Y28" s="166">
        <v>16</v>
      </c>
      <c r="Z28" s="168">
        <f t="shared" si="16"/>
        <v>15</v>
      </c>
      <c r="AA28" s="61">
        <f>RANK(Z28,Z24:Z39,1)</f>
        <v>4</v>
      </c>
      <c r="AC28" s="109">
        <v>2</v>
      </c>
      <c r="AE28" s="97">
        <f>Tabell4[[#This Row],[Sum]]/5</f>
        <v>73.8</v>
      </c>
      <c r="AG28" s="13"/>
      <c r="AH28" s="3">
        <f>COUNTIF(Tabell6[[#This Row],[1]:[10]],1)</f>
        <v>1</v>
      </c>
      <c r="AI28" s="3">
        <f>COUNTIF(Tabell6[[#This Row],[1]:[10]],3)</f>
        <v>1</v>
      </c>
      <c r="AJ28" s="3">
        <f>COUNTIF(Tabell6[[#This Row],[1]:[10]],2)</f>
        <v>1</v>
      </c>
      <c r="AK28" s="3">
        <f t="shared" si="17"/>
        <v>300</v>
      </c>
      <c r="AL28" s="3">
        <f t="shared" si="18"/>
        <v>200</v>
      </c>
      <c r="AM28" s="3">
        <f t="shared" si="19"/>
        <v>200</v>
      </c>
      <c r="AN28" s="3">
        <f t="shared" si="20"/>
        <v>700</v>
      </c>
    </row>
    <row r="29" spans="2:44" ht="15.75" thickBot="1">
      <c r="B29" s="128" t="s">
        <v>30</v>
      </c>
      <c r="C29" s="192" t="s">
        <v>31</v>
      </c>
      <c r="D29" s="190">
        <v>72</v>
      </c>
      <c r="E29" s="190">
        <v>84</v>
      </c>
      <c r="F29" s="190">
        <v>74</v>
      </c>
      <c r="G29" s="190">
        <v>73</v>
      </c>
      <c r="H29" s="190">
        <v>82</v>
      </c>
      <c r="I29" s="190">
        <v>91</v>
      </c>
      <c r="J29" s="190">
        <v>82</v>
      </c>
      <c r="K29" s="190">
        <v>72</v>
      </c>
      <c r="L29" s="190">
        <v>66</v>
      </c>
      <c r="M29" s="190">
        <v>126</v>
      </c>
      <c r="N29" s="186">
        <f t="shared" si="15"/>
        <v>357</v>
      </c>
      <c r="O29" s="3"/>
      <c r="P29" s="166">
        <v>3</v>
      </c>
      <c r="Q29" s="166">
        <v>10</v>
      </c>
      <c r="R29" s="342">
        <v>5</v>
      </c>
      <c r="S29" s="166">
        <v>4</v>
      </c>
      <c r="T29" s="342">
        <v>5</v>
      </c>
      <c r="U29" s="166">
        <v>13</v>
      </c>
      <c r="V29" s="342">
        <v>6</v>
      </c>
      <c r="W29" s="166">
        <v>1</v>
      </c>
      <c r="X29" s="166">
        <v>1</v>
      </c>
      <c r="Y29" s="166">
        <v>16</v>
      </c>
      <c r="Z29" s="168">
        <f t="shared" si="16"/>
        <v>14</v>
      </c>
      <c r="AA29" s="61">
        <f>RANK(Z29,Z24:Z39,1)</f>
        <v>2</v>
      </c>
      <c r="AC29" s="109"/>
      <c r="AE29" s="97">
        <f>Tabell4[[#This Row],[Sum]]/5</f>
        <v>71.400000000000006</v>
      </c>
      <c r="AG29" s="13"/>
      <c r="AH29" s="3">
        <f>COUNTIF(Tabell6[[#This Row],[1]:[10]],1)</f>
        <v>2</v>
      </c>
      <c r="AI29" s="3">
        <f>COUNTIF(Tabell6[[#This Row],[1]:[10]],3)</f>
        <v>1</v>
      </c>
      <c r="AJ29" s="3">
        <f>COUNTIF(Tabell6[[#This Row],[1]:[10]],2)</f>
        <v>0</v>
      </c>
      <c r="AK29" s="3">
        <f t="shared" si="17"/>
        <v>600</v>
      </c>
      <c r="AL29" s="3">
        <f t="shared" si="18"/>
        <v>200</v>
      </c>
      <c r="AM29" s="3">
        <f t="shared" si="19"/>
        <v>0</v>
      </c>
      <c r="AN29" s="3">
        <f t="shared" si="20"/>
        <v>800</v>
      </c>
    </row>
    <row r="30" spans="2:44" ht="15.75" thickBot="1">
      <c r="B30" s="128" t="s">
        <v>32</v>
      </c>
      <c r="C30" s="192" t="s">
        <v>33</v>
      </c>
      <c r="D30" s="190">
        <v>87</v>
      </c>
      <c r="E30" s="190">
        <v>75</v>
      </c>
      <c r="F30" s="190">
        <v>77</v>
      </c>
      <c r="G30" s="190">
        <v>77</v>
      </c>
      <c r="H30" s="190">
        <v>87</v>
      </c>
      <c r="I30" s="190">
        <v>80</v>
      </c>
      <c r="J30" s="190"/>
      <c r="K30" s="190">
        <v>76</v>
      </c>
      <c r="L30" s="190">
        <v>91</v>
      </c>
      <c r="M30" s="190">
        <v>126</v>
      </c>
      <c r="N30" s="186">
        <f t="shared" si="15"/>
        <v>385</v>
      </c>
      <c r="O30" s="3"/>
      <c r="P30" s="166">
        <v>13</v>
      </c>
      <c r="Q30" s="342">
        <v>4</v>
      </c>
      <c r="R30" s="166">
        <v>8</v>
      </c>
      <c r="S30" s="166">
        <v>9</v>
      </c>
      <c r="T30" s="342">
        <v>9</v>
      </c>
      <c r="U30" s="342">
        <v>4</v>
      </c>
      <c r="V30" s="166"/>
      <c r="W30" s="166">
        <v>4</v>
      </c>
      <c r="X30" s="166">
        <v>10</v>
      </c>
      <c r="Y30" s="166">
        <v>16</v>
      </c>
      <c r="Z30" s="168">
        <f t="shared" si="16"/>
        <v>29</v>
      </c>
      <c r="AA30" s="61">
        <f>RANK(Z30,Z24:Z39,1)</f>
        <v>9</v>
      </c>
      <c r="AC30" s="109"/>
      <c r="AE30" s="97">
        <f>Tabell4[[#This Row],[Sum]]/5</f>
        <v>77</v>
      </c>
      <c r="AG30" s="13"/>
      <c r="AH30" s="3">
        <f>COUNTIF(Tabell6[[#This Row],[1]:[10]],1)</f>
        <v>0</v>
      </c>
      <c r="AI30" s="3">
        <f>COUNTIF(Tabell6[[#This Row],[1]:[10]],3)</f>
        <v>0</v>
      </c>
      <c r="AJ30" s="3">
        <f>COUNTIF(Tabell6[[#This Row],[1]:[10]],2)</f>
        <v>0</v>
      </c>
      <c r="AK30" s="3">
        <f t="shared" si="17"/>
        <v>0</v>
      </c>
      <c r="AL30" s="3">
        <f t="shared" si="18"/>
        <v>0</v>
      </c>
      <c r="AM30" s="3">
        <f t="shared" si="19"/>
        <v>0</v>
      </c>
      <c r="AN30" s="3">
        <f t="shared" si="20"/>
        <v>0</v>
      </c>
    </row>
    <row r="31" spans="2:44" ht="15.75" thickBot="1">
      <c r="B31" s="128" t="s">
        <v>20</v>
      </c>
      <c r="C31" s="192" t="s">
        <v>34</v>
      </c>
      <c r="D31" s="190">
        <v>93</v>
      </c>
      <c r="E31" s="190">
        <v>68</v>
      </c>
      <c r="F31" s="190">
        <v>79</v>
      </c>
      <c r="G31" s="190">
        <v>86</v>
      </c>
      <c r="H31" s="190">
        <v>88</v>
      </c>
      <c r="I31" s="190">
        <v>85</v>
      </c>
      <c r="J31" s="190"/>
      <c r="K31" s="190">
        <v>93</v>
      </c>
      <c r="L31" s="190">
        <v>78</v>
      </c>
      <c r="M31" s="190">
        <v>126</v>
      </c>
      <c r="N31" s="186">
        <f t="shared" si="15"/>
        <v>396</v>
      </c>
      <c r="O31" s="3"/>
      <c r="P31" s="166">
        <v>16</v>
      </c>
      <c r="Q31" s="166">
        <v>1</v>
      </c>
      <c r="R31" s="166">
        <v>9</v>
      </c>
      <c r="S31" s="166">
        <v>11</v>
      </c>
      <c r="T31" s="166">
        <v>12</v>
      </c>
      <c r="U31" s="166">
        <v>9</v>
      </c>
      <c r="V31" s="166"/>
      <c r="W31" s="166">
        <v>12</v>
      </c>
      <c r="X31" s="166">
        <v>7</v>
      </c>
      <c r="Y31" s="166">
        <v>16</v>
      </c>
      <c r="Z31" s="168">
        <f t="shared" si="16"/>
        <v>37</v>
      </c>
      <c r="AA31" s="61">
        <f>RANK(Z31,Z24:Z39,1)</f>
        <v>13</v>
      </c>
      <c r="AC31" s="109">
        <v>2</v>
      </c>
      <c r="AE31" s="97">
        <f>Tabell4[[#This Row],[Sum]]/5</f>
        <v>79.2</v>
      </c>
      <c r="AG31" s="13"/>
      <c r="AH31" s="3">
        <f>COUNTIF(Tabell6[[#This Row],[1]:[10]],1)</f>
        <v>1</v>
      </c>
      <c r="AI31" s="3">
        <f>COUNTIF(Tabell6[[#This Row],[1]:[10]],3)</f>
        <v>0</v>
      </c>
      <c r="AJ31" s="3">
        <f>COUNTIF(Tabell6[[#This Row],[1]:[10]],2)</f>
        <v>0</v>
      </c>
      <c r="AK31" s="3">
        <f t="shared" si="17"/>
        <v>300</v>
      </c>
      <c r="AL31" s="3">
        <f t="shared" si="18"/>
        <v>0</v>
      </c>
      <c r="AM31" s="3">
        <f t="shared" si="19"/>
        <v>0</v>
      </c>
      <c r="AN31" s="3">
        <f t="shared" si="20"/>
        <v>300</v>
      </c>
    </row>
    <row r="32" spans="2:44" ht="15.75" thickBot="1">
      <c r="B32" s="128" t="s">
        <v>35</v>
      </c>
      <c r="C32" s="192" t="s">
        <v>36</v>
      </c>
      <c r="D32" s="190">
        <v>73</v>
      </c>
      <c r="E32" s="190">
        <v>73</v>
      </c>
      <c r="F32" s="190">
        <v>71</v>
      </c>
      <c r="G32" s="190">
        <v>84</v>
      </c>
      <c r="H32" s="190"/>
      <c r="I32" s="190">
        <v>84</v>
      </c>
      <c r="J32" s="190">
        <v>94</v>
      </c>
      <c r="K32" s="190">
        <v>94</v>
      </c>
      <c r="L32" s="190"/>
      <c r="M32" s="190">
        <v>126</v>
      </c>
      <c r="N32" s="186">
        <f t="shared" si="15"/>
        <v>385</v>
      </c>
      <c r="O32" s="3"/>
      <c r="P32" s="166">
        <v>4</v>
      </c>
      <c r="Q32" s="166">
        <v>3</v>
      </c>
      <c r="R32" s="166">
        <v>2</v>
      </c>
      <c r="S32" s="166">
        <v>10</v>
      </c>
      <c r="T32" s="166"/>
      <c r="U32" s="166">
        <v>7</v>
      </c>
      <c r="V32" s="166">
        <v>11</v>
      </c>
      <c r="W32" s="166">
        <v>13</v>
      </c>
      <c r="X32" s="166">
        <v>16</v>
      </c>
      <c r="Y32" s="166">
        <v>16</v>
      </c>
      <c r="Z32" s="168">
        <f t="shared" si="16"/>
        <v>26</v>
      </c>
      <c r="AA32" s="61">
        <f>RANK(Z32,Z24:Z39,1)</f>
        <v>7</v>
      </c>
      <c r="AC32" s="109"/>
      <c r="AE32" s="97">
        <f>Tabell4[[#This Row],[Sum]]/5</f>
        <v>77</v>
      </c>
      <c r="AG32" s="13"/>
      <c r="AH32" s="3">
        <f>COUNTIF(Tabell6[[#This Row],[1]:[10]],1)</f>
        <v>0</v>
      </c>
      <c r="AI32" s="3">
        <f>COUNTIF(Tabell6[[#This Row],[1]:[10]],3)</f>
        <v>1</v>
      </c>
      <c r="AJ32" s="3">
        <f>COUNTIF(Tabell6[[#This Row],[1]:[10]],2)</f>
        <v>1</v>
      </c>
      <c r="AK32" s="3">
        <f t="shared" si="17"/>
        <v>0</v>
      </c>
      <c r="AL32" s="3">
        <f t="shared" si="18"/>
        <v>200</v>
      </c>
      <c r="AM32" s="3">
        <f t="shared" si="19"/>
        <v>200</v>
      </c>
      <c r="AN32" s="3">
        <f t="shared" si="20"/>
        <v>400</v>
      </c>
    </row>
    <row r="33" spans="2:40" ht="15.75" thickBot="1">
      <c r="B33" s="128" t="s">
        <v>37</v>
      </c>
      <c r="C33" s="192" t="s">
        <v>38</v>
      </c>
      <c r="D33" s="190">
        <v>80</v>
      </c>
      <c r="E33" s="190"/>
      <c r="F33" s="190"/>
      <c r="G33" s="190"/>
      <c r="H33" s="190">
        <v>87</v>
      </c>
      <c r="I33" s="190"/>
      <c r="J33" s="190">
        <v>88</v>
      </c>
      <c r="K33" s="190"/>
      <c r="L33" s="190"/>
      <c r="M33" s="190">
        <v>126</v>
      </c>
      <c r="N33" s="186" t="e">
        <f t="shared" si="15"/>
        <v>#NUM!</v>
      </c>
      <c r="O33" s="3"/>
      <c r="P33" s="342">
        <v>9</v>
      </c>
      <c r="Q33" s="166"/>
      <c r="R33" s="166"/>
      <c r="S33" s="166"/>
      <c r="T33" s="166">
        <v>9</v>
      </c>
      <c r="U33" s="166"/>
      <c r="V33" s="166">
        <v>10</v>
      </c>
      <c r="W33" s="166"/>
      <c r="X33" s="166">
        <v>16</v>
      </c>
      <c r="Y33" s="166">
        <v>16</v>
      </c>
      <c r="Z33" s="168">
        <f t="shared" si="16"/>
        <v>60</v>
      </c>
      <c r="AA33" s="61">
        <f>RANK(Z33,Z24:Z39,1)</f>
        <v>15</v>
      </c>
      <c r="AC33" s="109"/>
      <c r="AE33" s="97" t="e">
        <f>Tabell4[[#This Row],[Sum]]/5</f>
        <v>#NUM!</v>
      </c>
      <c r="AG33" s="13"/>
      <c r="AH33" s="3">
        <f>COUNTIF(Tabell6[[#This Row],[1]:[10]],1)</f>
        <v>0</v>
      </c>
      <c r="AI33" s="3">
        <f>COUNTIF(Tabell6[[#This Row],[1]:[10]],3)</f>
        <v>0</v>
      </c>
      <c r="AJ33" s="3">
        <f>COUNTIF(Tabell6[[#This Row],[1]:[10]],2)</f>
        <v>0</v>
      </c>
      <c r="AK33" s="3">
        <f t="shared" si="17"/>
        <v>0</v>
      </c>
      <c r="AL33" s="3">
        <f t="shared" si="18"/>
        <v>0</v>
      </c>
      <c r="AM33" s="3">
        <f t="shared" si="19"/>
        <v>0</v>
      </c>
      <c r="AN33" s="3">
        <f t="shared" si="20"/>
        <v>0</v>
      </c>
    </row>
    <row r="34" spans="2:40" ht="15.75" thickBot="1">
      <c r="B34" s="128" t="s">
        <v>39</v>
      </c>
      <c r="C34" s="192" t="s">
        <v>40</v>
      </c>
      <c r="D34" s="190">
        <v>80</v>
      </c>
      <c r="E34" s="190">
        <v>78</v>
      </c>
      <c r="F34" s="190">
        <v>74</v>
      </c>
      <c r="G34" s="190">
        <v>86</v>
      </c>
      <c r="H34" s="190">
        <v>76</v>
      </c>
      <c r="I34" s="190">
        <v>75</v>
      </c>
      <c r="J34" s="190">
        <v>69</v>
      </c>
      <c r="K34" s="190">
        <v>81</v>
      </c>
      <c r="L34" s="190">
        <v>82</v>
      </c>
      <c r="M34" s="190">
        <v>126</v>
      </c>
      <c r="N34" s="186">
        <f t="shared" si="15"/>
        <v>372</v>
      </c>
      <c r="O34" s="3"/>
      <c r="P34" s="166">
        <v>9</v>
      </c>
      <c r="Q34" s="166">
        <v>6</v>
      </c>
      <c r="R34" s="166">
        <v>5</v>
      </c>
      <c r="S34" s="342">
        <v>11</v>
      </c>
      <c r="T34" s="342">
        <v>1</v>
      </c>
      <c r="U34" s="166">
        <v>1</v>
      </c>
      <c r="V34" s="166">
        <v>1</v>
      </c>
      <c r="W34" s="166">
        <v>6</v>
      </c>
      <c r="X34" s="166">
        <v>9</v>
      </c>
      <c r="Y34" s="166">
        <v>16</v>
      </c>
      <c r="Z34" s="168">
        <f t="shared" si="16"/>
        <v>14</v>
      </c>
      <c r="AA34" s="61">
        <f>RANK(Z34,Z24:Z39,1)</f>
        <v>2</v>
      </c>
      <c r="AC34" s="109">
        <v>1</v>
      </c>
      <c r="AE34" s="97">
        <f>Tabell4[[#This Row],[Sum]]/5</f>
        <v>74.400000000000006</v>
      </c>
      <c r="AG34" s="13"/>
      <c r="AH34" s="3">
        <f>COUNTIF(Tabell6[[#This Row],[1]:[10]],1)</f>
        <v>3</v>
      </c>
      <c r="AI34" s="3">
        <f>COUNTIF(Tabell6[[#This Row],[1]:[10]],3)</f>
        <v>0</v>
      </c>
      <c r="AJ34" s="3">
        <f>COUNTIF(Tabell6[[#This Row],[1]:[10]],2)</f>
        <v>0</v>
      </c>
      <c r="AK34" s="3">
        <f t="shared" si="17"/>
        <v>900</v>
      </c>
      <c r="AL34" s="3">
        <f t="shared" si="18"/>
        <v>0</v>
      </c>
      <c r="AM34" s="3">
        <f t="shared" si="19"/>
        <v>0</v>
      </c>
      <c r="AN34" s="3">
        <f t="shared" si="20"/>
        <v>900</v>
      </c>
    </row>
    <row r="35" spans="2:40" ht="15.75" thickBot="1">
      <c r="B35" s="128" t="s">
        <v>32</v>
      </c>
      <c r="C35" s="192" t="s">
        <v>41</v>
      </c>
      <c r="D35" s="190">
        <v>73</v>
      </c>
      <c r="E35" s="190">
        <v>81</v>
      </c>
      <c r="F35" s="190">
        <v>85</v>
      </c>
      <c r="G35" s="190">
        <v>76</v>
      </c>
      <c r="H35" s="190"/>
      <c r="I35" s="190"/>
      <c r="J35" s="190">
        <v>83</v>
      </c>
      <c r="K35" s="190">
        <v>92</v>
      </c>
      <c r="L35" s="190"/>
      <c r="M35" s="190">
        <v>126</v>
      </c>
      <c r="N35" s="186">
        <f t="shared" si="15"/>
        <v>398</v>
      </c>
      <c r="O35" s="3"/>
      <c r="P35" s="166">
        <v>4</v>
      </c>
      <c r="Q35" s="342">
        <v>8</v>
      </c>
      <c r="R35" s="166">
        <v>11</v>
      </c>
      <c r="S35" s="166">
        <v>7</v>
      </c>
      <c r="T35" s="166"/>
      <c r="U35" s="166"/>
      <c r="V35" s="166">
        <v>8</v>
      </c>
      <c r="W35" s="166">
        <v>10</v>
      </c>
      <c r="X35" s="166">
        <v>16</v>
      </c>
      <c r="Y35" s="166">
        <v>16</v>
      </c>
      <c r="Z35" s="168">
        <f t="shared" si="16"/>
        <v>37</v>
      </c>
      <c r="AA35" s="61">
        <f>RANK(Z35,Z24:Z39,1)</f>
        <v>13</v>
      </c>
      <c r="AC35" s="109"/>
      <c r="AE35" s="97">
        <f>Tabell4[[#This Row],[Sum]]/5</f>
        <v>79.599999999999994</v>
      </c>
      <c r="AG35" s="13"/>
      <c r="AH35" s="3">
        <f>COUNTIF(Tabell6[[#This Row],[1]:[10]],1)</f>
        <v>0</v>
      </c>
      <c r="AI35" s="3">
        <f>COUNTIF(Tabell6[[#This Row],[1]:[10]],3)</f>
        <v>0</v>
      </c>
      <c r="AJ35" s="3">
        <f>COUNTIF(Tabell6[[#This Row],[1]:[10]],2)</f>
        <v>0</v>
      </c>
      <c r="AK35" s="3">
        <f t="shared" si="17"/>
        <v>0</v>
      </c>
      <c r="AL35" s="3">
        <f t="shared" si="18"/>
        <v>0</v>
      </c>
      <c r="AM35" s="3">
        <f t="shared" si="19"/>
        <v>0</v>
      </c>
      <c r="AN35" s="3">
        <f t="shared" si="20"/>
        <v>0</v>
      </c>
    </row>
    <row r="36" spans="2:40" ht="15.75" thickBot="1">
      <c r="B36" s="128" t="s">
        <v>42</v>
      </c>
      <c r="C36" s="192" t="s">
        <v>27</v>
      </c>
      <c r="D36" s="190">
        <v>82</v>
      </c>
      <c r="E36" s="190">
        <v>81</v>
      </c>
      <c r="F36" s="190"/>
      <c r="G36" s="190">
        <v>75</v>
      </c>
      <c r="H36" s="190">
        <v>78</v>
      </c>
      <c r="I36" s="190">
        <v>85</v>
      </c>
      <c r="J36" s="190"/>
      <c r="K36" s="190"/>
      <c r="L36" s="190">
        <v>76</v>
      </c>
      <c r="M36" s="190">
        <v>126</v>
      </c>
      <c r="N36" s="186">
        <f t="shared" si="15"/>
        <v>392</v>
      </c>
      <c r="O36" s="3"/>
      <c r="P36" s="342">
        <v>11</v>
      </c>
      <c r="Q36" s="166">
        <v>8</v>
      </c>
      <c r="R36" s="166"/>
      <c r="S36" s="166">
        <v>5</v>
      </c>
      <c r="T36" s="166">
        <v>4</v>
      </c>
      <c r="U36" s="166">
        <v>9</v>
      </c>
      <c r="V36" s="166"/>
      <c r="W36" s="166"/>
      <c r="X36" s="166">
        <v>5</v>
      </c>
      <c r="Y36" s="166">
        <v>16</v>
      </c>
      <c r="Z36" s="168">
        <f t="shared" si="16"/>
        <v>31</v>
      </c>
      <c r="AA36" s="61">
        <f>RANK(Z36,Z24:Z39,1)</f>
        <v>12</v>
      </c>
      <c r="AC36" s="109">
        <v>1</v>
      </c>
      <c r="AE36" s="97">
        <f>Tabell4[[#This Row],[Sum]]/5</f>
        <v>78.400000000000006</v>
      </c>
      <c r="AG36" s="13"/>
      <c r="AH36" s="3">
        <f>COUNTIF(Tabell6[[#This Row],[1]:[10]],1)</f>
        <v>0</v>
      </c>
      <c r="AI36" s="3">
        <f>COUNTIF(Tabell6[[#This Row],[1]:[10]],3)</f>
        <v>0</v>
      </c>
      <c r="AJ36" s="3">
        <f>COUNTIF(Tabell6[[#This Row],[1]:[10]],2)</f>
        <v>0</v>
      </c>
      <c r="AK36" s="3">
        <f t="shared" si="17"/>
        <v>0</v>
      </c>
      <c r="AL36" s="3">
        <f t="shared" si="18"/>
        <v>0</v>
      </c>
      <c r="AM36" s="3">
        <f t="shared" si="19"/>
        <v>0</v>
      </c>
      <c r="AN36" s="3">
        <f t="shared" si="20"/>
        <v>0</v>
      </c>
    </row>
    <row r="37" spans="2:40" ht="15.75" thickBot="1">
      <c r="B37" s="187" t="s">
        <v>43</v>
      </c>
      <c r="C37" s="193" t="s">
        <v>44</v>
      </c>
      <c r="D37" s="190">
        <v>71</v>
      </c>
      <c r="E37" s="190"/>
      <c r="F37" s="190">
        <v>80</v>
      </c>
      <c r="G37" s="190">
        <v>72</v>
      </c>
      <c r="H37" s="190"/>
      <c r="I37" s="190">
        <v>82</v>
      </c>
      <c r="J37" s="190">
        <v>84</v>
      </c>
      <c r="K37" s="190">
        <v>87</v>
      </c>
      <c r="L37" s="190"/>
      <c r="M37" s="190">
        <v>126</v>
      </c>
      <c r="N37" s="186">
        <f t="shared" si="15"/>
        <v>389</v>
      </c>
      <c r="O37" s="3"/>
      <c r="P37" s="166">
        <v>2</v>
      </c>
      <c r="Q37" s="166"/>
      <c r="R37" s="166">
        <v>10</v>
      </c>
      <c r="S37" s="166">
        <v>3</v>
      </c>
      <c r="T37" s="166"/>
      <c r="U37" s="166">
        <v>6</v>
      </c>
      <c r="V37" s="166">
        <v>9</v>
      </c>
      <c r="W37" s="166">
        <v>9</v>
      </c>
      <c r="X37" s="166">
        <v>16</v>
      </c>
      <c r="Y37" s="166">
        <v>16</v>
      </c>
      <c r="Z37" s="168">
        <f t="shared" si="16"/>
        <v>29</v>
      </c>
      <c r="AA37" s="61">
        <f>RANK(Z37,Z24:Z39,1)</f>
        <v>9</v>
      </c>
      <c r="AC37" s="109">
        <v>3</v>
      </c>
      <c r="AD37" s="13"/>
      <c r="AE37" s="97">
        <f>Tabell4[[#This Row],[Sum]]/5</f>
        <v>77.8</v>
      </c>
      <c r="AF37" s="13"/>
      <c r="AH37" s="3">
        <f>COUNTIF(Tabell6[[#This Row],[1]:[10]],1)</f>
        <v>0</v>
      </c>
      <c r="AI37" s="3">
        <f>COUNTIF(Tabell6[[#This Row],[1]:[10]],3)</f>
        <v>1</v>
      </c>
      <c r="AJ37" s="3">
        <f>COUNTIF(Tabell6[[#This Row],[1]:[10]],2)</f>
        <v>1</v>
      </c>
      <c r="AK37" s="3">
        <f t="shared" si="17"/>
        <v>0</v>
      </c>
      <c r="AL37" s="3">
        <f t="shared" si="18"/>
        <v>200</v>
      </c>
      <c r="AM37" s="3">
        <f t="shared" si="19"/>
        <v>200</v>
      </c>
      <c r="AN37" s="3">
        <f t="shared" si="20"/>
        <v>400</v>
      </c>
    </row>
    <row r="38" spans="2:40" ht="15.75" thickBot="1">
      <c r="B38" s="187" t="s">
        <v>45</v>
      </c>
      <c r="C38" s="193" t="s">
        <v>46</v>
      </c>
      <c r="D38" s="190">
        <v>76</v>
      </c>
      <c r="E38" s="190">
        <v>85</v>
      </c>
      <c r="F38" s="190"/>
      <c r="G38" s="190">
        <v>71</v>
      </c>
      <c r="H38" s="190">
        <v>87</v>
      </c>
      <c r="I38" s="190">
        <v>80</v>
      </c>
      <c r="J38" s="190"/>
      <c r="K38" s="190">
        <v>85</v>
      </c>
      <c r="L38" s="190">
        <v>126</v>
      </c>
      <c r="M38" s="190">
        <v>126</v>
      </c>
      <c r="N38" s="186">
        <f t="shared" si="15"/>
        <v>397</v>
      </c>
      <c r="P38" s="166">
        <v>7</v>
      </c>
      <c r="Q38" s="166">
        <v>11</v>
      </c>
      <c r="R38" s="166"/>
      <c r="S38" s="342">
        <v>1</v>
      </c>
      <c r="T38" s="166">
        <v>9</v>
      </c>
      <c r="U38" s="166">
        <v>4</v>
      </c>
      <c r="V38" s="166"/>
      <c r="W38" s="166">
        <v>8</v>
      </c>
      <c r="X38" s="166">
        <v>16</v>
      </c>
      <c r="Y38" s="166">
        <v>16</v>
      </c>
      <c r="Z38" s="168">
        <f t="shared" si="16"/>
        <v>29</v>
      </c>
      <c r="AA38" s="61">
        <f>RANK(Z38,Z24:Z39,1)</f>
        <v>9</v>
      </c>
      <c r="AC38" s="109">
        <v>2</v>
      </c>
      <c r="AE38" s="97">
        <f>Tabell4[[#This Row],[Sum]]/5</f>
        <v>79.400000000000006</v>
      </c>
      <c r="AH38" s="3">
        <f>COUNTIF(Tabell6[[#This Row],[1]:[10]],1)</f>
        <v>1</v>
      </c>
      <c r="AI38" s="3">
        <f>COUNTIF(Tabell6[[#This Row],[1]:[10]],2)</f>
        <v>0</v>
      </c>
      <c r="AJ38" s="3">
        <f>COUNTIF(Tabell6[[#This Row],[1]:[10]],2)</f>
        <v>0</v>
      </c>
      <c r="AK38" s="3">
        <f t="shared" si="17"/>
        <v>300</v>
      </c>
      <c r="AL38" s="3">
        <f t="shared" si="18"/>
        <v>0</v>
      </c>
      <c r="AM38" s="3">
        <f t="shared" si="19"/>
        <v>0</v>
      </c>
      <c r="AN38" s="3">
        <f t="shared" si="20"/>
        <v>300</v>
      </c>
    </row>
    <row r="39" spans="2:40" ht="15.75" thickBot="1">
      <c r="B39" s="129" t="s">
        <v>47</v>
      </c>
      <c r="C39" s="194" t="s">
        <v>27</v>
      </c>
      <c r="D39" s="190">
        <v>87</v>
      </c>
      <c r="E39" s="190">
        <v>68</v>
      </c>
      <c r="F39" s="190">
        <v>75</v>
      </c>
      <c r="G39" s="190">
        <v>90</v>
      </c>
      <c r="H39" s="190">
        <v>85</v>
      </c>
      <c r="I39" s="190">
        <v>84</v>
      </c>
      <c r="J39" s="190">
        <v>80</v>
      </c>
      <c r="K39" s="190">
        <v>90</v>
      </c>
      <c r="L39" s="190">
        <v>79</v>
      </c>
      <c r="M39" s="190">
        <v>126</v>
      </c>
      <c r="N39" s="186">
        <f t="shared" si="15"/>
        <v>386</v>
      </c>
      <c r="P39" s="166">
        <v>13</v>
      </c>
      <c r="Q39" s="342">
        <v>1</v>
      </c>
      <c r="R39" s="166">
        <v>7</v>
      </c>
      <c r="S39" s="342">
        <v>13</v>
      </c>
      <c r="T39" s="166">
        <v>8</v>
      </c>
      <c r="U39" s="342">
        <v>7</v>
      </c>
      <c r="V39" s="166">
        <v>5</v>
      </c>
      <c r="W39" s="342">
        <v>10</v>
      </c>
      <c r="X39" s="166">
        <v>8</v>
      </c>
      <c r="Y39" s="166">
        <v>16</v>
      </c>
      <c r="Z39" s="168">
        <f t="shared" si="16"/>
        <v>28</v>
      </c>
      <c r="AA39" s="61">
        <f>RANK(Z39,Z24:Z39,1)</f>
        <v>8</v>
      </c>
      <c r="AC39" s="149"/>
      <c r="AE39" s="97">
        <f>Tabell4[[#This Row],[Sum]]/5</f>
        <v>77.2</v>
      </c>
      <c r="AH39" s="3">
        <f>COUNTIF(Tabell6[[#This Row],[1]:[10]],1)</f>
        <v>1</v>
      </c>
      <c r="AI39" s="3">
        <f>COUNTIF(Tabell6[[#This Row],[1]:[10]],3)</f>
        <v>0</v>
      </c>
      <c r="AJ39" s="3">
        <f>COUNTIF(Tabell6[[#This Row],[1]:[10]],2)</f>
        <v>0</v>
      </c>
      <c r="AK39" s="3">
        <f t="shared" ref="AK39" si="21">AH39*300</f>
        <v>300</v>
      </c>
      <c r="AL39" s="3">
        <f>AI39*100</f>
        <v>0</v>
      </c>
      <c r="AM39" s="3">
        <f t="shared" ref="AM39" si="22">AJ39*200</f>
        <v>0</v>
      </c>
      <c r="AN39" s="3">
        <f t="shared" ref="AN39" si="23">AK39+AL39+AM39</f>
        <v>300</v>
      </c>
    </row>
    <row r="40" spans="2:40" ht="15.75" thickBot="1">
      <c r="B40" s="91" t="s">
        <v>49</v>
      </c>
      <c r="C40" s="194" t="s">
        <v>50</v>
      </c>
      <c r="D40" s="191">
        <f t="shared" ref="D40:L40" si="24">AVERAGE(D24:D39)</f>
        <v>79.25</v>
      </c>
      <c r="E40" s="188">
        <f t="shared" si="24"/>
        <v>77.090909090909093</v>
      </c>
      <c r="F40" s="188">
        <f t="shared" si="24"/>
        <v>75.416666666666671</v>
      </c>
      <c r="G40" s="188">
        <f t="shared" si="24"/>
        <v>78.714285714285708</v>
      </c>
      <c r="H40" s="188">
        <f t="shared" si="24"/>
        <v>82.333333333333329</v>
      </c>
      <c r="I40" s="188">
        <f t="shared" si="24"/>
        <v>82.84615384615384</v>
      </c>
      <c r="J40" s="188">
        <f t="shared" si="24"/>
        <v>81.090909090909093</v>
      </c>
      <c r="K40" s="188">
        <f t="shared" si="24"/>
        <v>82.538461538461533</v>
      </c>
      <c r="L40" s="188">
        <f t="shared" si="24"/>
        <v>81.181818181818187</v>
      </c>
      <c r="M40" s="188">
        <f>SUM(M25+M26+M27+M29+M30+M4+M32+M33+M34+M35+M36+M37)/11</f>
        <v>140.72727272727272</v>
      </c>
      <c r="N40" s="189">
        <f>SMALL(D40:M40,1)+SMALL(D40:M40,2)+SMALL(D40:M40,3)+SMALL(D40:M40,4)++SMALL(D40:M40,5)</f>
        <v>391.56277056277054</v>
      </c>
      <c r="O40" s="13" t="s">
        <v>48</v>
      </c>
      <c r="P40" s="169"/>
      <c r="Q40" s="170"/>
      <c r="R40" s="170" t="s">
        <v>48</v>
      </c>
      <c r="S40" s="170"/>
      <c r="T40" s="171"/>
      <c r="U40" s="171"/>
      <c r="V40" s="171"/>
      <c r="W40" s="171"/>
      <c r="X40" s="171"/>
      <c r="Y40" s="57"/>
      <c r="Z40" s="172" t="e">
        <f>SMALL(P40:Y40,1)+SMALL(P40:Y40,2)+SMALL(P40:Y40,3)+SMALL(P40:Y40,4)</f>
        <v>#NUM!</v>
      </c>
      <c r="AC40" s="148"/>
      <c r="AE40" s="34" t="e">
        <f>SUBTOTAL(101,Tabell60[Snittscore])</f>
        <v>#NUM!</v>
      </c>
      <c r="AH40" s="3">
        <f>COUNTIF(Tabell6[[#This Row],[1]:[10]],1)</f>
        <v>0</v>
      </c>
      <c r="AI40" s="3">
        <f>COUNTIF(Tabell6[[#This Row],[1]:[10]],2)</f>
        <v>0</v>
      </c>
      <c r="AJ40" s="3">
        <f>COUNTIF(Tabell6[[#This Row],[1]:[10]],2)</f>
        <v>0</v>
      </c>
      <c r="AK40" s="3">
        <f t="shared" ref="AK40" si="25">AH40*300</f>
        <v>0</v>
      </c>
      <c r="AL40" s="3">
        <f t="shared" ref="AL40" si="26">AI40*200</f>
        <v>0</v>
      </c>
      <c r="AM40" s="3">
        <f t="shared" ref="AM40" si="27">AJ40*200</f>
        <v>0</v>
      </c>
      <c r="AN40" s="3">
        <f t="shared" ref="AN40" si="28">AK40+AL40+AM40</f>
        <v>0</v>
      </c>
    </row>
    <row r="44" spans="2:40">
      <c r="J44" s="3">
        <v>403632</v>
      </c>
    </row>
  </sheetData>
  <mergeCells count="2">
    <mergeCell ref="D2:L2"/>
    <mergeCell ref="D22:L22"/>
  </mergeCells>
  <phoneticPr fontId="36" type="noConversion"/>
  <conditionalFormatting sqref="B4:C18">
    <cfRule type="dataBar" priority="25">
      <dataBar>
        <cfvo type="min"/>
        <cfvo type="max"/>
        <color rgb="FFD6007B"/>
      </dataBar>
    </cfRule>
    <cfRule type="colorScale" priority="26">
      <colorScale>
        <cfvo type="min"/>
        <cfvo type="percentile" val="50"/>
        <cfvo type="max"/>
        <color rgb="FFF8696B"/>
        <color rgb="FFFFEB84"/>
        <color rgb="FF5A8AC6"/>
      </colorScale>
    </cfRule>
  </conditionalFormatting>
  <conditionalFormatting sqref="B19:C19">
    <cfRule type="dataBar" priority="1">
      <dataBar>
        <cfvo type="min"/>
        <cfvo type="max"/>
        <color rgb="FFD6007B"/>
      </dataBar>
    </cfRule>
    <cfRule type="colorScale" priority="2">
      <colorScale>
        <cfvo type="min"/>
        <cfvo type="percentile" val="50"/>
        <cfvo type="max"/>
        <color rgb="FFF8696B"/>
        <color rgb="FFFFEB84"/>
        <color rgb="FF5A8AC6"/>
      </colorScale>
    </cfRule>
  </conditionalFormatting>
  <conditionalFormatting sqref="AA4:AA19">
    <cfRule type="iconSet" priority="17">
      <iconSet iconSet="5Arrows" reverse="1">
        <cfvo type="percent" val="0"/>
        <cfvo type="percent" val="20"/>
        <cfvo type="percent" val="40"/>
        <cfvo type="percent" val="60"/>
        <cfvo type="percent" val="80"/>
      </iconSet>
    </cfRule>
    <cfRule type="iconSet" priority="18">
      <iconSet iconSet="5Arrows">
        <cfvo type="percent" val="0"/>
        <cfvo type="percent" val="20"/>
        <cfvo type="percent" val="40"/>
        <cfvo type="percent" val="60"/>
        <cfvo type="percent" val="80"/>
      </iconSet>
    </cfRule>
    <cfRule type="iconSet" priority="21">
      <iconSet iconSet="4Arrows">
        <cfvo type="percent" val="0"/>
        <cfvo type="percent" val="25"/>
        <cfvo type="percent" val="50"/>
        <cfvo type="percent" val="75"/>
      </iconSet>
    </cfRule>
    <cfRule type="iconSet" priority="24">
      <iconSet iconSet="3Arrows">
        <cfvo type="percent" val="0"/>
        <cfvo type="percent" val="33"/>
        <cfvo type="percent" val="67"/>
      </iconSet>
    </cfRule>
  </conditionalFormatting>
  <conditionalFormatting sqref="AA18:AA19">
    <cfRule type="iconSet" priority="9">
      <iconSet iconSet="5Arrows" reverse="1">
        <cfvo type="percent" val="0"/>
        <cfvo type="percent" val="20"/>
        <cfvo type="percent" val="40"/>
        <cfvo type="percent" val="60"/>
        <cfvo type="percent" val="80"/>
      </iconSet>
    </cfRule>
    <cfRule type="iconSet" priority="10">
      <iconSet iconSet="5Arrows">
        <cfvo type="percent" val="0"/>
        <cfvo type="percent" val="20"/>
        <cfvo type="percent" val="40"/>
        <cfvo type="percent" val="60"/>
        <cfvo type="percent" val="80"/>
      </iconSet>
    </cfRule>
    <cfRule type="iconSet" priority="11">
      <iconSet iconSet="4Arrows">
        <cfvo type="percent" val="0"/>
        <cfvo type="percent" val="25"/>
        <cfvo type="percent" val="50"/>
        <cfvo type="percent" val="75"/>
      </iconSet>
    </cfRule>
    <cfRule type="iconSet" priority="12">
      <iconSet iconSet="3Arrows">
        <cfvo type="percent" val="0"/>
        <cfvo type="percent" val="33"/>
        <cfvo type="percent" val="67"/>
      </iconSet>
    </cfRule>
  </conditionalFormatting>
  <conditionalFormatting sqref="AA24:AA39">
    <cfRule type="iconSet" priority="13">
      <iconSet iconSet="5Arrows" reverse="1">
        <cfvo type="percent" val="0"/>
        <cfvo type="percent" val="20"/>
        <cfvo type="percent" val="40"/>
        <cfvo type="percent" val="60"/>
        <cfvo type="percent" val="80"/>
      </iconSet>
    </cfRule>
    <cfRule type="iconSet" priority="14">
      <iconSet iconSet="5Arrows">
        <cfvo type="percent" val="0"/>
        <cfvo type="percent" val="20"/>
        <cfvo type="percent" val="40"/>
        <cfvo type="percent" val="60"/>
        <cfvo type="percent" val="80"/>
      </iconSet>
    </cfRule>
    <cfRule type="iconSet" priority="15">
      <iconSet iconSet="4Arrows">
        <cfvo type="percent" val="0"/>
        <cfvo type="percent" val="25"/>
        <cfvo type="percent" val="50"/>
        <cfvo type="percent" val="75"/>
      </iconSet>
    </cfRule>
    <cfRule type="iconSet" priority="16">
      <iconSet iconSet="3Arrows">
        <cfvo type="percent" val="0"/>
        <cfvo type="percent" val="33"/>
        <cfvo type="percent" val="67"/>
      </iconSet>
    </cfRule>
  </conditionalFormatting>
  <pageMargins left="0.7" right="0.7" top="0.75" bottom="0.75" header="0.3" footer="0.3"/>
  <pageSetup paperSize="9" scale="63" orientation="landscape" horizontalDpi="4294967293" verticalDpi="4294967293" r:id="rId1"/>
  <tableParts count="10">
    <tablePart r:id="rId2"/>
    <tablePart r:id="rId3"/>
    <tablePart r:id="rId4"/>
    <tablePart r:id="rId5"/>
    <tablePart r:id="rId6"/>
    <tablePart r:id="rId7"/>
    <tablePart r:id="rId8"/>
    <tablePart r:id="rId9"/>
    <tablePart r:id="rId10"/>
    <tablePart r:id="rId11"/>
  </tablePar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FF0000"/>
  </sheetPr>
  <dimension ref="B2:N27"/>
  <sheetViews>
    <sheetView workbookViewId="0">
      <selection activeCell="O23" sqref="O23"/>
    </sheetView>
  </sheetViews>
  <sheetFormatPr defaultColWidth="8.85546875" defaultRowHeight="15"/>
  <cols>
    <col min="1" max="1" width="8.85546875" style="3"/>
    <col min="2" max="2" width="7.42578125" style="3" bestFit="1" customWidth="1"/>
    <col min="3" max="3" width="11.7109375" style="3" bestFit="1" customWidth="1"/>
    <col min="4" max="5" width="11" style="13" customWidth="1"/>
    <col min="6" max="6" width="11" style="41" customWidth="1"/>
    <col min="7" max="8" width="8.85546875" style="3"/>
    <col min="9" max="9" width="11.7109375" style="3" bestFit="1" customWidth="1"/>
    <col min="10" max="10" width="8.85546875" style="3"/>
    <col min="11" max="11" width="11.42578125" style="3" bestFit="1" customWidth="1"/>
    <col min="12" max="13" width="8.85546875" style="3"/>
    <col min="14" max="14" width="7.42578125" style="3" customWidth="1"/>
    <col min="15" max="16384" width="8.85546875" style="3"/>
  </cols>
  <sheetData>
    <row r="2" spans="2:14">
      <c r="F2" s="41" t="s">
        <v>48</v>
      </c>
    </row>
    <row r="3" spans="2:14" ht="15.75" thickBot="1">
      <c r="B3" s="12" t="s">
        <v>2</v>
      </c>
      <c r="C3" s="12" t="s">
        <v>3</v>
      </c>
      <c r="D3" s="35" t="s">
        <v>56</v>
      </c>
      <c r="E3" s="35" t="s">
        <v>57</v>
      </c>
      <c r="F3" s="42" t="s">
        <v>58</v>
      </c>
      <c r="H3" s="12" t="s">
        <v>2</v>
      </c>
      <c r="I3" s="12" t="s">
        <v>3</v>
      </c>
      <c r="J3" s="35" t="s">
        <v>59</v>
      </c>
      <c r="K3" s="35" t="s">
        <v>60</v>
      </c>
      <c r="L3" s="42" t="s">
        <v>58</v>
      </c>
      <c r="N3" t="s">
        <v>61</v>
      </c>
    </row>
    <row r="4" spans="2:14" ht="15.75" thickBot="1">
      <c r="B4" s="294" t="s">
        <v>30</v>
      </c>
      <c r="C4" s="295" t="s">
        <v>31</v>
      </c>
      <c r="D4" s="43">
        <v>78</v>
      </c>
      <c r="E4" s="38">
        <f>Scoreboard!AC9</f>
        <v>0</v>
      </c>
      <c r="F4" s="67">
        <f t="shared" ref="F4:F17" si="0">D4+E4</f>
        <v>78</v>
      </c>
      <c r="H4" s="294" t="s">
        <v>22</v>
      </c>
      <c r="I4" s="295" t="s">
        <v>23</v>
      </c>
      <c r="J4" s="43">
        <v>51</v>
      </c>
      <c r="K4" s="38">
        <f>Scoreboard!AC25</f>
        <v>0</v>
      </c>
      <c r="L4" s="43">
        <f t="shared" ref="L4:L17" si="1">J4+K4</f>
        <v>51</v>
      </c>
      <c r="N4" s="35">
        <v>0</v>
      </c>
    </row>
    <row r="5" spans="2:14" ht="15.75" thickBot="1">
      <c r="B5" s="4" t="s">
        <v>28</v>
      </c>
      <c r="C5" s="5" t="s">
        <v>29</v>
      </c>
      <c r="D5" s="21">
        <v>32</v>
      </c>
      <c r="E5" s="38">
        <f>Scoreboard!AC8</f>
        <v>4</v>
      </c>
      <c r="F5" s="68">
        <f t="shared" si="0"/>
        <v>36</v>
      </c>
      <c r="H5" s="4" t="s">
        <v>20</v>
      </c>
      <c r="I5" s="5" t="s">
        <v>34</v>
      </c>
      <c r="J5" s="21">
        <v>4</v>
      </c>
      <c r="K5" s="38">
        <f>Scoreboard!AC31</f>
        <v>2</v>
      </c>
      <c r="L5" s="21">
        <f t="shared" si="1"/>
        <v>6</v>
      </c>
      <c r="N5" s="35">
        <v>0</v>
      </c>
    </row>
    <row r="6" spans="2:14" ht="15.75" thickBot="1">
      <c r="B6" s="4" t="s">
        <v>26</v>
      </c>
      <c r="C6" s="5" t="s">
        <v>27</v>
      </c>
      <c r="D6" s="21">
        <v>35</v>
      </c>
      <c r="E6" s="38">
        <f>Scoreboard!AC7</f>
        <v>0</v>
      </c>
      <c r="F6" s="68">
        <f t="shared" si="0"/>
        <v>35</v>
      </c>
      <c r="H6" s="4" t="s">
        <v>26</v>
      </c>
      <c r="I6" s="5" t="s">
        <v>27</v>
      </c>
      <c r="J6" s="21">
        <v>14</v>
      </c>
      <c r="K6" s="38">
        <f>Scoreboard!AC27</f>
        <v>3</v>
      </c>
      <c r="L6" s="21">
        <f t="shared" si="1"/>
        <v>17</v>
      </c>
      <c r="N6" s="35">
        <v>0</v>
      </c>
    </row>
    <row r="7" spans="2:14" ht="15.75" thickBot="1">
      <c r="B7" s="4" t="s">
        <v>32</v>
      </c>
      <c r="C7" s="5" t="s">
        <v>33</v>
      </c>
      <c r="D7" s="21">
        <v>34</v>
      </c>
      <c r="E7" s="38">
        <f>Scoreboard!AC10</f>
        <v>4</v>
      </c>
      <c r="F7" s="68">
        <f t="shared" si="0"/>
        <v>38</v>
      </c>
      <c r="H7" s="4" t="s">
        <v>32</v>
      </c>
      <c r="I7" s="5" t="s">
        <v>33</v>
      </c>
      <c r="J7" s="21">
        <v>20</v>
      </c>
      <c r="K7" s="38">
        <f>Scoreboard!AC30</f>
        <v>0</v>
      </c>
      <c r="L7" s="21">
        <f t="shared" si="1"/>
        <v>20</v>
      </c>
      <c r="N7" s="35">
        <v>0</v>
      </c>
    </row>
    <row r="8" spans="2:14" ht="15.75" thickBot="1">
      <c r="B8" s="4" t="s">
        <v>37</v>
      </c>
      <c r="C8" s="5" t="s">
        <v>38</v>
      </c>
      <c r="D8" s="21">
        <v>50</v>
      </c>
      <c r="E8" s="38">
        <f>Scoreboard!AC13</f>
        <v>3</v>
      </c>
      <c r="F8" s="68">
        <f t="shared" si="0"/>
        <v>53</v>
      </c>
      <c r="H8" s="4" t="s">
        <v>35</v>
      </c>
      <c r="I8" s="5" t="s">
        <v>36</v>
      </c>
      <c r="J8" s="21">
        <v>8</v>
      </c>
      <c r="K8" s="38">
        <f>Scoreboard!AC32</f>
        <v>0</v>
      </c>
      <c r="L8" s="21">
        <f t="shared" si="1"/>
        <v>8</v>
      </c>
      <c r="N8" s="35">
        <v>0</v>
      </c>
    </row>
    <row r="9" spans="2:14" ht="15.75" thickBot="1">
      <c r="B9" s="4" t="s">
        <v>42</v>
      </c>
      <c r="C9" s="5" t="s">
        <v>27</v>
      </c>
      <c r="D9" s="21">
        <v>98</v>
      </c>
      <c r="E9" s="38">
        <f>Scoreboard!AC16</f>
        <v>0</v>
      </c>
      <c r="F9" s="68">
        <f t="shared" si="0"/>
        <v>98</v>
      </c>
      <c r="H9" s="4" t="s">
        <v>37</v>
      </c>
      <c r="I9" s="5" t="s">
        <v>38</v>
      </c>
      <c r="J9" s="21">
        <v>21</v>
      </c>
      <c r="K9" s="38">
        <f>Scoreboard!AC33</f>
        <v>0</v>
      </c>
      <c r="L9" s="21">
        <f t="shared" si="1"/>
        <v>21</v>
      </c>
      <c r="N9" s="35">
        <v>0</v>
      </c>
    </row>
    <row r="10" spans="2:14" ht="15.75" thickBot="1">
      <c r="B10" s="4" t="s">
        <v>22</v>
      </c>
      <c r="C10" s="5" t="s">
        <v>23</v>
      </c>
      <c r="D10" s="21">
        <v>7</v>
      </c>
      <c r="E10" s="38">
        <f>Scoreboard!AC5</f>
        <v>0</v>
      </c>
      <c r="F10" s="68">
        <f t="shared" si="0"/>
        <v>7</v>
      </c>
      <c r="H10" s="4" t="s">
        <v>20</v>
      </c>
      <c r="I10" s="5" t="s">
        <v>21</v>
      </c>
      <c r="J10" s="21">
        <v>58</v>
      </c>
      <c r="K10" s="38">
        <f>Scoreboard!AC24</f>
        <v>4</v>
      </c>
      <c r="L10" s="21">
        <f t="shared" si="1"/>
        <v>62</v>
      </c>
      <c r="N10" s="35">
        <v>0</v>
      </c>
    </row>
    <row r="11" spans="2:14" ht="15.75" thickBot="1">
      <c r="B11" s="4" t="s">
        <v>24</v>
      </c>
      <c r="C11" s="5" t="s">
        <v>25</v>
      </c>
      <c r="D11" s="21">
        <v>42</v>
      </c>
      <c r="E11" s="38">
        <f>Scoreboard!AC6</f>
        <v>0</v>
      </c>
      <c r="F11" s="68">
        <f t="shared" si="0"/>
        <v>42</v>
      </c>
      <c r="H11" s="4" t="s">
        <v>24</v>
      </c>
      <c r="I11" s="5" t="s">
        <v>25</v>
      </c>
      <c r="J11" s="21">
        <v>15</v>
      </c>
      <c r="K11" s="38">
        <f>Scoreboard!AC26</f>
        <v>0</v>
      </c>
      <c r="L11" s="21">
        <f t="shared" si="1"/>
        <v>15</v>
      </c>
      <c r="N11" s="35">
        <v>0</v>
      </c>
    </row>
    <row r="12" spans="2:14" ht="15.75" thickBot="1">
      <c r="B12" s="4" t="s">
        <v>35</v>
      </c>
      <c r="C12" s="5" t="s">
        <v>36</v>
      </c>
      <c r="D12" s="21">
        <v>53</v>
      </c>
      <c r="E12" s="38">
        <f>Tabell11[[#This Row],[Öl]]</f>
        <v>3</v>
      </c>
      <c r="F12" s="68">
        <f t="shared" si="0"/>
        <v>56</v>
      </c>
      <c r="H12" s="4" t="s">
        <v>28</v>
      </c>
      <c r="I12" s="5" t="s">
        <v>29</v>
      </c>
      <c r="J12" s="21">
        <v>30</v>
      </c>
      <c r="K12" s="38">
        <f>Scoreboard!AC28</f>
        <v>2</v>
      </c>
      <c r="L12" s="21">
        <f t="shared" si="1"/>
        <v>32</v>
      </c>
      <c r="N12" s="35">
        <v>0</v>
      </c>
    </row>
    <row r="13" spans="2:14" ht="15.75" thickBot="1">
      <c r="B13" s="4" t="s">
        <v>32</v>
      </c>
      <c r="C13" s="5" t="s">
        <v>41</v>
      </c>
      <c r="D13" s="21">
        <v>63</v>
      </c>
      <c r="E13" s="38">
        <f>Scoreboard!AC15</f>
        <v>1</v>
      </c>
      <c r="F13" s="68">
        <f t="shared" si="0"/>
        <v>64</v>
      </c>
      <c r="H13" s="4" t="s">
        <v>30</v>
      </c>
      <c r="I13" s="5" t="s">
        <v>31</v>
      </c>
      <c r="J13" s="21">
        <v>9</v>
      </c>
      <c r="K13" s="38">
        <f>Scoreboard!AC29</f>
        <v>0</v>
      </c>
      <c r="L13" s="21">
        <f t="shared" si="1"/>
        <v>9</v>
      </c>
      <c r="N13" s="35">
        <v>0</v>
      </c>
    </row>
    <row r="14" spans="2:14" ht="15.75" thickBot="1">
      <c r="B14" s="4" t="s">
        <v>43</v>
      </c>
      <c r="C14" s="5" t="s">
        <v>44</v>
      </c>
      <c r="D14" s="21">
        <v>39</v>
      </c>
      <c r="E14" s="38">
        <f>Scoreboard!AC17</f>
        <v>0</v>
      </c>
      <c r="F14" s="68">
        <f t="shared" si="0"/>
        <v>39</v>
      </c>
      <c r="H14" s="4" t="s">
        <v>62</v>
      </c>
      <c r="I14" s="5" t="s">
        <v>40</v>
      </c>
      <c r="J14" s="21">
        <v>11</v>
      </c>
      <c r="K14" s="38">
        <f>Scoreboard!AC34</f>
        <v>1</v>
      </c>
      <c r="L14" s="21">
        <f t="shared" si="1"/>
        <v>12</v>
      </c>
      <c r="N14" s="35">
        <v>0</v>
      </c>
    </row>
    <row r="15" spans="2:14" ht="15.75" thickBot="1">
      <c r="B15" s="4" t="s">
        <v>20</v>
      </c>
      <c r="C15" s="5" t="s">
        <v>21</v>
      </c>
      <c r="D15" s="21">
        <v>16</v>
      </c>
      <c r="E15" s="38">
        <f>Scoreboard!AC4</f>
        <v>0</v>
      </c>
      <c r="F15" s="68">
        <f t="shared" si="0"/>
        <v>16</v>
      </c>
      <c r="H15" s="4" t="s">
        <v>32</v>
      </c>
      <c r="I15" s="5" t="s">
        <v>41</v>
      </c>
      <c r="J15" s="21">
        <v>6</v>
      </c>
      <c r="K15" s="38">
        <f>Scoreboard!AC35</f>
        <v>0</v>
      </c>
      <c r="L15" s="21">
        <f t="shared" si="1"/>
        <v>6</v>
      </c>
      <c r="N15" s="35">
        <v>0</v>
      </c>
    </row>
    <row r="16" spans="2:14" ht="15.75" thickBot="1">
      <c r="B16" s="4" t="s">
        <v>63</v>
      </c>
      <c r="C16" s="5" t="s">
        <v>34</v>
      </c>
      <c r="D16" s="21">
        <v>11</v>
      </c>
      <c r="E16" s="38">
        <f>Scoreboard!AC11</f>
        <v>4</v>
      </c>
      <c r="F16" s="68">
        <f t="shared" si="0"/>
        <v>15</v>
      </c>
      <c r="H16" s="4" t="s">
        <v>42</v>
      </c>
      <c r="I16" s="5" t="s">
        <v>27</v>
      </c>
      <c r="J16" s="21">
        <v>5</v>
      </c>
      <c r="K16" s="38">
        <f>Scoreboard!AC36</f>
        <v>1</v>
      </c>
      <c r="L16" s="21">
        <f t="shared" si="1"/>
        <v>6</v>
      </c>
      <c r="N16" s="35">
        <v>0</v>
      </c>
    </row>
    <row r="17" spans="2:14">
      <c r="B17" s="6" t="s">
        <v>64</v>
      </c>
      <c r="C17" s="7" t="s">
        <v>40</v>
      </c>
      <c r="D17" s="22">
        <v>9</v>
      </c>
      <c r="E17" s="38">
        <f>Scoreboard!AC14</f>
        <v>2</v>
      </c>
      <c r="F17" s="69">
        <f t="shared" si="0"/>
        <v>11</v>
      </c>
      <c r="H17" s="6" t="s">
        <v>43</v>
      </c>
      <c r="I17" s="7" t="s">
        <v>44</v>
      </c>
      <c r="J17" s="22">
        <v>24</v>
      </c>
      <c r="K17" s="38">
        <f>Scoreboard!AC37</f>
        <v>3</v>
      </c>
      <c r="L17" s="22">
        <f t="shared" si="1"/>
        <v>27</v>
      </c>
      <c r="N17" s="35">
        <v>0</v>
      </c>
    </row>
    <row r="18" spans="2:14" ht="15.75" thickBot="1">
      <c r="B18" s="4" t="s">
        <v>45</v>
      </c>
      <c r="C18" s="5" t="s">
        <v>46</v>
      </c>
      <c r="D18" s="21">
        <v>14</v>
      </c>
      <c r="E18" s="29">
        <f>Tabell11[[#This Row],[Öl]]</f>
        <v>2</v>
      </c>
      <c r="F18" s="68">
        <f>D18+E18</f>
        <v>16</v>
      </c>
      <c r="H18" s="4" t="s">
        <v>65</v>
      </c>
      <c r="I18" s="5" t="s">
        <v>46</v>
      </c>
      <c r="J18" s="21">
        <v>26</v>
      </c>
      <c r="K18" s="29">
        <f>Scoreboard!AC38</f>
        <v>2</v>
      </c>
      <c r="L18" s="21">
        <f>J18+K18</f>
        <v>28</v>
      </c>
    </row>
    <row r="19" spans="2:14">
      <c r="B19" s="4" t="s">
        <v>47</v>
      </c>
      <c r="C19" s="5" t="s">
        <v>27</v>
      </c>
      <c r="D19" s="21">
        <v>7</v>
      </c>
      <c r="E19" s="29" t="str">
        <f>Tabell11[[#Totals],[Öl]]</f>
        <v>5</v>
      </c>
      <c r="F19" s="68">
        <f>D19+E19</f>
        <v>12</v>
      </c>
      <c r="H19" s="4" t="s">
        <v>47</v>
      </c>
      <c r="I19" s="5" t="s">
        <v>27</v>
      </c>
      <c r="J19" s="21">
        <v>0</v>
      </c>
      <c r="K19" s="38">
        <f>Scoreboard!AC39</f>
        <v>0</v>
      </c>
      <c r="L19" s="21">
        <f>J19+K19</f>
        <v>0</v>
      </c>
    </row>
    <row r="20" spans="2:14" ht="15.75" thickBot="1">
      <c r="B20" s="4" t="s">
        <v>66</v>
      </c>
      <c r="C20" s="5"/>
      <c r="D20" s="21">
        <v>129</v>
      </c>
      <c r="E20" s="29">
        <v>0</v>
      </c>
      <c r="F20" s="68">
        <f>D20+E20</f>
        <v>129</v>
      </c>
      <c r="H20" s="4" t="s">
        <v>66</v>
      </c>
      <c r="I20" s="5"/>
      <c r="J20" s="21">
        <v>73</v>
      </c>
      <c r="K20" s="62"/>
      <c r="L20" s="21">
        <f>J20+K20</f>
        <v>73</v>
      </c>
    </row>
    <row r="21" spans="2:14" ht="15.75" thickBot="1">
      <c r="B21" s="138"/>
      <c r="C21" s="139"/>
      <c r="D21" s="104">
        <f>SUM(D4:D20)</f>
        <v>717</v>
      </c>
      <c r="E21" s="105">
        <f>E4+E5+E6+E7+E8+E9+E10+E11+E12+E13+E14+E15+E16+E17+E18+E19+E20</f>
        <v>28</v>
      </c>
      <c r="F21" s="140">
        <f>SUM(F4:F20)</f>
        <v>745</v>
      </c>
      <c r="H21" s="296"/>
      <c r="I21" s="297"/>
      <c r="J21" s="40">
        <f>SUM(J4:J20)</f>
        <v>375</v>
      </c>
      <c r="K21" s="40">
        <f>SUM(K4:K20)</f>
        <v>18</v>
      </c>
      <c r="L21" s="22">
        <f>(L4+L5+L6+L7+L8+L9+L10+L11+L12+L13+L14+L15+L16+L17+L18+J20)</f>
        <v>393</v>
      </c>
    </row>
    <row r="22" spans="2:14" ht="15.75" thickBot="1">
      <c r="D22" s="103">
        <f>(Tabell21[[#Totals],[Öl tid]])*20</f>
        <v>14340</v>
      </c>
      <c r="E22" s="103">
        <f>(Tabell21[[#Totals],[Öl i år]])*20</f>
        <v>560</v>
      </c>
    </row>
    <row r="24" spans="2:14">
      <c r="G24" s="3" t="s">
        <v>48</v>
      </c>
    </row>
    <row r="25" spans="2:14">
      <c r="F25" s="41" t="s">
        <v>48</v>
      </c>
    </row>
    <row r="27" spans="2:14">
      <c r="I27" s="3" t="s">
        <v>48</v>
      </c>
    </row>
  </sheetData>
  <conditionalFormatting sqref="B4:C20">
    <cfRule type="dataBar" priority="684">
      <dataBar>
        <cfvo type="min"/>
        <cfvo type="max"/>
        <color rgb="FFD6007B"/>
      </dataBar>
    </cfRule>
    <cfRule type="colorScale" priority="685">
      <colorScale>
        <cfvo type="min"/>
        <cfvo type="percentile" val="50"/>
        <cfvo type="max"/>
        <color rgb="FFF8696B"/>
        <color rgb="FFFFEB84"/>
        <color rgb="FF5A8AC6"/>
      </colorScale>
    </cfRule>
  </conditionalFormatting>
  <conditionalFormatting sqref="H4:I20">
    <cfRule type="dataBar" priority="686">
      <dataBar>
        <cfvo type="min"/>
        <cfvo type="max"/>
        <color rgb="FFD6007B"/>
      </dataBar>
    </cfRule>
    <cfRule type="colorScale" priority="687">
      <colorScale>
        <cfvo type="min"/>
        <cfvo type="percentile" val="50"/>
        <cfvo type="max"/>
        <color rgb="FFF8696B"/>
        <color rgb="FFFFEB84"/>
        <color rgb="FF5A8AC6"/>
      </colorScale>
    </cfRule>
  </conditionalFormatting>
  <conditionalFormatting sqref="N4:N17">
    <cfRule type="iconSet" priority="1">
      <iconSet>
        <cfvo type="percent" val="0"/>
        <cfvo type="num" val="0"/>
        <cfvo type="num" val="300"/>
      </iconSet>
    </cfRule>
    <cfRule type="iconSet" priority="2">
      <iconSet>
        <cfvo type="percent" val="0"/>
        <cfvo type="num" val="-1"/>
        <cfvo type="num" val="300"/>
      </iconSet>
    </cfRule>
    <cfRule type="iconSet" priority="3">
      <iconSet iconSet="3Symbols">
        <cfvo type="percent" val="0"/>
        <cfvo type="percent" val="33"/>
        <cfvo type="percent" val="67"/>
      </iconSet>
    </cfRule>
  </conditionalFormatting>
  <pageMargins left="0.7" right="0.7" top="0.75" bottom="0.75" header="0.3" footer="0.3"/>
  <pageSetup paperSize="9" orientation="landscape" horizontalDpi="4294967293"/>
  <tableParts count="3">
    <tablePart r:id="rId1"/>
    <tablePart r:id="rId2"/>
    <tablePart r:id="rId3"/>
  </tablePart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rgb="FFC00000"/>
    <pageSetUpPr fitToPage="1"/>
  </sheetPr>
  <dimension ref="B2:P35"/>
  <sheetViews>
    <sheetView workbookViewId="0">
      <selection activeCell="P39" sqref="P39"/>
    </sheetView>
  </sheetViews>
  <sheetFormatPr defaultColWidth="8.85546875" defaultRowHeight="15"/>
  <cols>
    <col min="1" max="1" width="8.85546875" style="3"/>
    <col min="2" max="2" width="11" style="3" customWidth="1"/>
    <col min="3" max="3" width="11.7109375" style="3" bestFit="1" customWidth="1"/>
    <col min="4" max="4" width="11.5703125" style="13" bestFit="1" customWidth="1"/>
    <col min="5" max="5" width="11" style="13" customWidth="1"/>
    <col min="6" max="6" width="11" style="41" customWidth="1"/>
    <col min="7" max="8" width="8.85546875" style="3"/>
    <col min="9" max="9" width="11.7109375" style="3" bestFit="1" customWidth="1"/>
    <col min="10" max="16384" width="8.85546875" style="3"/>
  </cols>
  <sheetData>
    <row r="2" spans="2:16" ht="15.75" thickBot="1"/>
    <row r="3" spans="2:16" ht="15.75" thickBot="1">
      <c r="B3" s="120" t="s">
        <v>2</v>
      </c>
      <c r="C3" s="120" t="s">
        <v>3</v>
      </c>
      <c r="D3" s="36" t="s">
        <v>67</v>
      </c>
      <c r="E3" s="45" t="s">
        <v>68</v>
      </c>
      <c r="F3" s="46" t="s">
        <v>69</v>
      </c>
      <c r="H3" s="120" t="s">
        <v>2</v>
      </c>
      <c r="I3" s="120" t="s">
        <v>3</v>
      </c>
      <c r="J3" s="36" t="s">
        <v>67</v>
      </c>
      <c r="K3" s="45" t="s">
        <v>68</v>
      </c>
      <c r="L3" s="46" t="s">
        <v>69</v>
      </c>
      <c r="M3" s="358"/>
      <c r="N3" s="358"/>
      <c r="O3" s="358"/>
      <c r="P3" s="44"/>
    </row>
    <row r="4" spans="2:16" ht="15.75" thickBot="1">
      <c r="B4" s="114" t="s">
        <v>20</v>
      </c>
      <c r="C4" s="115" t="s">
        <v>21</v>
      </c>
      <c r="D4" s="116">
        <f>SMALL(Scoreboard!$D4:$M4,1)</f>
        <v>86</v>
      </c>
      <c r="E4" s="124">
        <v>80</v>
      </c>
      <c r="F4" s="117">
        <f>Tabell23[[#This Row],[I år]]-E4</f>
        <v>6</v>
      </c>
      <c r="H4" s="292" t="s">
        <v>20</v>
      </c>
      <c r="I4" s="298" t="s">
        <v>21</v>
      </c>
      <c r="J4" s="38">
        <f>MIN(Scoreboard!D24:M24)</f>
        <v>71</v>
      </c>
      <c r="K4" s="38">
        <v>61</v>
      </c>
      <c r="L4" s="127">
        <f>Tabell2326[[#This Row],[I år]]-K4</f>
        <v>10</v>
      </c>
      <c r="M4" s="13"/>
      <c r="P4" s="13"/>
    </row>
    <row r="5" spans="2:16" ht="15.75" thickBot="1">
      <c r="B5" s="134" t="s">
        <v>22</v>
      </c>
      <c r="C5" s="135" t="s">
        <v>23</v>
      </c>
      <c r="D5" s="37">
        <f>SMALL(Scoreboard!$D5:$M5,1)</f>
        <v>91</v>
      </c>
      <c r="E5" s="28">
        <v>81</v>
      </c>
      <c r="F5" s="122">
        <f>Tabell23[[#This Row],[I år]]-E5</f>
        <v>10</v>
      </c>
      <c r="H5" s="128" t="s">
        <v>22</v>
      </c>
      <c r="I5" s="126" t="s">
        <v>23</v>
      </c>
      <c r="J5" s="39">
        <f>MIN(Scoreboard!D25:M25)</f>
        <v>73</v>
      </c>
      <c r="K5" s="39">
        <v>67</v>
      </c>
      <c r="L5" s="47">
        <f>Tabell2326[[#This Row],[I år]]-K5</f>
        <v>6</v>
      </c>
      <c r="M5" s="13"/>
      <c r="P5" s="13"/>
    </row>
    <row r="6" spans="2:16" ht="15.75" thickBot="1">
      <c r="B6" s="114" t="s">
        <v>24</v>
      </c>
      <c r="C6" s="115" t="s">
        <v>25</v>
      </c>
      <c r="D6" s="116">
        <f>SMALL(Scoreboard!$D6:$M6,1)</f>
        <v>107</v>
      </c>
      <c r="E6" s="124">
        <v>90</v>
      </c>
      <c r="F6" s="117">
        <f>Tabell23[[#This Row],[I år]]-E6</f>
        <v>17</v>
      </c>
      <c r="H6" s="128" t="s">
        <v>24</v>
      </c>
      <c r="I6" s="126" t="s">
        <v>25</v>
      </c>
      <c r="J6" s="39">
        <f>MIN(Scoreboard!D26:M26)</f>
        <v>82</v>
      </c>
      <c r="K6" s="39">
        <v>66</v>
      </c>
      <c r="L6" s="47">
        <f>Tabell2326[[#This Row],[I år]]-K6</f>
        <v>16</v>
      </c>
      <c r="M6" s="13"/>
      <c r="P6" s="13"/>
    </row>
    <row r="7" spans="2:16" ht="15.75" thickBot="1">
      <c r="B7" s="134" t="s">
        <v>26</v>
      </c>
      <c r="C7" s="135" t="s">
        <v>135</v>
      </c>
      <c r="D7" s="37">
        <f>SMALL(Scoreboard!$D7:$M7,1)</f>
        <v>86</v>
      </c>
      <c r="E7" s="28">
        <v>86</v>
      </c>
      <c r="F7" s="122">
        <f>Tabell23[[#This Row],[I år]]-E7</f>
        <v>0</v>
      </c>
      <c r="H7" s="128" t="s">
        <v>26</v>
      </c>
      <c r="I7" s="126" t="s">
        <v>135</v>
      </c>
      <c r="J7" s="39">
        <f>MIN(Scoreboard!D27:M27)</f>
        <v>70</v>
      </c>
      <c r="K7" s="39">
        <v>70</v>
      </c>
      <c r="L7" s="47">
        <f>Tabell2326[[#This Row],[I år]]-K7</f>
        <v>0</v>
      </c>
      <c r="M7" s="13"/>
      <c r="P7" s="13"/>
    </row>
    <row r="8" spans="2:16" ht="15.75" thickBot="1">
      <c r="B8" s="114" t="s">
        <v>28</v>
      </c>
      <c r="C8" s="115" t="s">
        <v>29</v>
      </c>
      <c r="D8" s="116">
        <f>SMALL(Scoreboard!$D8:$M8,1)</f>
        <v>91</v>
      </c>
      <c r="E8" s="124">
        <v>84</v>
      </c>
      <c r="F8" s="117">
        <f>Tabell23[[#This Row],[I år]]-E8</f>
        <v>7</v>
      </c>
      <c r="H8" s="128" t="s">
        <v>28</v>
      </c>
      <c r="I8" s="126" t="s">
        <v>29</v>
      </c>
      <c r="J8" s="39">
        <f>MIN(Scoreboard!D28:M28)</f>
        <v>70</v>
      </c>
      <c r="K8" s="39">
        <v>64</v>
      </c>
      <c r="L8" s="47">
        <f>Tabell2326[[#This Row],[I år]]-K8</f>
        <v>6</v>
      </c>
      <c r="M8" s="13"/>
      <c r="P8" s="13"/>
    </row>
    <row r="9" spans="2:16" ht="15.75" thickBot="1">
      <c r="B9" s="134" t="s">
        <v>30</v>
      </c>
      <c r="C9" s="135" t="s">
        <v>31</v>
      </c>
      <c r="D9" s="37">
        <f>SMALL(Scoreboard!$D9:$M9,1)</f>
        <v>97</v>
      </c>
      <c r="E9" s="28">
        <v>89</v>
      </c>
      <c r="F9" s="122">
        <f>Tabell23[[#This Row],[I år]]-E9</f>
        <v>8</v>
      </c>
      <c r="H9" s="128" t="s">
        <v>30</v>
      </c>
      <c r="I9" s="126" t="s">
        <v>31</v>
      </c>
      <c r="J9" s="39">
        <f>MIN(Scoreboard!D29:M29)</f>
        <v>66</v>
      </c>
      <c r="K9" s="39">
        <v>66</v>
      </c>
      <c r="L9" s="47">
        <f>Tabell2326[[#This Row],[I år]]-K9</f>
        <v>0</v>
      </c>
      <c r="M9" s="13"/>
      <c r="P9" s="13"/>
    </row>
    <row r="10" spans="2:16" ht="15.75" thickBot="1">
      <c r="B10" s="114" t="s">
        <v>32</v>
      </c>
      <c r="C10" s="115" t="s">
        <v>33</v>
      </c>
      <c r="D10" s="116">
        <f>SMALL(Scoreboard!$D10:$M10,1)</f>
        <v>98</v>
      </c>
      <c r="E10" s="124">
        <v>88</v>
      </c>
      <c r="F10" s="117">
        <f>Tabell23[[#This Row],[I år]]-E10</f>
        <v>10</v>
      </c>
      <c r="H10" s="128" t="s">
        <v>32</v>
      </c>
      <c r="I10" s="126" t="s">
        <v>33</v>
      </c>
      <c r="J10" s="39">
        <f>MIN(Scoreboard!D30:M30)</f>
        <v>75</v>
      </c>
      <c r="K10" s="39">
        <v>66</v>
      </c>
      <c r="L10" s="47">
        <f>Tabell2326[[#This Row],[I år]]-K10</f>
        <v>9</v>
      </c>
      <c r="M10" s="13"/>
      <c r="P10" s="13"/>
    </row>
    <row r="11" spans="2:16" ht="15.75" thickBot="1">
      <c r="B11" s="134" t="s">
        <v>20</v>
      </c>
      <c r="C11" s="135" t="s">
        <v>34</v>
      </c>
      <c r="D11" s="37">
        <f>SMALL(Scoreboard!$D11:$M11,1)</f>
        <v>89</v>
      </c>
      <c r="E11" s="28">
        <v>92</v>
      </c>
      <c r="F11" s="122">
        <f>Tabell23[[#This Row],[I år]]-E11</f>
        <v>-3</v>
      </c>
      <c r="H11" s="128" t="s">
        <v>20</v>
      </c>
      <c r="I11" s="126" t="s">
        <v>34</v>
      </c>
      <c r="J11" s="39">
        <f>MIN(Scoreboard!D31:M31)</f>
        <v>68</v>
      </c>
      <c r="K11" s="39">
        <v>69</v>
      </c>
      <c r="L11" s="47">
        <f>Tabell2326[[#This Row],[I år]]-K11</f>
        <v>-1</v>
      </c>
      <c r="M11" s="13"/>
      <c r="P11" s="13"/>
    </row>
    <row r="12" spans="2:16" ht="15.75" thickBot="1">
      <c r="B12" s="114" t="s">
        <v>35</v>
      </c>
      <c r="C12" s="115" t="s">
        <v>36</v>
      </c>
      <c r="D12" s="116">
        <f>SMALL(Scoreboard!$D12:$M12,1)</f>
        <v>100</v>
      </c>
      <c r="E12" s="124">
        <v>92</v>
      </c>
      <c r="F12" s="117">
        <f>Tabell23[[#This Row],[I år]]-E12</f>
        <v>8</v>
      </c>
      <c r="H12" s="128" t="s">
        <v>35</v>
      </c>
      <c r="I12" s="126" t="s">
        <v>36</v>
      </c>
      <c r="J12" s="39">
        <f>MIN(Scoreboard!D32:M32)</f>
        <v>71</v>
      </c>
      <c r="K12" s="39">
        <v>63</v>
      </c>
      <c r="L12" s="47">
        <f>Tabell2326[[#This Row],[I år]]-K12</f>
        <v>8</v>
      </c>
      <c r="M12" s="13"/>
      <c r="P12" s="13"/>
    </row>
    <row r="13" spans="2:16" ht="15.75" thickBot="1">
      <c r="B13" s="134" t="s">
        <v>37</v>
      </c>
      <c r="C13" s="135" t="s">
        <v>38</v>
      </c>
      <c r="D13" s="37">
        <f>SMALL(Scoreboard!$D13:$M13,1)</f>
        <v>109</v>
      </c>
      <c r="E13" s="28">
        <v>85</v>
      </c>
      <c r="F13" s="122">
        <f>Tabell23[[#This Row],[I år]]-E13</f>
        <v>24</v>
      </c>
      <c r="H13" s="128" t="s">
        <v>37</v>
      </c>
      <c r="I13" s="126" t="s">
        <v>38</v>
      </c>
      <c r="J13" s="39">
        <f>MIN(Scoreboard!D33:M33)</f>
        <v>80</v>
      </c>
      <c r="K13" s="39">
        <v>69</v>
      </c>
      <c r="L13" s="47">
        <f>Tabell2326[[#This Row],[I år]]-K13</f>
        <v>11</v>
      </c>
      <c r="M13" s="13"/>
      <c r="P13" s="13"/>
    </row>
    <row r="14" spans="2:16" ht="15.75" thickBot="1">
      <c r="B14" s="114" t="s">
        <v>39</v>
      </c>
      <c r="C14" s="115" t="s">
        <v>40</v>
      </c>
      <c r="D14" s="116">
        <f>SMALL(Scoreboard!$D14:$M14,1)</f>
        <v>94</v>
      </c>
      <c r="E14" s="124">
        <v>88</v>
      </c>
      <c r="F14" s="117">
        <f>Tabell23[[#This Row],[I år]]-E14</f>
        <v>6</v>
      </c>
      <c r="H14" s="128" t="s">
        <v>39</v>
      </c>
      <c r="I14" s="126" t="s">
        <v>40</v>
      </c>
      <c r="J14" s="39">
        <f>MIN(Scoreboard!D34:M34)</f>
        <v>69</v>
      </c>
      <c r="K14" s="39">
        <v>73</v>
      </c>
      <c r="L14" s="47">
        <f>Tabell2326[[#This Row],[I år]]-K14</f>
        <v>-4</v>
      </c>
      <c r="M14" s="13"/>
      <c r="P14" s="13"/>
    </row>
    <row r="15" spans="2:16" ht="15.75" thickBot="1">
      <c r="B15" s="134" t="s">
        <v>32</v>
      </c>
      <c r="C15" s="135" t="s">
        <v>41</v>
      </c>
      <c r="D15" s="37">
        <f>SMALL(Scoreboard!$D15:$M15,1)</f>
        <v>106</v>
      </c>
      <c r="E15" s="28">
        <v>98</v>
      </c>
      <c r="F15" s="122">
        <f>Tabell23[[#This Row],[I år]]-E15</f>
        <v>8</v>
      </c>
      <c r="H15" s="128" t="s">
        <v>32</v>
      </c>
      <c r="I15" s="126" t="s">
        <v>41</v>
      </c>
      <c r="J15" s="39">
        <f>MIN(Scoreboard!D35:M35)</f>
        <v>73</v>
      </c>
      <c r="K15" s="39">
        <v>66</v>
      </c>
      <c r="L15" s="47">
        <f>Tabell2326[[#This Row],[I år]]-K15</f>
        <v>7</v>
      </c>
      <c r="M15" s="13"/>
      <c r="P15" s="13"/>
    </row>
    <row r="16" spans="2:16" ht="15.75" thickBot="1">
      <c r="B16" s="114" t="s">
        <v>42</v>
      </c>
      <c r="C16" s="115" t="s">
        <v>134</v>
      </c>
      <c r="D16" s="116">
        <f>SMALL(Scoreboard!$D16:$M16,1)</f>
        <v>101</v>
      </c>
      <c r="E16" s="124">
        <v>95</v>
      </c>
      <c r="F16" s="117">
        <f>Tabell23[[#This Row],[I år]]-E16</f>
        <v>6</v>
      </c>
      <c r="H16" s="128" t="s">
        <v>42</v>
      </c>
      <c r="I16" s="126" t="s">
        <v>134</v>
      </c>
      <c r="J16" s="39">
        <f>MIN(Scoreboard!D36:M36)</f>
        <v>75</v>
      </c>
      <c r="K16" s="39">
        <v>63</v>
      </c>
      <c r="L16" s="47">
        <f>Tabell2326[[#This Row],[I år]]-K16</f>
        <v>12</v>
      </c>
      <c r="M16" s="13"/>
      <c r="P16" s="13"/>
    </row>
    <row r="17" spans="2:16" ht="15.75" thickBot="1">
      <c r="B17" s="118" t="s">
        <v>43</v>
      </c>
      <c r="C17" s="119" t="s">
        <v>44</v>
      </c>
      <c r="D17" s="121">
        <f>SMALL(Scoreboard!$D17:$M17,1)</f>
        <v>91</v>
      </c>
      <c r="E17" s="125">
        <v>85</v>
      </c>
      <c r="F17" s="123">
        <f>Tabell23[[#This Row],[I år]]-E17</f>
        <v>6</v>
      </c>
      <c r="H17" s="128" t="s">
        <v>43</v>
      </c>
      <c r="I17" s="126" t="s">
        <v>44</v>
      </c>
      <c r="J17" s="39">
        <f>MIN(Scoreboard!D37:M37)</f>
        <v>71</v>
      </c>
      <c r="K17" s="39">
        <v>65</v>
      </c>
      <c r="L17" s="47">
        <f>Tabell2326[[#This Row],[I år]]-K17</f>
        <v>6</v>
      </c>
      <c r="M17" s="13"/>
      <c r="P17" s="13"/>
    </row>
    <row r="18" spans="2:16" ht="15.75" thickBot="1">
      <c r="B18" s="114" t="s">
        <v>45</v>
      </c>
      <c r="C18" s="115" t="s">
        <v>46</v>
      </c>
      <c r="D18" s="116">
        <f>SMALL(Scoreboard!D18:M18,1)</f>
        <v>88</v>
      </c>
      <c r="E18" s="125">
        <v>84</v>
      </c>
      <c r="F18" s="123">
        <f>Tabell23[[#This Row],[I år]]-E18</f>
        <v>4</v>
      </c>
      <c r="H18" s="129" t="s">
        <v>45</v>
      </c>
      <c r="I18" s="130" t="s">
        <v>46</v>
      </c>
      <c r="J18" s="131">
        <f>MIN(Scoreboard!D38:M38)</f>
        <v>71</v>
      </c>
      <c r="K18" s="131">
        <v>70</v>
      </c>
      <c r="L18" s="48">
        <f>Tabell2326[[#This Row],[I år]]-K18</f>
        <v>1</v>
      </c>
    </row>
    <row r="19" spans="2:16" ht="15.75" thickBot="1">
      <c r="B19" s="4" t="s">
        <v>47</v>
      </c>
      <c r="C19" s="5" t="s">
        <v>70</v>
      </c>
      <c r="D19" s="37">
        <f>MIN(Scoreboard!D19:M19)</f>
        <v>101</v>
      </c>
      <c r="E19" s="124">
        <v>110</v>
      </c>
      <c r="F19" s="123">
        <f>Tabell23[[#This Row],[I år]]-E19</f>
        <v>-9</v>
      </c>
      <c r="H19" s="128" t="s">
        <v>47</v>
      </c>
      <c r="I19" s="126" t="s">
        <v>70</v>
      </c>
      <c r="J19" s="131">
        <f>MIN(Scoreboard!D39:M39)</f>
        <v>68</v>
      </c>
      <c r="K19" s="131">
        <v>80</v>
      </c>
      <c r="L19" s="48">
        <f>Tabell2326[[#This Row],[I år]]-K19</f>
        <v>-12</v>
      </c>
    </row>
    <row r="20" spans="2:16">
      <c r="L20" s="49"/>
    </row>
    <row r="21" spans="2:16">
      <c r="I21" s="359"/>
      <c r="J21" s="359"/>
      <c r="K21" s="359"/>
      <c r="L21" s="50"/>
    </row>
    <row r="22" spans="2:16">
      <c r="D22" s="13" t="s">
        <v>48</v>
      </c>
      <c r="I22" s="50"/>
      <c r="J22" s="51"/>
      <c r="K22" s="51"/>
      <c r="L22" s="50"/>
    </row>
    <row r="23" spans="2:16">
      <c r="I23" s="50"/>
      <c r="J23" s="51"/>
      <c r="K23" s="51"/>
      <c r="L23" s="50"/>
    </row>
    <row r="24" spans="2:16">
      <c r="I24" s="50"/>
      <c r="J24" s="51"/>
      <c r="K24" s="51"/>
      <c r="L24" s="50"/>
    </row>
    <row r="25" spans="2:16">
      <c r="I25" s="50"/>
      <c r="J25" s="51"/>
      <c r="K25" s="51"/>
      <c r="L25" s="50"/>
    </row>
    <row r="26" spans="2:16">
      <c r="I26" s="50"/>
      <c r="J26" s="51"/>
      <c r="K26" s="51"/>
      <c r="L26" s="50"/>
    </row>
    <row r="27" spans="2:16">
      <c r="I27" s="50"/>
      <c r="J27" s="51"/>
      <c r="K27" s="51"/>
      <c r="L27" s="50"/>
    </row>
    <row r="28" spans="2:16">
      <c r="I28" s="50"/>
      <c r="J28" s="51"/>
      <c r="K28" s="51"/>
      <c r="L28" s="50"/>
    </row>
    <row r="29" spans="2:16">
      <c r="I29" s="50"/>
      <c r="J29" s="51"/>
      <c r="K29" s="51"/>
      <c r="L29" s="50"/>
    </row>
    <row r="30" spans="2:16">
      <c r="I30" s="50"/>
      <c r="J30" s="51"/>
      <c r="K30" s="51"/>
      <c r="L30" s="50"/>
    </row>
    <row r="31" spans="2:16">
      <c r="I31" s="50"/>
      <c r="J31" s="51"/>
      <c r="K31" s="51"/>
      <c r="L31" s="50"/>
    </row>
    <row r="32" spans="2:16">
      <c r="I32" s="50"/>
      <c r="J32" s="51"/>
      <c r="K32" s="51"/>
      <c r="L32" s="50"/>
    </row>
    <row r="33" spans="9:12">
      <c r="I33" s="50"/>
      <c r="J33" s="51"/>
      <c r="K33" s="51"/>
      <c r="L33" s="50"/>
    </row>
    <row r="34" spans="9:12">
      <c r="I34" s="50"/>
      <c r="J34" s="51"/>
      <c r="K34" s="51"/>
      <c r="L34" s="50"/>
    </row>
    <row r="35" spans="9:12">
      <c r="I35" s="50"/>
      <c r="J35" s="51"/>
      <c r="K35" s="51"/>
    </row>
  </sheetData>
  <mergeCells count="2">
    <mergeCell ref="M3:O3"/>
    <mergeCell ref="I21:K21"/>
  </mergeCells>
  <conditionalFormatting sqref="B4:C19">
    <cfRule type="dataBar" priority="692">
      <dataBar>
        <cfvo type="min"/>
        <cfvo type="max"/>
        <color rgb="FFD6007B"/>
      </dataBar>
    </cfRule>
    <cfRule type="colorScale" priority="693">
      <colorScale>
        <cfvo type="min"/>
        <cfvo type="percentile" val="50"/>
        <cfvo type="max"/>
        <color rgb="FFF8696B"/>
        <color rgb="FFFFEB84"/>
        <color rgb="FF5A8AC6"/>
      </colorScale>
    </cfRule>
  </conditionalFormatting>
  <conditionalFormatting sqref="F4:F19">
    <cfRule type="iconSet" priority="5">
      <iconSet iconSet="5Arrows" reverse="1">
        <cfvo type="percent" val="0"/>
        <cfvo type="percent" val="20"/>
        <cfvo type="percent" val="40"/>
        <cfvo type="percent" val="60"/>
        <cfvo type="percent" val="80"/>
      </iconSet>
    </cfRule>
  </conditionalFormatting>
  <conditionalFormatting sqref="H4:I19">
    <cfRule type="dataBar" priority="3">
      <dataBar>
        <cfvo type="min"/>
        <cfvo type="max"/>
        <color rgb="FFD6007B"/>
      </dataBar>
    </cfRule>
    <cfRule type="colorScale" priority="4">
      <colorScale>
        <cfvo type="min"/>
        <cfvo type="percentile" val="50"/>
        <cfvo type="max"/>
        <color rgb="FFF8696B"/>
        <color rgb="FFFFEB84"/>
        <color rgb="FF5A8AC6"/>
      </colorScale>
    </cfRule>
  </conditionalFormatting>
  <conditionalFormatting sqref="L4:L19">
    <cfRule type="iconSet" priority="2">
      <iconSet iconSet="5Arrows" reverse="1">
        <cfvo type="percent" val="0"/>
        <cfvo type="percent" val="20"/>
        <cfvo type="percent" val="40"/>
        <cfvo type="percent" val="60"/>
        <cfvo type="percent" val="80"/>
      </iconSet>
    </cfRule>
  </conditionalFormatting>
  <conditionalFormatting sqref="L18:L19">
    <cfRule type="iconSet" priority="1">
      <iconSet iconSet="5Arrows" reverse="1">
        <cfvo type="percent" val="0"/>
        <cfvo type="percent" val="20"/>
        <cfvo type="percent" val="40"/>
        <cfvo type="percent" val="60"/>
        <cfvo type="percent" val="80"/>
      </iconSet>
    </cfRule>
  </conditionalFormatting>
  <pageMargins left="0.7" right="0.7" top="0.75" bottom="0.75" header="0.3" footer="0.3"/>
  <pageSetup paperSize="9" scale="82" orientation="landscape"/>
  <drawing r:id="rId1"/>
  <tableParts count="4">
    <tablePart r:id="rId2"/>
    <tablePart r:id="rId3"/>
    <tablePart r:id="rId4"/>
    <tablePart r:id="rId5"/>
  </tablePar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C00000"/>
  </sheetPr>
  <dimension ref="B1:I50"/>
  <sheetViews>
    <sheetView topLeftCell="A17" workbookViewId="0">
      <selection activeCell="S46" sqref="S46"/>
    </sheetView>
  </sheetViews>
  <sheetFormatPr defaultColWidth="8.85546875" defaultRowHeight="15"/>
  <cols>
    <col min="1" max="1" width="8.85546875" style="3"/>
    <col min="2" max="2" width="8.85546875" style="13"/>
    <col min="3" max="3" width="15.7109375" style="13" bestFit="1" customWidth="1"/>
    <col min="4" max="5" width="11" style="13" customWidth="1"/>
    <col min="6" max="6" width="11.42578125" style="13" bestFit="1" customWidth="1"/>
    <col min="7" max="7" width="3.140625" style="3" customWidth="1"/>
    <col min="8" max="16384" width="8.85546875" style="3"/>
  </cols>
  <sheetData>
    <row r="1" spans="3:9" ht="15.75" thickBot="1"/>
    <row r="2" spans="3:9" ht="15.75" thickBot="1">
      <c r="C2" s="70" t="s">
        <v>71</v>
      </c>
      <c r="D2" s="71" t="s">
        <v>72</v>
      </c>
      <c r="E2" s="63" t="s">
        <v>73</v>
      </c>
    </row>
    <row r="4" spans="3:9">
      <c r="C4" s="61" t="s">
        <v>74</v>
      </c>
      <c r="D4" s="30" t="s">
        <v>75</v>
      </c>
      <c r="E4" s="31" t="s">
        <v>55</v>
      </c>
      <c r="F4" s="30" t="s">
        <v>76</v>
      </c>
    </row>
    <row r="5" spans="3:9">
      <c r="C5" s="64" t="s">
        <v>113</v>
      </c>
      <c r="D5" s="39">
        <v>97</v>
      </c>
      <c r="E5" s="29">
        <v>76.2</v>
      </c>
      <c r="F5" s="39">
        <v>23</v>
      </c>
    </row>
    <row r="6" spans="3:9">
      <c r="C6" s="64" t="s">
        <v>119</v>
      </c>
      <c r="D6" s="39">
        <v>91.6</v>
      </c>
      <c r="E6" s="29">
        <v>72.8</v>
      </c>
      <c r="F6" s="39">
        <v>22</v>
      </c>
    </row>
    <row r="7" spans="3:9">
      <c r="C7" s="64" t="s">
        <v>103</v>
      </c>
      <c r="D7" s="39">
        <v>100.2</v>
      </c>
      <c r="E7" s="29">
        <v>79.400000000000006</v>
      </c>
      <c r="F7" s="39">
        <v>19</v>
      </c>
    </row>
    <row r="8" spans="3:9">
      <c r="C8" s="64" t="s">
        <v>118</v>
      </c>
      <c r="D8" s="39">
        <v>95</v>
      </c>
      <c r="E8" s="29">
        <v>74</v>
      </c>
      <c r="F8" s="39">
        <v>12</v>
      </c>
      <c r="I8" s="3" t="s">
        <v>48</v>
      </c>
    </row>
    <row r="9" spans="3:9">
      <c r="C9" s="64" t="s">
        <v>109</v>
      </c>
      <c r="D9" s="39">
        <v>98.6</v>
      </c>
      <c r="E9" s="29">
        <v>77.5</v>
      </c>
      <c r="F9" s="39">
        <v>9</v>
      </c>
    </row>
    <row r="10" spans="3:9">
      <c r="C10" s="64" t="s">
        <v>101</v>
      </c>
      <c r="D10" s="39">
        <v>103</v>
      </c>
      <c r="E10" s="29">
        <v>80</v>
      </c>
      <c r="F10" s="39">
        <v>8</v>
      </c>
    </row>
    <row r="11" spans="3:9">
      <c r="C11" s="64" t="s">
        <v>114</v>
      </c>
      <c r="D11" s="39">
        <v>97.5</v>
      </c>
      <c r="E11" s="29">
        <v>75.8</v>
      </c>
      <c r="F11" s="39">
        <v>8</v>
      </c>
    </row>
    <row r="12" spans="3:9">
      <c r="C12" s="64" t="s">
        <v>104</v>
      </c>
      <c r="D12" s="39">
        <v>102.83</v>
      </c>
      <c r="E12" s="29">
        <v>79.3</v>
      </c>
      <c r="F12" s="39">
        <v>7</v>
      </c>
    </row>
    <row r="13" spans="3:9">
      <c r="C13" s="64" t="s">
        <v>99</v>
      </c>
      <c r="D13" s="39" t="s">
        <v>100</v>
      </c>
      <c r="E13" s="29">
        <v>80.3</v>
      </c>
      <c r="F13" s="39">
        <v>5</v>
      </c>
    </row>
    <row r="14" spans="3:9">
      <c r="C14" s="64" t="s">
        <v>106</v>
      </c>
      <c r="D14" s="39">
        <v>100.6</v>
      </c>
      <c r="E14" s="29">
        <v>78.599999999999994</v>
      </c>
      <c r="F14" s="39">
        <v>5</v>
      </c>
    </row>
    <row r="15" spans="3:9">
      <c r="C15" s="64" t="s">
        <v>105</v>
      </c>
      <c r="D15" s="39">
        <v>100</v>
      </c>
      <c r="E15" s="29">
        <v>79.099999999999994</v>
      </c>
      <c r="F15" s="39">
        <v>5</v>
      </c>
    </row>
    <row r="16" spans="3:9">
      <c r="C16" s="64" t="s">
        <v>111</v>
      </c>
      <c r="D16" s="39">
        <v>99.4</v>
      </c>
      <c r="E16" s="29">
        <v>76.5</v>
      </c>
      <c r="F16" s="39">
        <v>5</v>
      </c>
    </row>
    <row r="17" spans="3:6">
      <c r="C17" s="65" t="s">
        <v>112</v>
      </c>
      <c r="D17" s="66">
        <v>98</v>
      </c>
      <c r="E17" s="62">
        <v>76.3</v>
      </c>
      <c r="F17" s="39">
        <v>5</v>
      </c>
    </row>
    <row r="18" spans="3:6">
      <c r="C18" s="64" t="s">
        <v>116</v>
      </c>
      <c r="D18" s="39">
        <v>95.7</v>
      </c>
      <c r="E18" s="29">
        <v>74.900000000000006</v>
      </c>
      <c r="F18" s="39">
        <v>5</v>
      </c>
    </row>
    <row r="19" spans="3:6">
      <c r="C19" s="64" t="s">
        <v>93</v>
      </c>
      <c r="D19" s="39">
        <v>102.4</v>
      </c>
      <c r="E19" s="29">
        <v>83.5</v>
      </c>
      <c r="F19" s="39">
        <v>3</v>
      </c>
    </row>
    <row r="20" spans="3:6">
      <c r="C20" s="64" t="s">
        <v>96</v>
      </c>
      <c r="D20" s="39">
        <v>100.8</v>
      </c>
      <c r="E20" s="29">
        <v>81.7</v>
      </c>
      <c r="F20" s="39">
        <v>3</v>
      </c>
    </row>
    <row r="21" spans="3:6">
      <c r="C21" s="65" t="s">
        <v>87</v>
      </c>
      <c r="D21" s="66">
        <v>105.9</v>
      </c>
      <c r="E21" s="62">
        <v>87.3</v>
      </c>
      <c r="F21" s="66">
        <v>2</v>
      </c>
    </row>
    <row r="22" spans="3:6">
      <c r="C22" s="65" t="s">
        <v>107</v>
      </c>
      <c r="D22" s="66">
        <v>104.7</v>
      </c>
      <c r="E22" s="62">
        <v>78.099999999999994</v>
      </c>
      <c r="F22" s="66">
        <v>2</v>
      </c>
    </row>
    <row r="23" spans="3:6">
      <c r="C23" s="64" t="s">
        <v>97</v>
      </c>
      <c r="D23" s="39">
        <v>104.4</v>
      </c>
      <c r="E23" s="29">
        <v>81.14</v>
      </c>
      <c r="F23" s="39">
        <v>2</v>
      </c>
    </row>
    <row r="24" spans="3:6">
      <c r="C24" s="64" t="s">
        <v>108</v>
      </c>
      <c r="D24" s="39">
        <v>101.4</v>
      </c>
      <c r="E24" s="29">
        <v>78</v>
      </c>
      <c r="F24" s="39">
        <v>2</v>
      </c>
    </row>
    <row r="25" spans="3:6">
      <c r="C25" s="64" t="s">
        <v>115</v>
      </c>
      <c r="D25" s="39">
        <v>97.8</v>
      </c>
      <c r="E25" s="29">
        <v>75.599999999999994</v>
      </c>
      <c r="F25" s="39">
        <v>2</v>
      </c>
    </row>
    <row r="26" spans="3:6">
      <c r="C26" s="64" t="s">
        <v>102</v>
      </c>
      <c r="D26" s="39">
        <v>96.3</v>
      </c>
      <c r="E26" s="29">
        <v>79.900000000000006</v>
      </c>
      <c r="F26" s="39">
        <v>2</v>
      </c>
    </row>
    <row r="27" spans="3:6">
      <c r="C27" s="64" t="s">
        <v>110</v>
      </c>
      <c r="D27" s="39">
        <v>95.1</v>
      </c>
      <c r="E27" s="29">
        <v>76.8</v>
      </c>
      <c r="F27" s="39">
        <v>2</v>
      </c>
    </row>
    <row r="28" spans="3:6">
      <c r="C28" s="64" t="s">
        <v>77</v>
      </c>
      <c r="D28" s="39">
        <v>116.5</v>
      </c>
      <c r="E28" s="29">
        <v>92.1</v>
      </c>
      <c r="F28" s="39">
        <v>1</v>
      </c>
    </row>
    <row r="29" spans="3:6">
      <c r="C29" s="64" t="s">
        <v>78</v>
      </c>
      <c r="D29" s="39">
        <v>112.8</v>
      </c>
      <c r="E29" s="29">
        <v>92.1</v>
      </c>
      <c r="F29" s="39">
        <v>1</v>
      </c>
    </row>
    <row r="30" spans="3:6">
      <c r="C30" s="64" t="s">
        <v>79</v>
      </c>
      <c r="D30" s="39">
        <v>111.8</v>
      </c>
      <c r="E30" s="29">
        <v>91.4</v>
      </c>
      <c r="F30" s="39">
        <v>1</v>
      </c>
    </row>
    <row r="31" spans="3:6">
      <c r="C31" s="64" t="s">
        <v>84</v>
      </c>
      <c r="D31" s="39">
        <v>110.1</v>
      </c>
      <c r="E31" s="29">
        <v>88.7</v>
      </c>
      <c r="F31" s="39">
        <v>1</v>
      </c>
    </row>
    <row r="32" spans="3:6">
      <c r="C32" s="64" t="s">
        <v>82</v>
      </c>
      <c r="D32" s="39">
        <v>109.7</v>
      </c>
      <c r="E32" s="29">
        <v>90.1</v>
      </c>
      <c r="F32" s="39">
        <v>1</v>
      </c>
    </row>
    <row r="33" spans="3:6">
      <c r="C33" s="64" t="s">
        <v>80</v>
      </c>
      <c r="D33" s="39">
        <v>108.9</v>
      </c>
      <c r="E33" s="29">
        <v>91.2</v>
      </c>
      <c r="F33" s="39">
        <v>1</v>
      </c>
    </row>
    <row r="34" spans="3:6">
      <c r="C34" s="64" t="s">
        <v>95</v>
      </c>
      <c r="D34" s="39">
        <v>108.5</v>
      </c>
      <c r="E34" s="29">
        <v>82.1</v>
      </c>
      <c r="F34" s="39">
        <v>1</v>
      </c>
    </row>
    <row r="35" spans="3:6">
      <c r="C35" s="64" t="s">
        <v>85</v>
      </c>
      <c r="D35" s="39">
        <v>108.1</v>
      </c>
      <c r="E35" s="29">
        <v>87.7</v>
      </c>
      <c r="F35" s="39">
        <v>1</v>
      </c>
    </row>
    <row r="36" spans="3:6">
      <c r="C36" s="64" t="s">
        <v>232</v>
      </c>
      <c r="D36" s="39">
        <v>108.1</v>
      </c>
      <c r="E36" s="29">
        <v>82.7</v>
      </c>
      <c r="F36" s="39">
        <v>1</v>
      </c>
    </row>
    <row r="37" spans="3:6">
      <c r="C37" s="64" t="s">
        <v>81</v>
      </c>
      <c r="D37" s="39">
        <v>108</v>
      </c>
      <c r="E37" s="29">
        <v>90.3</v>
      </c>
      <c r="F37" s="39">
        <v>1</v>
      </c>
    </row>
    <row r="38" spans="3:6">
      <c r="C38" s="64" t="s">
        <v>86</v>
      </c>
      <c r="D38" s="39">
        <v>108</v>
      </c>
      <c r="E38" s="29">
        <v>87.5</v>
      </c>
      <c r="F38" s="39">
        <v>1</v>
      </c>
    </row>
    <row r="39" spans="3:6">
      <c r="C39" s="64" t="s">
        <v>91</v>
      </c>
      <c r="D39" s="39">
        <v>107.7</v>
      </c>
      <c r="E39" s="29">
        <v>85.5</v>
      </c>
      <c r="F39" s="39">
        <v>1</v>
      </c>
    </row>
    <row r="40" spans="3:6">
      <c r="C40" s="64" t="s">
        <v>83</v>
      </c>
      <c r="D40" s="39">
        <v>107.3</v>
      </c>
      <c r="E40" s="29">
        <v>89.5</v>
      </c>
      <c r="F40" s="39">
        <v>1</v>
      </c>
    </row>
    <row r="41" spans="3:6">
      <c r="C41" s="64" t="s">
        <v>90</v>
      </c>
      <c r="D41" s="39">
        <v>106.7</v>
      </c>
      <c r="E41" s="29">
        <v>86.4</v>
      </c>
      <c r="F41" s="39">
        <v>1</v>
      </c>
    </row>
    <row r="42" spans="3:6">
      <c r="C42" s="64" t="s">
        <v>92</v>
      </c>
      <c r="D42" s="39">
        <v>106.7</v>
      </c>
      <c r="E42" s="29">
        <v>83.9</v>
      </c>
      <c r="F42" s="39">
        <v>1</v>
      </c>
    </row>
    <row r="43" spans="3:6">
      <c r="C43" s="64" t="s">
        <v>89</v>
      </c>
      <c r="D43" s="39">
        <v>106.1</v>
      </c>
      <c r="E43" s="29">
        <v>86.6</v>
      </c>
      <c r="F43" s="39">
        <v>1</v>
      </c>
    </row>
    <row r="44" spans="3:6">
      <c r="C44" s="64" t="s">
        <v>88</v>
      </c>
      <c r="D44" s="39">
        <v>106</v>
      </c>
      <c r="E44" s="29">
        <v>86.7</v>
      </c>
      <c r="F44" s="39">
        <v>1</v>
      </c>
    </row>
    <row r="45" spans="3:6">
      <c r="C45" s="64" t="s">
        <v>98</v>
      </c>
      <c r="D45" s="39">
        <v>102.5</v>
      </c>
      <c r="E45" s="29">
        <v>80.900000000000006</v>
      </c>
      <c r="F45" s="39">
        <v>1</v>
      </c>
    </row>
    <row r="46" spans="3:6">
      <c r="C46" s="64" t="s">
        <v>94</v>
      </c>
      <c r="D46" s="39">
        <v>100.3</v>
      </c>
      <c r="E46" s="29">
        <v>82.6</v>
      </c>
      <c r="F46" s="39">
        <v>1</v>
      </c>
    </row>
    <row r="47" spans="3:6">
      <c r="C47" s="64" t="s">
        <v>117</v>
      </c>
      <c r="D47" s="39">
        <v>98.4</v>
      </c>
      <c r="E47" s="29">
        <v>74.599999999999994</v>
      </c>
      <c r="F47" s="39">
        <v>1</v>
      </c>
    </row>
    <row r="48" spans="3:6">
      <c r="C48" s="64" t="s">
        <v>121</v>
      </c>
      <c r="D48" s="39">
        <v>97.6</v>
      </c>
      <c r="E48" s="29">
        <v>71.7</v>
      </c>
      <c r="F48" s="39">
        <v>1</v>
      </c>
    </row>
    <row r="49" spans="3:6">
      <c r="C49" s="64" t="s">
        <v>120</v>
      </c>
      <c r="D49" s="39"/>
      <c r="E49" s="29"/>
      <c r="F49" s="39">
        <v>1</v>
      </c>
    </row>
    <row r="50" spans="3:6">
      <c r="C50" s="65"/>
      <c r="D50" s="66"/>
      <c r="E50" s="62"/>
      <c r="F50" s="66">
        <f>SUM(F5:F49)</f>
        <v>180</v>
      </c>
    </row>
  </sheetData>
  <pageMargins left="0.7" right="0.7" top="0.75" bottom="0.75" header="0.3" footer="0.3"/>
  <pageSetup paperSize="9" orientation="portrait" horizontalDpi="4294967293"/>
  <drawing r:id="rId1"/>
  <tableParts count="1">
    <tablePart r:id="rId2"/>
  </tablePart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FF0000"/>
    <pageSetUpPr fitToPage="1"/>
  </sheetPr>
  <dimension ref="B1:L39"/>
  <sheetViews>
    <sheetView zoomScaleNormal="100" workbookViewId="0">
      <selection activeCell="E7" sqref="E7"/>
    </sheetView>
  </sheetViews>
  <sheetFormatPr defaultColWidth="8.85546875" defaultRowHeight="15"/>
  <cols>
    <col min="1" max="1" width="8.85546875" style="3"/>
    <col min="2" max="2" width="8.140625" style="3" bestFit="1" customWidth="1"/>
    <col min="3" max="3" width="13.140625" style="3" bestFit="1" customWidth="1"/>
    <col min="4" max="4" width="13.140625" style="13" customWidth="1"/>
    <col min="5" max="5" width="13.42578125" style="13" customWidth="1"/>
    <col min="6" max="6" width="12.28515625" style="13" bestFit="1" customWidth="1"/>
    <col min="7" max="8" width="8.85546875" style="3"/>
    <col min="9" max="9" width="13.140625" style="3" bestFit="1" customWidth="1"/>
    <col min="10" max="10" width="11.42578125" style="3" bestFit="1" customWidth="1"/>
    <col min="11" max="16384" width="8.85546875" style="3"/>
  </cols>
  <sheetData>
    <row r="1" spans="2:12" ht="15.75" thickBot="1"/>
    <row r="2" spans="2:12" ht="15.75" thickBot="1">
      <c r="B2" s="360" t="s">
        <v>122</v>
      </c>
      <c r="C2" s="361"/>
      <c r="D2" s="361"/>
      <c r="E2" s="361"/>
      <c r="F2" s="362"/>
      <c r="H2" s="360" t="s">
        <v>123</v>
      </c>
      <c r="I2" s="361"/>
      <c r="J2" s="361"/>
      <c r="K2" s="361"/>
      <c r="L2" s="362"/>
    </row>
    <row r="3" spans="2:12" ht="15.75" thickBot="1">
      <c r="B3" s="231" t="s">
        <v>2</v>
      </c>
      <c r="C3" s="232" t="s">
        <v>3</v>
      </c>
      <c r="D3" s="233" t="s">
        <v>124</v>
      </c>
      <c r="E3" s="234" t="s">
        <v>16</v>
      </c>
      <c r="F3" s="235" t="s">
        <v>125</v>
      </c>
      <c r="H3" s="231" t="s">
        <v>2</v>
      </c>
      <c r="I3" s="232" t="s">
        <v>3</v>
      </c>
      <c r="J3" s="233" t="s">
        <v>124</v>
      </c>
      <c r="K3" s="234" t="s">
        <v>16</v>
      </c>
      <c r="L3" s="235" t="s">
        <v>125</v>
      </c>
    </row>
    <row r="4" spans="2:12">
      <c r="B4" s="236" t="s">
        <v>20</v>
      </c>
      <c r="C4" s="237" t="s">
        <v>21</v>
      </c>
      <c r="D4" s="238">
        <f>Scoreboard!Z4</f>
        <v>5</v>
      </c>
      <c r="E4" s="267">
        <f>RANK(D4,D4:D19,1)</f>
        <v>1</v>
      </c>
      <c r="F4" s="239">
        <f>SMALL(Tabell10[#This Row],5)</f>
        <v>1</v>
      </c>
      <c r="H4" s="236" t="s">
        <v>20</v>
      </c>
      <c r="I4" s="237" t="s">
        <v>21</v>
      </c>
      <c r="J4" s="238">
        <f>Scoreboard!Z24</f>
        <v>11</v>
      </c>
      <c r="K4" s="267">
        <f>RANK(J4,J4:J19,1)</f>
        <v>1</v>
      </c>
      <c r="L4" s="239">
        <f>SMALL(Scoreboard!P24:Y24,5)</f>
        <v>3</v>
      </c>
    </row>
    <row r="5" spans="2:12">
      <c r="B5" s="53" t="s">
        <v>22</v>
      </c>
      <c r="C5" s="229" t="s">
        <v>23</v>
      </c>
      <c r="D5" s="230">
        <f>Scoreboard!Z5</f>
        <v>12</v>
      </c>
      <c r="E5" s="52">
        <f>RANK(D5,D2:D20,1)</f>
        <v>3</v>
      </c>
      <c r="F5" s="55">
        <f>SMALL(Scoreboard!P5:Y5,5)</f>
        <v>3</v>
      </c>
      <c r="H5" s="53" t="s">
        <v>24</v>
      </c>
      <c r="I5" s="229" t="s">
        <v>25</v>
      </c>
      <c r="J5" s="230">
        <f>Scoreboard!Z26</f>
        <v>75</v>
      </c>
      <c r="K5" s="52">
        <f>RANK(J5,J2:J20,1)</f>
        <v>16</v>
      </c>
      <c r="L5" s="55">
        <f>SMALL(Scoreboard!P26:Y26,5)</f>
        <v>16</v>
      </c>
    </row>
    <row r="6" spans="2:12">
      <c r="B6" s="53" t="s">
        <v>28</v>
      </c>
      <c r="C6" s="229" t="s">
        <v>29</v>
      </c>
      <c r="D6" s="230">
        <f>Scoreboard!Z8</f>
        <v>19</v>
      </c>
      <c r="E6" s="52">
        <f>RANK(D6,D1:D21,1)</f>
        <v>4</v>
      </c>
      <c r="F6" s="55">
        <f>SMALL(Scoreboard!P8:X8,5)</f>
        <v>5</v>
      </c>
      <c r="H6" s="53" t="s">
        <v>22</v>
      </c>
      <c r="I6" s="229" t="s">
        <v>23</v>
      </c>
      <c r="J6" s="230">
        <f>Scoreboard!Z25</f>
        <v>15</v>
      </c>
      <c r="K6" s="52">
        <f>RANK(J6,J2:J21,1)</f>
        <v>4</v>
      </c>
      <c r="L6" s="55">
        <f>SMALL(Scoreboard!P25:Y25,5)</f>
        <v>4</v>
      </c>
    </row>
    <row r="7" spans="2:12">
      <c r="B7" s="53" t="s">
        <v>32</v>
      </c>
      <c r="C7" s="229" t="s">
        <v>33</v>
      </c>
      <c r="D7" s="230">
        <f>Scoreboard!Z10</f>
        <v>27</v>
      </c>
      <c r="E7" s="52">
        <f>RANK(D7,D1:D18,1)</f>
        <v>8</v>
      </c>
      <c r="F7" s="55">
        <f>SMALL(Scoreboard!P10:X10,5)</f>
        <v>7</v>
      </c>
      <c r="H7" s="53" t="s">
        <v>32</v>
      </c>
      <c r="I7" s="229" t="s">
        <v>33</v>
      </c>
      <c r="J7" s="230">
        <f>Scoreboard!Z30</f>
        <v>29</v>
      </c>
      <c r="K7" s="52">
        <f>RANK(J7,J2:J22,1)</f>
        <v>9</v>
      </c>
      <c r="L7" s="55">
        <f>SMALL(Scoreboard!P30:Y30,5)</f>
        <v>9</v>
      </c>
    </row>
    <row r="8" spans="2:12">
      <c r="B8" s="53" t="s">
        <v>30</v>
      </c>
      <c r="C8" s="229" t="s">
        <v>31</v>
      </c>
      <c r="D8" s="230">
        <f>Scoreboard!Z9</f>
        <v>31</v>
      </c>
      <c r="E8" s="52">
        <f>RANK(D8,D2:D23,1)</f>
        <v>10</v>
      </c>
      <c r="F8" s="55">
        <f>SMALL(Scoreboard!P9:X9,5)</f>
        <v>7</v>
      </c>
      <c r="H8" s="53" t="s">
        <v>28</v>
      </c>
      <c r="I8" s="229" t="s">
        <v>29</v>
      </c>
      <c r="J8" s="230">
        <f>Scoreboard!Z28</f>
        <v>15</v>
      </c>
      <c r="K8" s="52">
        <f>RANK(J8,J2:J23,1)</f>
        <v>4</v>
      </c>
      <c r="L8" s="55">
        <f>SMALL(Scoreboard!P28:Y28,5)</f>
        <v>5</v>
      </c>
    </row>
    <row r="9" spans="2:12">
      <c r="B9" s="53" t="s">
        <v>24</v>
      </c>
      <c r="C9" s="229" t="s">
        <v>25</v>
      </c>
      <c r="D9" s="230">
        <f>Scoreboard!Z6</f>
        <v>74</v>
      </c>
      <c r="E9" s="52">
        <f>RANK(D9,D4:D24,1)</f>
        <v>17</v>
      </c>
      <c r="F9" s="55">
        <f>SMALL(Tabell10[#This Row],5)</f>
        <v>7</v>
      </c>
      <c r="H9" s="53" t="s">
        <v>37</v>
      </c>
      <c r="I9" s="229" t="s">
        <v>38</v>
      </c>
      <c r="J9" s="230">
        <f>Scoreboard!Z33</f>
        <v>60</v>
      </c>
      <c r="K9" s="52">
        <f>RANK(J9,J2:J24,1)</f>
        <v>15</v>
      </c>
      <c r="L9" s="55">
        <f>SMALL(Scoreboard!P33:Y33,5)</f>
        <v>16</v>
      </c>
    </row>
    <row r="10" spans="2:12">
      <c r="B10" s="53" t="s">
        <v>26</v>
      </c>
      <c r="C10" s="229" t="s">
        <v>27</v>
      </c>
      <c r="D10" s="230">
        <f>Scoreboard!Z7</f>
        <v>10</v>
      </c>
      <c r="E10" s="52">
        <f>RANK(D10,D3:D25,1)</f>
        <v>2</v>
      </c>
      <c r="F10" s="55">
        <f>SMALL(Scoreboard!P7:Y7,5)</f>
        <v>4</v>
      </c>
      <c r="H10" s="53" t="s">
        <v>30</v>
      </c>
      <c r="I10" s="229" t="s">
        <v>31</v>
      </c>
      <c r="J10" s="230">
        <f>Scoreboard!Z29</f>
        <v>14</v>
      </c>
      <c r="K10" s="52">
        <f>RANK(J10,J2:J25,1)</f>
        <v>2</v>
      </c>
      <c r="L10" s="55">
        <f>SMALL(Scoreboard!P29:Y29,5)</f>
        <v>5</v>
      </c>
    </row>
    <row r="11" spans="2:12">
      <c r="B11" s="53" t="s">
        <v>37</v>
      </c>
      <c r="C11" s="229" t="s">
        <v>38</v>
      </c>
      <c r="D11" s="230">
        <f>Scoreboard!Z13</f>
        <v>64</v>
      </c>
      <c r="E11" s="52">
        <f>RANK(D11,D1:D18,1)</f>
        <v>14</v>
      </c>
      <c r="F11" s="55" t="e">
        <f>SMALL(Scoreboard!P13:X13,5)</f>
        <v>#NUM!</v>
      </c>
      <c r="H11" s="53" t="s">
        <v>20</v>
      </c>
      <c r="I11" s="229" t="s">
        <v>34</v>
      </c>
      <c r="J11" s="230">
        <f>Scoreboard!Z31</f>
        <v>37</v>
      </c>
      <c r="K11" s="52">
        <f>RANK(J11,J2:J26,1)</f>
        <v>13</v>
      </c>
      <c r="L11" s="55">
        <f>SMALL(Scoreboard!P31:Y31,5)</f>
        <v>11</v>
      </c>
    </row>
    <row r="12" spans="2:12">
      <c r="B12" s="53" t="s">
        <v>43</v>
      </c>
      <c r="C12" s="229" t="s">
        <v>44</v>
      </c>
      <c r="D12" s="230">
        <f>Scoreboard!Z17</f>
        <v>23</v>
      </c>
      <c r="E12" s="52">
        <f>RANK(D12,D2:D18,1)</f>
        <v>7</v>
      </c>
      <c r="F12" s="55">
        <f>SMALL(Scoreboard!P17:X17,5)</f>
        <v>6</v>
      </c>
      <c r="H12" s="53" t="s">
        <v>42</v>
      </c>
      <c r="I12" s="229" t="s">
        <v>27</v>
      </c>
      <c r="J12" s="230">
        <f>Scoreboard!Z36</f>
        <v>31</v>
      </c>
      <c r="K12" s="52">
        <f>RANK(J12,J2:J27,1)</f>
        <v>12</v>
      </c>
      <c r="L12" s="55">
        <f>SMALL(Scoreboard!P36:Y36,5)</f>
        <v>9</v>
      </c>
    </row>
    <row r="13" spans="2:12">
      <c r="B13" s="53" t="s">
        <v>42</v>
      </c>
      <c r="C13" s="229" t="s">
        <v>27</v>
      </c>
      <c r="D13" s="230">
        <f>Scoreboard!Z16</f>
        <v>36</v>
      </c>
      <c r="E13" s="52">
        <f>RANK(D13,D2:D18,1)</f>
        <v>11</v>
      </c>
      <c r="F13" s="55">
        <f>SMALL(Scoreboard!P16:X16,5)</f>
        <v>10</v>
      </c>
      <c r="H13" s="53" t="s">
        <v>32</v>
      </c>
      <c r="I13" s="229" t="s">
        <v>41</v>
      </c>
      <c r="J13" s="230">
        <f>Scoreboard!Z35</f>
        <v>37</v>
      </c>
      <c r="K13" s="52">
        <f>RANK(J13,J2:J28,1)</f>
        <v>13</v>
      </c>
      <c r="L13" s="55">
        <f>SMALL(Scoreboard!P35:Y35,5)</f>
        <v>10</v>
      </c>
    </row>
    <row r="14" spans="2:12">
      <c r="B14" s="53" t="s">
        <v>39</v>
      </c>
      <c r="C14" s="229" t="s">
        <v>40</v>
      </c>
      <c r="D14" s="230">
        <f>Scoreboard!Z14</f>
        <v>19</v>
      </c>
      <c r="E14" s="52">
        <f>RANK(D14,D2:D18,1)</f>
        <v>4</v>
      </c>
      <c r="F14" s="55">
        <f>SMALL(Scoreboard!P14:X14,5)</f>
        <v>5</v>
      </c>
      <c r="H14" s="53" t="s">
        <v>26</v>
      </c>
      <c r="I14" s="229" t="s">
        <v>27</v>
      </c>
      <c r="J14" s="230">
        <f>Scoreboard!Z27</f>
        <v>15</v>
      </c>
      <c r="K14" s="52">
        <f>RANK(J14,J2:J29,1)</f>
        <v>4</v>
      </c>
      <c r="L14" s="55">
        <f>SMALL(Scoreboard!P27:Y27,5)</f>
        <v>6</v>
      </c>
    </row>
    <row r="15" spans="2:12">
      <c r="B15" s="53" t="s">
        <v>35</v>
      </c>
      <c r="C15" s="229" t="s">
        <v>36</v>
      </c>
      <c r="D15" s="230">
        <f>Scoreboard!Z12</f>
        <v>42</v>
      </c>
      <c r="E15" s="52">
        <f>RANK(D15,D2:D18,1)</f>
        <v>12</v>
      </c>
      <c r="F15" s="55">
        <f>SMALL(Scoreboard!P12:X12,5)</f>
        <v>11</v>
      </c>
      <c r="H15" s="53" t="s">
        <v>35</v>
      </c>
      <c r="I15" s="229" t="s">
        <v>36</v>
      </c>
      <c r="J15" s="230">
        <f>Scoreboard!Z32</f>
        <v>26</v>
      </c>
      <c r="K15" s="52">
        <f>RANK(J15,J2:J30,1)</f>
        <v>7</v>
      </c>
      <c r="L15" s="55">
        <f>SMALL(Scoreboard!P32:Y32,5)</f>
        <v>10</v>
      </c>
    </row>
    <row r="16" spans="2:12">
      <c r="B16" s="53" t="s">
        <v>45</v>
      </c>
      <c r="C16" s="229" t="s">
        <v>46</v>
      </c>
      <c r="D16" s="230">
        <f>Scoreboard!Z18</f>
        <v>22</v>
      </c>
      <c r="E16" s="133">
        <v>5</v>
      </c>
      <c r="F16" s="55">
        <f>SMALL(Scoreboard!P18:X18,5)</f>
        <v>7</v>
      </c>
      <c r="H16" s="53" t="s">
        <v>43</v>
      </c>
      <c r="I16" s="229" t="s">
        <v>44</v>
      </c>
      <c r="J16" s="230">
        <f>Scoreboard!Z37</f>
        <v>29</v>
      </c>
      <c r="K16" s="52">
        <f>RANK(J16,J3:J31,1)</f>
        <v>9</v>
      </c>
      <c r="L16" s="55">
        <f>SMALL(Scoreboard!P37:Y37,5)</f>
        <v>9</v>
      </c>
    </row>
    <row r="17" spans="2:12">
      <c r="B17" s="53" t="s">
        <v>20</v>
      </c>
      <c r="C17" s="229" t="s">
        <v>34</v>
      </c>
      <c r="D17" s="230">
        <f>Scoreboard!Z11</f>
        <v>29</v>
      </c>
      <c r="E17" s="52">
        <f>RANK(D17,D4:D20,1)</f>
        <v>9</v>
      </c>
      <c r="F17" s="55">
        <f>SMALL(Scoreboard!P11:X11,5)</f>
        <v>8</v>
      </c>
      <c r="H17" s="53" t="s">
        <v>62</v>
      </c>
      <c r="I17" s="229" t="s">
        <v>40</v>
      </c>
      <c r="J17" s="230">
        <f>Scoreboard!Z34</f>
        <v>14</v>
      </c>
      <c r="K17" s="52">
        <f>RANK(J17,J4:J32,1)</f>
        <v>2</v>
      </c>
      <c r="L17" s="55">
        <f>SMALL(Scoreboard!P34:Y34,5)</f>
        <v>6</v>
      </c>
    </row>
    <row r="18" spans="2:12">
      <c r="B18" s="53" t="s">
        <v>32</v>
      </c>
      <c r="C18" s="229" t="s">
        <v>41</v>
      </c>
      <c r="D18" s="230">
        <f>Scoreboard!Z15</f>
        <v>52</v>
      </c>
      <c r="E18" s="52">
        <f>RANK(D18,D4:D21,1)</f>
        <v>13</v>
      </c>
      <c r="F18" s="55">
        <f>SMALL(Scoreboard!P15:X15,5)</f>
        <v>12</v>
      </c>
      <c r="H18" s="53" t="s">
        <v>45</v>
      </c>
      <c r="I18" s="229" t="s">
        <v>46</v>
      </c>
      <c r="J18" s="230">
        <f>Scoreboard!Z38</f>
        <v>29</v>
      </c>
      <c r="K18" s="133">
        <f>RANK(J18,J4:J19,1)</f>
        <v>9</v>
      </c>
      <c r="L18" s="55">
        <f>SMALL(Scoreboard!P38:Y38,5)</f>
        <v>9</v>
      </c>
    </row>
    <row r="19" spans="2:12" ht="15.75" thickBot="1">
      <c r="B19" s="56" t="s">
        <v>47</v>
      </c>
      <c r="C19" s="240" t="s">
        <v>27</v>
      </c>
      <c r="D19" s="241">
        <v>68</v>
      </c>
      <c r="E19" s="52">
        <f>RANK(D19,D5:D22,1)</f>
        <v>14</v>
      </c>
      <c r="F19" s="55">
        <f>SMALL(Scoreboard!P19:Y19,5)</f>
        <v>11</v>
      </c>
      <c r="H19" s="56" t="s">
        <v>47</v>
      </c>
      <c r="I19" s="240" t="s">
        <v>27</v>
      </c>
      <c r="J19" s="241">
        <f>Scoreboard!Z39</f>
        <v>28</v>
      </c>
      <c r="K19" s="242">
        <f>RANK(J19,J4:J19,1)</f>
        <v>8</v>
      </c>
      <c r="L19" s="57">
        <f>SMALL(Scoreboard!P39:Y39,4)</f>
        <v>7</v>
      </c>
    </row>
    <row r="21" spans="2:12" ht="15.75" thickBot="1"/>
    <row r="22" spans="2:12" ht="15.75" thickBot="1">
      <c r="B22" s="360" t="s">
        <v>126</v>
      </c>
      <c r="C22" s="361"/>
      <c r="D22" s="361"/>
      <c r="E22" s="361"/>
      <c r="F22" s="362"/>
    </row>
    <row r="23" spans="2:12" ht="15.75" thickBot="1">
      <c r="B23" s="231" t="s">
        <v>2</v>
      </c>
      <c r="C23" s="232" t="s">
        <v>3</v>
      </c>
      <c r="D23" s="233" t="s">
        <v>124</v>
      </c>
      <c r="E23" s="234" t="s">
        <v>16</v>
      </c>
      <c r="F23" s="235" t="s">
        <v>125</v>
      </c>
    </row>
    <row r="24" spans="2:12">
      <c r="B24" s="236" t="s">
        <v>20</v>
      </c>
      <c r="C24" s="237" t="s">
        <v>21</v>
      </c>
      <c r="D24" s="238">
        <f>Dreamscore!X16</f>
        <v>69</v>
      </c>
      <c r="E24" s="268">
        <f>RANK(D24,D24:D39,1)</f>
        <v>1</v>
      </c>
      <c r="F24" s="239"/>
    </row>
    <row r="25" spans="2:12">
      <c r="B25" s="53" t="s">
        <v>24</v>
      </c>
      <c r="C25" s="229" t="s">
        <v>25</v>
      </c>
      <c r="D25" s="230">
        <f>Dreamscore!X12</f>
        <v>105</v>
      </c>
      <c r="E25" s="269">
        <f>RANK(D25,D24:D39,1)</f>
        <v>16</v>
      </c>
      <c r="F25" s="54"/>
    </row>
    <row r="26" spans="2:12">
      <c r="B26" s="53" t="s">
        <v>22</v>
      </c>
      <c r="C26" s="229" t="s">
        <v>23</v>
      </c>
      <c r="D26" s="230">
        <f>Dreamscore!X11</f>
        <v>77</v>
      </c>
      <c r="E26" s="269">
        <f>RANK(D26,D24:D39,1)</f>
        <v>6</v>
      </c>
      <c r="F26" s="54"/>
    </row>
    <row r="27" spans="2:12">
      <c r="B27" s="53" t="s">
        <v>32</v>
      </c>
      <c r="C27" s="229" t="s">
        <v>33</v>
      </c>
      <c r="D27" s="230">
        <f>Dreamscore!X8</f>
        <v>81</v>
      </c>
      <c r="E27" s="269">
        <f>RANK(D27,D24:D39,1)</f>
        <v>9</v>
      </c>
      <c r="F27" s="54"/>
    </row>
    <row r="28" spans="2:12">
      <c r="B28" s="53" t="s">
        <v>28</v>
      </c>
      <c r="C28" s="229" t="s">
        <v>29</v>
      </c>
      <c r="D28" s="230">
        <f>Dreamscore!X6</f>
        <v>75</v>
      </c>
      <c r="E28" s="269">
        <f>RANK(D28,D24:D39,1)</f>
        <v>4</v>
      </c>
      <c r="F28" s="54"/>
    </row>
    <row r="29" spans="2:12">
      <c r="B29" s="53" t="s">
        <v>37</v>
      </c>
      <c r="C29" s="229" t="s">
        <v>38</v>
      </c>
      <c r="D29" s="230">
        <f>Dreamscore!X9</f>
        <v>96</v>
      </c>
      <c r="E29" s="269">
        <f>RANK(D29,D24:D39,1)</f>
        <v>15</v>
      </c>
      <c r="F29" s="54"/>
    </row>
    <row r="30" spans="2:12">
      <c r="B30" s="53" t="s">
        <v>30</v>
      </c>
      <c r="C30" s="229" t="s">
        <v>31</v>
      </c>
      <c r="D30" s="230">
        <f>Dreamscore!X5</f>
        <v>82</v>
      </c>
      <c r="E30" s="269">
        <f>RANK(D30,D24:D39,1)</f>
        <v>10</v>
      </c>
      <c r="F30" s="54"/>
    </row>
    <row r="31" spans="2:12">
      <c r="B31" s="53" t="s">
        <v>20</v>
      </c>
      <c r="C31" s="229" t="s">
        <v>34</v>
      </c>
      <c r="D31" s="230">
        <f>Dreamscore!X20</f>
        <v>77</v>
      </c>
      <c r="E31" s="269">
        <f>RANK(D31,D24:D39,1)</f>
        <v>6</v>
      </c>
      <c r="F31" s="54"/>
    </row>
    <row r="32" spans="2:12">
      <c r="B32" s="53" t="s">
        <v>42</v>
      </c>
      <c r="C32" s="229" t="s">
        <v>27</v>
      </c>
      <c r="D32" s="230">
        <f>Dreamscore!X10</f>
        <v>84</v>
      </c>
      <c r="E32" s="269">
        <f>RANK(D32,D24:D39,1)</f>
        <v>11</v>
      </c>
      <c r="F32" s="54"/>
    </row>
    <row r="33" spans="2:9">
      <c r="B33" s="53" t="s">
        <v>32</v>
      </c>
      <c r="C33" s="229" t="s">
        <v>41</v>
      </c>
      <c r="D33" s="230">
        <f>Dreamscore!X14</f>
        <v>87</v>
      </c>
      <c r="E33" s="269">
        <f>RANK(D33,D24:D39,1)</f>
        <v>14</v>
      </c>
      <c r="F33" s="54"/>
    </row>
    <row r="34" spans="2:9">
      <c r="B34" s="53" t="s">
        <v>26</v>
      </c>
      <c r="C34" s="229" t="s">
        <v>27</v>
      </c>
      <c r="D34" s="230">
        <f>Dreamscore!X7</f>
        <v>73</v>
      </c>
      <c r="E34" s="269">
        <f>RANK(D34,D24:D39,1)</f>
        <v>2</v>
      </c>
      <c r="F34" s="54"/>
    </row>
    <row r="35" spans="2:9">
      <c r="B35" s="53" t="s">
        <v>35</v>
      </c>
      <c r="C35" s="229" t="s">
        <v>36</v>
      </c>
      <c r="D35" s="230">
        <f>Dreamscore!X13</f>
        <v>85</v>
      </c>
      <c r="E35" s="269">
        <f>RANK(D35,D24:D39,1)</f>
        <v>13</v>
      </c>
      <c r="F35" s="54"/>
    </row>
    <row r="36" spans="2:9">
      <c r="B36" s="53" t="s">
        <v>43</v>
      </c>
      <c r="C36" s="229" t="s">
        <v>44</v>
      </c>
      <c r="D36" s="230">
        <f>Dreamscore!X17</f>
        <v>73</v>
      </c>
      <c r="E36" s="269">
        <f>RANK(D36,D24:D39,1)</f>
        <v>2</v>
      </c>
      <c r="F36" s="54"/>
    </row>
    <row r="37" spans="2:9">
      <c r="B37" s="53" t="s">
        <v>62</v>
      </c>
      <c r="C37" s="229" t="s">
        <v>40</v>
      </c>
      <c r="D37" s="230">
        <f>Dreamscore!X18</f>
        <v>77</v>
      </c>
      <c r="E37" s="269">
        <f>RANK(D37,D24:D39,1)</f>
        <v>6</v>
      </c>
      <c r="F37" s="54"/>
      <c r="I37" s="3" t="s">
        <v>48</v>
      </c>
    </row>
    <row r="38" spans="2:9">
      <c r="B38" s="53" t="s">
        <v>45</v>
      </c>
      <c r="C38" s="229" t="s">
        <v>46</v>
      </c>
      <c r="D38" s="230">
        <f>Dreamscore!X19</f>
        <v>76</v>
      </c>
      <c r="E38" s="269">
        <f>RANK(D38,D24:D39,1)</f>
        <v>5</v>
      </c>
      <c r="F38" s="54"/>
    </row>
    <row r="39" spans="2:9" ht="15.75" thickBot="1">
      <c r="B39" s="56" t="s">
        <v>47</v>
      </c>
      <c r="C39" s="240" t="s">
        <v>27</v>
      </c>
      <c r="D39" s="241">
        <f>Dreamscore!X21</f>
        <v>84</v>
      </c>
      <c r="E39" s="241">
        <f>RANK(D39,D24:D39,1)</f>
        <v>11</v>
      </c>
      <c r="F39" s="243"/>
    </row>
  </sheetData>
  <mergeCells count="3">
    <mergeCell ref="B2:F2"/>
    <mergeCell ref="H2:L2"/>
    <mergeCell ref="B22:F22"/>
  </mergeCells>
  <conditionalFormatting sqref="D4:D19">
    <cfRule type="iconSet" priority="3">
      <iconSet iconSet="5ArrowsGray" reverse="1">
        <cfvo type="percent" val="0"/>
        <cfvo type="percent" val="20"/>
        <cfvo type="percent" val="40"/>
        <cfvo type="percent" val="60"/>
        <cfvo type="percent" val="80"/>
      </iconSet>
    </cfRule>
  </conditionalFormatting>
  <conditionalFormatting sqref="D24:D39">
    <cfRule type="iconSet" priority="1">
      <iconSet iconSet="5ArrowsGray" reverse="1">
        <cfvo type="percent" val="0"/>
        <cfvo type="percent" val="20"/>
        <cfvo type="percent" val="40"/>
        <cfvo type="percent" val="60"/>
        <cfvo type="percent" val="80"/>
      </iconSet>
    </cfRule>
  </conditionalFormatting>
  <conditionalFormatting sqref="J4:J19">
    <cfRule type="iconSet" priority="2">
      <iconSet iconSet="5ArrowsGray" reverse="1">
        <cfvo type="percent" val="0"/>
        <cfvo type="percent" val="20"/>
        <cfvo type="percent" val="40"/>
        <cfvo type="percent" val="60"/>
        <cfvo type="percent" val="80"/>
      </iconSet>
    </cfRule>
  </conditionalFormatting>
  <pageMargins left="0.7" right="0.7" top="0.75" bottom="0.75" header="0.3" footer="0.3"/>
  <pageSetup paperSize="9" scale="89" orientation="landscape"/>
  <tableParts count="3">
    <tablePart r:id="rId1"/>
    <tablePart r:id="rId2"/>
    <tablePart r:id="rId3"/>
  </tableParts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70D444-F50D-435F-83F5-36B85A7C2E84}">
  <sheetPr>
    <tabColor rgb="FFFFC000"/>
  </sheetPr>
  <dimension ref="A2:K25"/>
  <sheetViews>
    <sheetView workbookViewId="0">
      <selection activeCell="P25" sqref="P25"/>
    </sheetView>
  </sheetViews>
  <sheetFormatPr defaultColWidth="9.140625" defaultRowHeight="15"/>
  <cols>
    <col min="1" max="4" width="9.140625" style="179"/>
    <col min="5" max="6" width="16.28515625" style="179" customWidth="1"/>
    <col min="7" max="7" width="17" style="180" customWidth="1"/>
    <col min="8" max="8" width="9.140625" style="179"/>
    <col min="9" max="9" width="11.5703125" style="180" bestFit="1" customWidth="1"/>
    <col min="10" max="10" width="2.140625" style="179" customWidth="1"/>
    <col min="11" max="16384" width="9.140625" style="179"/>
  </cols>
  <sheetData>
    <row r="2" spans="2:11" ht="15.75" thickBot="1">
      <c r="B2" s="18" t="s">
        <v>127</v>
      </c>
      <c r="D2" s="200" t="s">
        <v>128</v>
      </c>
      <c r="E2" s="201" t="s">
        <v>129</v>
      </c>
      <c r="F2" s="202" t="s">
        <v>130</v>
      </c>
      <c r="G2" s="202" t="s">
        <v>131</v>
      </c>
      <c r="H2" s="202" t="s">
        <v>132</v>
      </c>
      <c r="I2" s="203" t="s">
        <v>133</v>
      </c>
      <c r="J2" s="181"/>
    </row>
    <row r="3" spans="2:11">
      <c r="B3" s="32">
        <v>1</v>
      </c>
      <c r="D3" s="204" t="s">
        <v>35</v>
      </c>
      <c r="E3" s="76" t="s">
        <v>36</v>
      </c>
      <c r="F3" s="76">
        <f>Dreamscore!AB122*2+(Dreamscore!AB123)</f>
        <v>7</v>
      </c>
      <c r="G3" s="30">
        <f>'Bästa Brutto &amp; Netto'!D12-'Bästa Brutto &amp; Netto'!E12+'Bästa Brutto &amp; Netto'!J12-'Bästa Brutto &amp; Netto'!K12+Dreamscore!X13-Dreamscore!AD13+'Öl &amp; Birdies'!E12-'Öl &amp; Birdies'!K8</f>
        <v>24</v>
      </c>
      <c r="H3" s="30">
        <f>100-Scoreboard!Z12-Scoreboard!Z32</f>
        <v>32</v>
      </c>
      <c r="I3" s="205">
        <f>Scoreboard!AP12</f>
        <v>400</v>
      </c>
      <c r="J3" s="181"/>
    </row>
    <row r="4" spans="2:11">
      <c r="B4" s="33">
        <v>2</v>
      </c>
      <c r="D4" s="206" t="s">
        <v>37</v>
      </c>
      <c r="E4" s="77" t="s">
        <v>38</v>
      </c>
      <c r="F4" s="76">
        <f>Dreamscore!AB74*2+(Dreamscore!AB75)</f>
        <v>1</v>
      </c>
      <c r="G4" s="39">
        <f>'Bästa Brutto &amp; Netto'!D13-'Bästa Brutto &amp; Netto'!E13+'Bästa Brutto &amp; Netto'!J13-'Bästa Brutto &amp; Netto'!K13+Dreamscore!X9-Dreamscore!AD9+Tabell21[[#This Row],[Öl i år]]-'Öl &amp; Birdies'!K9</f>
        <v>58</v>
      </c>
      <c r="H4" s="39">
        <f>100-Scoreboard!Z13-Scoreboard!Z33</f>
        <v>-24</v>
      </c>
      <c r="I4" s="207">
        <f>Scoreboard!AP13</f>
        <v>0</v>
      </c>
      <c r="J4" s="181"/>
    </row>
    <row r="5" spans="2:11">
      <c r="B5" s="33">
        <v>3</v>
      </c>
      <c r="D5" s="206" t="s">
        <v>20</v>
      </c>
      <c r="E5" s="77" t="s">
        <v>34</v>
      </c>
      <c r="F5" s="76">
        <f>Dreamscore!AB205*2+(Dreamscore!AB206)</f>
        <v>18</v>
      </c>
      <c r="G5" s="39">
        <f>'Bästa Brutto &amp; Netto'!D11-'Bästa Brutto &amp; Netto'!E11+'Bästa Brutto &amp; Netto'!J11-'Bästa Brutto &amp; Netto'!K11+Dreamscore!X20-Dreamscore!AD20+'Öl &amp; Birdies'!E16-'Öl &amp; Birdies'!K5</f>
        <v>-1</v>
      </c>
      <c r="H5" s="39">
        <f>100-Scoreboard!Z11-Scoreboard!Z31</f>
        <v>34</v>
      </c>
      <c r="I5" s="207">
        <f>Scoreboard!AP11</f>
        <v>600</v>
      </c>
      <c r="J5" s="181"/>
    </row>
    <row r="6" spans="2:11">
      <c r="B6" s="33">
        <v>4</v>
      </c>
      <c r="D6" s="206" t="s">
        <v>47</v>
      </c>
      <c r="E6" s="77" t="s">
        <v>70</v>
      </c>
      <c r="F6" s="76">
        <f>Dreamscore!AB146*2+(Dreamscore!AB147)</f>
        <v>10</v>
      </c>
      <c r="G6" s="39">
        <f>'Bästa Brutto &amp; Netto'!D19-'Bästa Brutto &amp; Netto'!E19+'Bästa Brutto &amp; Netto'!J19-'Bästa Brutto &amp; Netto'!K1+Dreamscore!X21-Dreamscore!AD21+'Öl &amp; Birdies'!E19-'Öl &amp; Birdies'!K19</f>
        <v>61</v>
      </c>
      <c r="H6" s="39">
        <f>100-Scoreboard!Z19-Scoreboard!Z39</f>
        <v>29</v>
      </c>
      <c r="I6" s="207">
        <f>Scoreboard!AP19</f>
        <v>300</v>
      </c>
      <c r="J6" s="181"/>
    </row>
    <row r="7" spans="2:11">
      <c r="B7" s="33">
        <v>5</v>
      </c>
      <c r="D7" s="206" t="s">
        <v>62</v>
      </c>
      <c r="E7" s="77" t="s">
        <v>40</v>
      </c>
      <c r="F7" s="76">
        <f>Dreamscore!AB170*2+(Dreamscore!AB171)</f>
        <v>25</v>
      </c>
      <c r="G7" s="39">
        <f>'Bästa Brutto &amp; Netto'!D14-'Bästa Brutto &amp; Netto'!E14+'Bästa Brutto &amp; Netto'!J14-'Bästa Brutto &amp; Netto'!K14+Dreamscore!X18-Dreamscore!AD18+'Öl &amp; Birdies'!E17-'Öl &amp; Birdies'!K14</f>
        <v>8</v>
      </c>
      <c r="H7" s="39">
        <f>100-Scoreboard!Z14-Scoreboard!Z34</f>
        <v>67</v>
      </c>
      <c r="I7" s="207">
        <f>Scoreboard!AP14</f>
        <v>1100</v>
      </c>
      <c r="J7" s="181"/>
    </row>
    <row r="8" spans="2:11">
      <c r="B8" s="33">
        <v>6</v>
      </c>
      <c r="D8" s="206" t="s">
        <v>32</v>
      </c>
      <c r="E8" s="77" t="s">
        <v>33</v>
      </c>
      <c r="F8" s="76">
        <f>Dreamscore!AB62*2+(Dreamscore!AB63)</f>
        <v>12</v>
      </c>
      <c r="G8" s="39">
        <f>'Bästa Brutto &amp; Netto'!D10-'Bästa Brutto &amp; Netto'!E10+'Bästa Brutto &amp; Netto'!J10-'Bästa Brutto &amp; Netto'!K10+Dreamscore!X8-Dreamscore!AD8+'Öl &amp; Birdies'!E7-'Öl &amp; Birdies'!K7</f>
        <v>30</v>
      </c>
      <c r="H8" s="39">
        <f>100-Scoreboard!Z10-Scoreboard!Z30</f>
        <v>44</v>
      </c>
      <c r="I8" s="207">
        <f>Scoreboard!AP10</f>
        <v>100</v>
      </c>
      <c r="J8" s="181"/>
    </row>
    <row r="9" spans="2:11">
      <c r="B9" s="33">
        <v>7</v>
      </c>
      <c r="D9" s="206" t="s">
        <v>45</v>
      </c>
      <c r="E9" s="77" t="s">
        <v>46</v>
      </c>
      <c r="F9" s="76">
        <f>Dreamscore!AB193*2+(Dreamscore!AB194)</f>
        <v>20</v>
      </c>
      <c r="G9" s="39">
        <f>'Bästa Brutto &amp; Netto'!D18-'Bästa Brutto &amp; Netto'!E18+'Bästa Brutto &amp; Netto'!J18-'Bästa Brutto &amp; Netto'!K18+Dreamscore!X19-Dreamscore!AD19+'Öl &amp; Birdies'!E18-'Öl &amp; Birdies'!K18</f>
        <v>11</v>
      </c>
      <c r="H9" s="39">
        <f>100-Scoreboard!Z18-Scoreboard!Z38</f>
        <v>49</v>
      </c>
      <c r="I9" s="207">
        <f>Scoreboard!AP18</f>
        <v>600</v>
      </c>
      <c r="J9" s="181"/>
    </row>
    <row r="10" spans="2:11">
      <c r="B10" s="33">
        <v>8</v>
      </c>
      <c r="D10" s="206" t="s">
        <v>43</v>
      </c>
      <c r="E10" s="77" t="s">
        <v>44</v>
      </c>
      <c r="F10" s="76">
        <f>Dreamscore!AB182*2+(Dreamscore!AB183)</f>
        <v>26</v>
      </c>
      <c r="G10" s="39">
        <f>'Bästa Brutto &amp; Netto'!D17-'Bästa Brutto &amp; Netto'!E17+'Bästa Brutto &amp; Netto'!J17-'Bästa Brutto &amp; Netto'!K17+Dreamscore!X17-Dreamscore!AD17+'Öl &amp; Birdies'!E14-'Öl &amp; Birdies'!K17</f>
        <v>11</v>
      </c>
      <c r="H10" s="39">
        <f>100-Scoreboard!Z17-Scoreboard!Z37</f>
        <v>48</v>
      </c>
      <c r="I10" s="207">
        <f>Scoreboard!AP17</f>
        <v>600</v>
      </c>
      <c r="J10" s="181"/>
    </row>
    <row r="11" spans="2:11">
      <c r="B11" s="33">
        <v>9</v>
      </c>
      <c r="D11" s="206" t="s">
        <v>30</v>
      </c>
      <c r="E11" s="77" t="s">
        <v>31</v>
      </c>
      <c r="F11" s="76">
        <f>Dreamscore!AB25*2+(Dreamscore!AB26)</f>
        <v>14</v>
      </c>
      <c r="G11" s="39">
        <f>Tabell23[[#This Row],[I år]]-Tabell23[[#This Row],[Bäst "Ever"]]+Tabell2326[[#This Row],[I år]]-Tabell2326[[#This Row],[Bäst "Ever"]]+Dreamscore!X5-Dreamscore!AD5+'Öl &amp; Birdies'!E4-'Öl &amp; Birdies'!K13</f>
        <v>-1</v>
      </c>
      <c r="H11" s="39">
        <f>100-Scoreboard!Z9-Scoreboard!Z29</f>
        <v>55</v>
      </c>
      <c r="I11" s="207">
        <f>Scoreboard!AP9</f>
        <v>800</v>
      </c>
      <c r="J11" s="181"/>
    </row>
    <row r="12" spans="2:11">
      <c r="B12" s="33">
        <v>10</v>
      </c>
      <c r="D12" s="206" t="s">
        <v>42</v>
      </c>
      <c r="E12" s="77" t="s">
        <v>134</v>
      </c>
      <c r="F12" s="76">
        <f>Dreamscore!AB86*2+(Dreamscore!AB87)</f>
        <v>7</v>
      </c>
      <c r="G12" s="39">
        <f>'Bästa Brutto &amp; Netto'!D16-'Bästa Brutto &amp; Netto'!E16+'Bästa Brutto &amp; Netto'!J16-'Bästa Brutto &amp; Netto'!K16+Dreamscore!X10-Dreamscore!AD10+'Öl &amp; Birdies'!E9-'Öl &amp; Birdies'!K16</f>
        <v>22</v>
      </c>
      <c r="H12" s="39">
        <f>100-Scoreboard!Z16-Scoreboard!Z36</f>
        <v>33</v>
      </c>
      <c r="I12" s="207">
        <f>Scoreboard!AP16</f>
        <v>0</v>
      </c>
      <c r="J12" s="181"/>
    </row>
    <row r="13" spans="2:11">
      <c r="B13" s="33">
        <v>11</v>
      </c>
      <c r="D13" s="206" t="s">
        <v>26</v>
      </c>
      <c r="E13" s="77" t="s">
        <v>135</v>
      </c>
      <c r="F13" s="76">
        <f>Dreamscore!AB50*2+(Dreamscore!AB51)</f>
        <v>32</v>
      </c>
      <c r="G13" s="39">
        <f>'Bästa Brutto &amp; Netto'!D7-'Bästa Brutto &amp; Netto'!E7+'Bästa Brutto &amp; Netto'!J7-'Bästa Brutto &amp; Netto'!K7+Dreamscore!X7-Dreamscore!AD7+'Öl &amp; Birdies'!E6-'Öl &amp; Birdies'!K6</f>
        <v>-2</v>
      </c>
      <c r="H13" s="39">
        <f>100-Scoreboard!Z7-Scoreboard!Z27</f>
        <v>75</v>
      </c>
      <c r="I13" s="207">
        <f>Scoreboard!AP7</f>
        <v>1800</v>
      </c>
      <c r="J13" s="181"/>
    </row>
    <row r="14" spans="2:11">
      <c r="B14" s="33">
        <v>12</v>
      </c>
      <c r="D14" s="206" t="s">
        <v>32</v>
      </c>
      <c r="E14" s="77" t="s">
        <v>41</v>
      </c>
      <c r="F14" s="76">
        <f>Dreamscore!AB134*2+(Dreamscore!AB135)</f>
        <v>8</v>
      </c>
      <c r="G14" s="39">
        <f>'Bästa Brutto &amp; Netto'!D15-'Bästa Brutto &amp; Netto'!E15+'Bästa Brutto &amp; Netto'!J15-'Bästa Brutto &amp; Netto'!K15+Dreamscore!X14-Dreamscore!AD14+'Öl &amp; Birdies'!E13-'Öl &amp; Birdies'!K15</f>
        <v>23</v>
      </c>
      <c r="H14" s="39">
        <f>100-Scoreboard!Z15-Scoreboard!Z35</f>
        <v>11</v>
      </c>
      <c r="I14" s="207">
        <f>Scoreboard!AP15</f>
        <v>0</v>
      </c>
      <c r="J14" s="181"/>
      <c r="K14" s="179" t="s">
        <v>48</v>
      </c>
    </row>
    <row r="15" spans="2:11">
      <c r="B15" s="33">
        <v>13</v>
      </c>
      <c r="D15" s="206" t="s">
        <v>24</v>
      </c>
      <c r="E15" s="77" t="s">
        <v>25</v>
      </c>
      <c r="F15" s="76">
        <f>Dreamscore!AB110*2+(Dreamscore!AB111)</f>
        <v>3</v>
      </c>
      <c r="G15" s="39">
        <f>'Bästa Brutto &amp; Netto'!D6-'Bästa Brutto &amp; Netto'!E6+'Bästa Brutto &amp; Netto'!J6-'Bästa Brutto &amp; Netto'!K6+Dreamscore!X12-Dreamscore!AD12+'Öl &amp; Birdies'!E11-'Öl &amp; Birdies'!K11</f>
        <v>64</v>
      </c>
      <c r="H15" s="39">
        <f>100-Scoreboard!Z6-Scoreboard!Z26</f>
        <v>-49</v>
      </c>
      <c r="I15" s="207">
        <f>Scoreboard!AP6</f>
        <v>0</v>
      </c>
      <c r="J15" s="181"/>
    </row>
    <row r="16" spans="2:11">
      <c r="B16" s="33">
        <v>14</v>
      </c>
      <c r="D16" s="206" t="s">
        <v>28</v>
      </c>
      <c r="E16" s="77" t="s">
        <v>29</v>
      </c>
      <c r="F16" s="76">
        <f>Dreamscore!AB37*2+(Dreamscore!AB38)</f>
        <v>23</v>
      </c>
      <c r="G16" s="39">
        <f>'Bästa Brutto &amp; Netto'!D8-'Bästa Brutto &amp; Netto'!E8+'Bästa Brutto &amp; Netto'!J8-'Bästa Brutto &amp; Netto'!K8+Dreamscore!X6-Dreamscore!AD6+'Öl &amp; Birdies'!E5-'Öl &amp; Birdies'!K12</f>
        <v>20</v>
      </c>
      <c r="H16" s="39">
        <f>100-Scoreboard!Z8-Scoreboard!Z28</f>
        <v>66</v>
      </c>
      <c r="I16" s="207">
        <f>Scoreboard!AP8</f>
        <v>900</v>
      </c>
      <c r="J16" s="181"/>
    </row>
    <row r="17" spans="1:10">
      <c r="A17" s="179" t="s">
        <v>48</v>
      </c>
      <c r="B17" s="34">
        <v>15</v>
      </c>
      <c r="D17" s="208" t="s">
        <v>22</v>
      </c>
      <c r="E17" s="147" t="s">
        <v>23</v>
      </c>
      <c r="F17" s="76">
        <f>Dreamscore!AB98*2+(Dreamscore!AB99)</f>
        <v>25</v>
      </c>
      <c r="G17" s="66">
        <f>'Bästa Brutto &amp; Netto'!D5-'Bästa Brutto &amp; Netto'!E5+'Bästa Brutto &amp; Netto'!J5-'Bästa Brutto &amp; Netto'!K5+Dreamscore!X11-Dreamscore!AD11+'Öl &amp; Birdies'!E10-Tabell2123[[#This Row],[Birdie i år]]</f>
        <v>21</v>
      </c>
      <c r="H17" s="66">
        <f>100-Scoreboard!Z5-Scoreboard!Z25</f>
        <v>73</v>
      </c>
      <c r="I17" s="209">
        <f>Scoreboard!AP5</f>
        <v>1400</v>
      </c>
      <c r="J17" s="181"/>
    </row>
    <row r="18" spans="1:10">
      <c r="B18" s="34">
        <v>16</v>
      </c>
      <c r="D18" s="208" t="s">
        <v>20</v>
      </c>
      <c r="E18" s="147" t="s">
        <v>21</v>
      </c>
      <c r="F18" s="76">
        <f>Dreamscore!AB158*2+(Dreamscore!AB159)</f>
        <v>55</v>
      </c>
      <c r="G18" s="66">
        <f>'Bästa Brutto &amp; Netto'!D4-'Bästa Brutto &amp; Netto'!E4+'Bästa Brutto &amp; Netto'!J4-'Bästa Brutto &amp; Netto'!K4+Dreamscore!X16-Dreamscore!AD16+'Öl &amp; Birdies'!E15-'Öl &amp; Birdies'!K10</f>
        <v>13</v>
      </c>
      <c r="H18" s="66">
        <f>100-Scoreboard!Z4-Scoreboard!Z24</f>
        <v>84</v>
      </c>
      <c r="I18" s="209">
        <f>Scoreboard!AP4</f>
        <v>3100</v>
      </c>
      <c r="J18" s="181"/>
    </row>
    <row r="19" spans="1:10">
      <c r="D19" s="181"/>
      <c r="E19" s="181"/>
      <c r="F19" s="181"/>
      <c r="G19" s="182"/>
      <c r="H19" s="181"/>
      <c r="I19" s="182"/>
      <c r="J19" s="181"/>
    </row>
    <row r="20" spans="1:10">
      <c r="D20" s="181"/>
      <c r="E20" s="181"/>
      <c r="F20" s="181"/>
      <c r="G20" s="182"/>
      <c r="H20" s="181"/>
      <c r="I20" s="182"/>
      <c r="J20" s="181"/>
    </row>
    <row r="21" spans="1:10">
      <c r="D21" s="181"/>
      <c r="E21" s="181"/>
      <c r="F21" s="181"/>
      <c r="G21" s="182"/>
      <c r="H21" s="181"/>
      <c r="I21" s="182"/>
      <c r="J21" s="181"/>
    </row>
    <row r="22" spans="1:10">
      <c r="D22" s="181"/>
      <c r="E22" s="181"/>
      <c r="F22" s="181"/>
      <c r="G22" s="182"/>
      <c r="H22" s="181"/>
      <c r="I22" s="182"/>
      <c r="J22" s="181"/>
    </row>
    <row r="23" spans="1:10">
      <c r="D23" s="181"/>
      <c r="E23" s="181"/>
      <c r="F23" s="181"/>
      <c r="G23" s="182"/>
      <c r="H23" s="181"/>
      <c r="I23" s="182"/>
      <c r="J23" s="181"/>
    </row>
    <row r="24" spans="1:10">
      <c r="D24" s="181"/>
      <c r="E24" s="181"/>
      <c r="F24" s="181"/>
      <c r="G24" s="182"/>
      <c r="H24" s="181"/>
      <c r="I24" s="182"/>
      <c r="J24" s="181"/>
    </row>
    <row r="25" spans="1:10">
      <c r="D25" s="181"/>
      <c r="E25" s="181"/>
      <c r="F25" s="181"/>
      <c r="G25" s="182"/>
      <c r="H25" s="181"/>
      <c r="I25" s="182"/>
      <c r="J25" s="181"/>
    </row>
  </sheetData>
  <dataConsolidate/>
  <pageMargins left="0.7" right="0.7" top="0.75" bottom="0.75" header="0.3" footer="0.3"/>
  <pageSetup paperSize="9" orientation="portrait" horizontalDpi="4294967295" verticalDpi="4294967295" r:id="rId1"/>
  <drawing r:id="rId2"/>
  <tableParts count="2">
    <tablePart r:id="rId3"/>
    <tablePart r:id="rId4"/>
  </tableParts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867015C-F418-45E0-8823-BC7E4E64EB70}">
  <dimension ref="B3:Q19"/>
  <sheetViews>
    <sheetView workbookViewId="0">
      <selection activeCell="S11" sqref="S11"/>
    </sheetView>
  </sheetViews>
  <sheetFormatPr defaultRowHeight="15"/>
  <cols>
    <col min="2" max="3" width="11" customWidth="1"/>
  </cols>
  <sheetData>
    <row r="3" spans="2:17" ht="15.75" thickBot="1">
      <c r="B3" s="329" t="s">
        <v>203</v>
      </c>
      <c r="C3" s="330" t="s">
        <v>233</v>
      </c>
      <c r="D3" s="339" t="s">
        <v>234</v>
      </c>
      <c r="E3" s="339" t="s">
        <v>235</v>
      </c>
      <c r="F3" s="339" t="s">
        <v>236</v>
      </c>
      <c r="G3" s="339" t="s">
        <v>237</v>
      </c>
      <c r="H3" s="339" t="s">
        <v>238</v>
      </c>
      <c r="I3" s="339" t="s">
        <v>239</v>
      </c>
      <c r="J3" s="339" t="s">
        <v>240</v>
      </c>
      <c r="K3" s="339" t="s">
        <v>241</v>
      </c>
      <c r="L3" s="339" t="s">
        <v>242</v>
      </c>
      <c r="M3" s="339" t="s">
        <v>243</v>
      </c>
      <c r="N3" s="339" t="s">
        <v>244</v>
      </c>
      <c r="O3" s="339" t="s">
        <v>245</v>
      </c>
      <c r="P3" s="340" t="s">
        <v>246</v>
      </c>
      <c r="Q3" s="341" t="s">
        <v>247</v>
      </c>
    </row>
    <row r="4" spans="2:17">
      <c r="B4" s="292" t="s">
        <v>30</v>
      </c>
      <c r="C4" s="293" t="s">
        <v>31</v>
      </c>
      <c r="D4" s="331">
        <v>80</v>
      </c>
      <c r="E4" s="38">
        <v>84</v>
      </c>
      <c r="F4" s="38">
        <v>83</v>
      </c>
      <c r="G4" s="332">
        <v>84</v>
      </c>
      <c r="H4" s="38">
        <v>78</v>
      </c>
      <c r="I4" s="38">
        <v>77</v>
      </c>
      <c r="J4" s="38">
        <v>79</v>
      </c>
      <c r="K4" s="38">
        <v>82</v>
      </c>
      <c r="L4" s="38">
        <v>86</v>
      </c>
      <c r="M4" s="38">
        <v>81</v>
      </c>
      <c r="N4" s="38">
        <v>79</v>
      </c>
      <c r="O4" s="38">
        <v>79</v>
      </c>
      <c r="P4" s="333">
        <v>83</v>
      </c>
      <c r="Q4">
        <v>82</v>
      </c>
    </row>
    <row r="5" spans="2:17">
      <c r="B5" s="128" t="s">
        <v>28</v>
      </c>
      <c r="C5" s="192" t="s">
        <v>29</v>
      </c>
      <c r="D5" s="334">
        <v>74</v>
      </c>
      <c r="E5" s="39">
        <v>77</v>
      </c>
      <c r="F5" s="39">
        <v>79</v>
      </c>
      <c r="G5" s="77">
        <v>70</v>
      </c>
      <c r="H5" s="39">
        <v>72</v>
      </c>
      <c r="I5" s="39">
        <v>75</v>
      </c>
      <c r="J5" s="39">
        <v>74</v>
      </c>
      <c r="K5" s="39">
        <v>73</v>
      </c>
      <c r="L5" s="39">
        <v>70</v>
      </c>
      <c r="M5" s="39">
        <v>72</v>
      </c>
      <c r="N5" s="39">
        <v>75</v>
      </c>
      <c r="O5" s="39">
        <v>76</v>
      </c>
      <c r="P5" s="335">
        <v>73</v>
      </c>
      <c r="Q5">
        <v>75</v>
      </c>
    </row>
    <row r="6" spans="2:17">
      <c r="B6" s="128" t="s">
        <v>26</v>
      </c>
      <c r="C6" s="192" t="s">
        <v>27</v>
      </c>
      <c r="D6" s="334">
        <v>75</v>
      </c>
      <c r="E6" s="39">
        <v>80</v>
      </c>
      <c r="F6" s="39">
        <v>72</v>
      </c>
      <c r="G6" s="77">
        <v>72</v>
      </c>
      <c r="H6" s="39">
        <v>77</v>
      </c>
      <c r="I6" s="39">
        <v>85</v>
      </c>
      <c r="J6" s="39">
        <v>81</v>
      </c>
      <c r="K6" s="39">
        <v>79</v>
      </c>
      <c r="L6" s="39">
        <v>78</v>
      </c>
      <c r="M6" s="39">
        <v>84</v>
      </c>
      <c r="N6" s="39">
        <v>72</v>
      </c>
      <c r="O6" s="39">
        <v>75</v>
      </c>
      <c r="P6" s="335">
        <v>77</v>
      </c>
      <c r="Q6">
        <v>73</v>
      </c>
    </row>
    <row r="7" spans="2:17">
      <c r="B7" s="128" t="s">
        <v>32</v>
      </c>
      <c r="C7" s="192" t="s">
        <v>33</v>
      </c>
      <c r="D7" s="334">
        <v>74</v>
      </c>
      <c r="E7" s="39">
        <v>78</v>
      </c>
      <c r="F7" s="39">
        <v>74</v>
      </c>
      <c r="G7" s="77">
        <v>74</v>
      </c>
      <c r="H7" s="39">
        <v>75</v>
      </c>
      <c r="I7" s="39">
        <v>78</v>
      </c>
      <c r="J7" s="39">
        <v>71</v>
      </c>
      <c r="K7" s="39">
        <v>74</v>
      </c>
      <c r="L7" s="39">
        <v>75</v>
      </c>
      <c r="M7" s="39">
        <v>74</v>
      </c>
      <c r="N7" s="39">
        <v>75</v>
      </c>
      <c r="O7" s="39">
        <v>76</v>
      </c>
      <c r="P7" s="335">
        <v>77</v>
      </c>
      <c r="Q7">
        <v>81</v>
      </c>
    </row>
    <row r="8" spans="2:17">
      <c r="B8" s="128" t="s">
        <v>37</v>
      </c>
      <c r="C8" s="192" t="s">
        <v>38</v>
      </c>
      <c r="D8" s="334">
        <v>75</v>
      </c>
      <c r="E8" s="39">
        <v>73</v>
      </c>
      <c r="F8" s="39">
        <v>76</v>
      </c>
      <c r="G8" s="77">
        <v>73</v>
      </c>
      <c r="H8" s="39">
        <v>73</v>
      </c>
      <c r="I8" s="39">
        <v>78</v>
      </c>
      <c r="J8" s="39">
        <v>75</v>
      </c>
      <c r="K8" s="39">
        <v>80</v>
      </c>
      <c r="L8" s="39">
        <v>80</v>
      </c>
      <c r="M8" s="39">
        <v>80</v>
      </c>
      <c r="N8" s="39">
        <v>74</v>
      </c>
      <c r="O8" s="39">
        <v>77</v>
      </c>
      <c r="P8" s="335">
        <v>80</v>
      </c>
      <c r="Q8">
        <v>96</v>
      </c>
    </row>
    <row r="9" spans="2:17">
      <c r="B9" s="128" t="s">
        <v>42</v>
      </c>
      <c r="C9" s="192" t="s">
        <v>27</v>
      </c>
      <c r="D9" s="334">
        <v>88</v>
      </c>
      <c r="E9" s="39">
        <v>91</v>
      </c>
      <c r="F9" s="39">
        <v>79</v>
      </c>
      <c r="G9" s="77">
        <v>79</v>
      </c>
      <c r="H9" s="39">
        <v>92</v>
      </c>
      <c r="I9" s="39">
        <v>96</v>
      </c>
      <c r="J9" s="39">
        <v>85</v>
      </c>
      <c r="K9" s="39">
        <v>86</v>
      </c>
      <c r="L9" s="39">
        <v>81</v>
      </c>
      <c r="M9" s="39">
        <v>81</v>
      </c>
      <c r="N9" s="39">
        <v>83</v>
      </c>
      <c r="O9" s="39">
        <v>80</v>
      </c>
      <c r="P9" s="335">
        <v>80</v>
      </c>
      <c r="Q9">
        <v>84</v>
      </c>
    </row>
    <row r="10" spans="2:17">
      <c r="B10" s="128" t="s">
        <v>22</v>
      </c>
      <c r="C10" s="192" t="s">
        <v>23</v>
      </c>
      <c r="D10" s="334">
        <v>72</v>
      </c>
      <c r="E10" s="39">
        <v>71</v>
      </c>
      <c r="F10" s="39">
        <v>73</v>
      </c>
      <c r="G10" s="77">
        <v>71</v>
      </c>
      <c r="H10" s="39">
        <v>71</v>
      </c>
      <c r="I10" s="39">
        <v>70</v>
      </c>
      <c r="J10" s="39">
        <v>69</v>
      </c>
      <c r="K10" s="39">
        <v>73</v>
      </c>
      <c r="L10" s="39">
        <v>71</v>
      </c>
      <c r="M10" s="39">
        <v>73</v>
      </c>
      <c r="N10" s="39">
        <v>73</v>
      </c>
      <c r="O10" s="39">
        <v>69</v>
      </c>
      <c r="P10" s="335">
        <v>70</v>
      </c>
      <c r="Q10">
        <v>77</v>
      </c>
    </row>
    <row r="11" spans="2:17">
      <c r="B11" s="128" t="s">
        <v>24</v>
      </c>
      <c r="C11" s="192" t="s">
        <v>25</v>
      </c>
      <c r="D11" s="334">
        <v>70</v>
      </c>
      <c r="E11" s="39">
        <v>75</v>
      </c>
      <c r="F11" s="39">
        <v>76</v>
      </c>
      <c r="G11" s="77">
        <v>75</v>
      </c>
      <c r="H11" s="39">
        <v>82</v>
      </c>
      <c r="I11" s="39">
        <v>77</v>
      </c>
      <c r="J11" s="39">
        <v>76</v>
      </c>
      <c r="K11" s="39">
        <v>77</v>
      </c>
      <c r="L11" s="39">
        <v>75</v>
      </c>
      <c r="M11" s="39">
        <v>75</v>
      </c>
      <c r="N11" s="39">
        <v>74</v>
      </c>
      <c r="O11" s="39">
        <v>77</v>
      </c>
      <c r="P11" s="335">
        <v>80</v>
      </c>
      <c r="Q11">
        <v>105</v>
      </c>
    </row>
    <row r="12" spans="2:17">
      <c r="B12" s="128" t="s">
        <v>35</v>
      </c>
      <c r="C12" s="192" t="s">
        <v>36</v>
      </c>
      <c r="D12" s="334">
        <v>112</v>
      </c>
      <c r="E12" s="39">
        <v>87</v>
      </c>
      <c r="F12" s="39">
        <v>80</v>
      </c>
      <c r="G12" s="77">
        <v>80</v>
      </c>
      <c r="H12" s="39">
        <v>77</v>
      </c>
      <c r="I12" s="39">
        <v>85</v>
      </c>
      <c r="J12" s="39">
        <v>81</v>
      </c>
      <c r="K12" s="39">
        <v>83</v>
      </c>
      <c r="L12" s="39">
        <v>88</v>
      </c>
      <c r="M12" s="39">
        <v>82</v>
      </c>
      <c r="N12" s="39">
        <v>83</v>
      </c>
      <c r="O12" s="39">
        <v>81</v>
      </c>
      <c r="P12" s="335">
        <v>87</v>
      </c>
      <c r="Q12">
        <v>85</v>
      </c>
    </row>
    <row r="13" spans="2:17">
      <c r="B13" s="128" t="s">
        <v>32</v>
      </c>
      <c r="C13" s="192" t="s">
        <v>41</v>
      </c>
      <c r="D13" s="334">
        <v>80</v>
      </c>
      <c r="E13" s="39">
        <v>90</v>
      </c>
      <c r="F13" s="39">
        <v>82</v>
      </c>
      <c r="G13" s="77">
        <v>82</v>
      </c>
      <c r="H13" s="39">
        <v>85</v>
      </c>
      <c r="I13" s="39">
        <v>87</v>
      </c>
      <c r="J13" s="39">
        <v>102</v>
      </c>
      <c r="K13" s="39">
        <v>89</v>
      </c>
      <c r="L13" s="77"/>
      <c r="M13" s="39">
        <v>92</v>
      </c>
      <c r="N13" s="39">
        <v>80</v>
      </c>
      <c r="O13" s="39">
        <v>83</v>
      </c>
      <c r="P13" s="335">
        <v>82</v>
      </c>
      <c r="Q13">
        <v>87</v>
      </c>
    </row>
    <row r="14" spans="2:17">
      <c r="B14" s="128" t="s">
        <v>20</v>
      </c>
      <c r="C14" s="192" t="s">
        <v>21</v>
      </c>
      <c r="D14" s="334">
        <v>67</v>
      </c>
      <c r="E14" s="39">
        <v>75</v>
      </c>
      <c r="F14" s="39">
        <v>71</v>
      </c>
      <c r="G14" s="77">
        <v>68</v>
      </c>
      <c r="H14" s="39">
        <v>77</v>
      </c>
      <c r="I14" s="39">
        <v>74</v>
      </c>
      <c r="J14" s="39">
        <v>69</v>
      </c>
      <c r="K14" s="39">
        <v>73</v>
      </c>
      <c r="L14" s="39">
        <v>68</v>
      </c>
      <c r="M14" s="39">
        <v>71</v>
      </c>
      <c r="N14" s="39">
        <v>68</v>
      </c>
      <c r="O14" s="39">
        <v>69</v>
      </c>
      <c r="P14" s="335">
        <v>68</v>
      </c>
      <c r="Q14">
        <v>69</v>
      </c>
    </row>
    <row r="15" spans="2:17">
      <c r="B15" s="128" t="s">
        <v>43</v>
      </c>
      <c r="C15" s="192" t="s">
        <v>44</v>
      </c>
      <c r="D15" s="334"/>
      <c r="E15" s="77"/>
      <c r="F15" s="39">
        <v>76</v>
      </c>
      <c r="G15" s="77">
        <v>76</v>
      </c>
      <c r="H15" s="39">
        <v>76</v>
      </c>
      <c r="I15" s="39">
        <v>81</v>
      </c>
      <c r="J15" s="39">
        <v>78</v>
      </c>
      <c r="K15" s="39">
        <v>83</v>
      </c>
      <c r="L15" s="39">
        <v>76</v>
      </c>
      <c r="M15" s="39">
        <v>74</v>
      </c>
      <c r="N15" s="39">
        <v>71</v>
      </c>
      <c r="O15" s="39">
        <v>71</v>
      </c>
      <c r="P15" s="335">
        <v>73</v>
      </c>
      <c r="Q15">
        <v>73</v>
      </c>
    </row>
    <row r="16" spans="2:17">
      <c r="B16" s="128" t="s">
        <v>39</v>
      </c>
      <c r="C16" s="192" t="s">
        <v>40</v>
      </c>
      <c r="D16" s="334"/>
      <c r="E16" s="77">
        <v>81</v>
      </c>
      <c r="F16" s="39">
        <v>87</v>
      </c>
      <c r="G16" s="77">
        <v>71</v>
      </c>
      <c r="H16" s="39">
        <v>93</v>
      </c>
      <c r="I16" s="39">
        <v>84</v>
      </c>
      <c r="J16" s="39">
        <v>77</v>
      </c>
      <c r="K16" s="39">
        <v>80</v>
      </c>
      <c r="L16" s="39">
        <v>80</v>
      </c>
      <c r="M16" s="39">
        <v>83</v>
      </c>
      <c r="N16" s="39">
        <v>77</v>
      </c>
      <c r="O16" s="39">
        <v>85</v>
      </c>
      <c r="P16" s="335">
        <v>73</v>
      </c>
      <c r="Q16">
        <v>77</v>
      </c>
    </row>
    <row r="17" spans="2:17">
      <c r="B17" s="128" t="s">
        <v>45</v>
      </c>
      <c r="C17" s="192" t="s">
        <v>46</v>
      </c>
      <c r="D17" s="334"/>
      <c r="E17" s="77"/>
      <c r="F17" s="39">
        <v>71</v>
      </c>
      <c r="G17" s="77">
        <v>70</v>
      </c>
      <c r="H17" s="39">
        <v>72</v>
      </c>
      <c r="I17" s="39">
        <v>72</v>
      </c>
      <c r="J17" s="39">
        <v>72</v>
      </c>
      <c r="K17" s="39">
        <v>89</v>
      </c>
      <c r="L17" s="39">
        <v>87</v>
      </c>
      <c r="M17" s="39">
        <v>77</v>
      </c>
      <c r="N17" s="39">
        <v>72</v>
      </c>
      <c r="O17" s="39">
        <v>74</v>
      </c>
      <c r="P17" s="335">
        <v>79</v>
      </c>
      <c r="Q17">
        <v>76</v>
      </c>
    </row>
    <row r="18" spans="2:17">
      <c r="B18" s="128" t="s">
        <v>20</v>
      </c>
      <c r="C18" s="192" t="s">
        <v>34</v>
      </c>
      <c r="D18" s="334"/>
      <c r="E18" s="77"/>
      <c r="F18" s="77"/>
      <c r="G18" s="77"/>
      <c r="H18" s="77"/>
      <c r="I18" s="77"/>
      <c r="J18" s="77"/>
      <c r="K18" s="77"/>
      <c r="L18" s="39">
        <v>83</v>
      </c>
      <c r="M18" s="39">
        <v>83</v>
      </c>
      <c r="N18" s="39">
        <v>76</v>
      </c>
      <c r="O18" s="39">
        <v>78</v>
      </c>
      <c r="P18" s="335">
        <v>81</v>
      </c>
      <c r="Q18">
        <v>77</v>
      </c>
    </row>
    <row r="19" spans="2:17" ht="15.75" thickBot="1">
      <c r="B19" s="129" t="s">
        <v>47</v>
      </c>
      <c r="C19" s="194" t="s">
        <v>27</v>
      </c>
      <c r="D19" s="336"/>
      <c r="E19" s="337"/>
      <c r="F19" s="337"/>
      <c r="G19" s="337"/>
      <c r="H19" s="337"/>
      <c r="I19" s="337"/>
      <c r="J19" s="337"/>
      <c r="K19" s="337"/>
      <c r="L19" s="337"/>
      <c r="M19" s="337"/>
      <c r="N19" s="337"/>
      <c r="O19" s="131">
        <v>87</v>
      </c>
      <c r="P19" s="338">
        <v>87</v>
      </c>
      <c r="Q19">
        <v>84</v>
      </c>
    </row>
  </sheetData>
  <phoneticPr fontId="36" type="noConversion"/>
  <conditionalFormatting sqref="B4:C19">
    <cfRule type="dataBar" priority="734">
      <dataBar>
        <cfvo type="min"/>
        <cfvo type="max"/>
        <color rgb="FFD6007B"/>
      </dataBar>
    </cfRule>
    <cfRule type="colorScale" priority="735">
      <colorScale>
        <cfvo type="min"/>
        <cfvo type="percentile" val="50"/>
        <cfvo type="max"/>
        <color rgb="FFF8696B"/>
        <color rgb="FFFFEB84"/>
        <color rgb="FF5A8AC6"/>
      </colorScale>
    </cfRule>
  </conditionalFormatting>
  <pageMargins left="0.7" right="0.7" top="0.75" bottom="0.75" header="0.3" footer="0.3"/>
  <drawing r:id="rId1"/>
  <tableParts count="1">
    <tablePart r:id="rId2"/>
  </tableParts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theme="1"/>
    <pageSetUpPr fitToPage="1"/>
  </sheetPr>
  <dimension ref="B2:AZ233"/>
  <sheetViews>
    <sheetView zoomScale="62" zoomScaleNormal="62" zoomScalePageLayoutView="55" workbookViewId="0">
      <selection activeCell="AY25" sqref="AY25"/>
    </sheetView>
  </sheetViews>
  <sheetFormatPr defaultColWidth="8.85546875" defaultRowHeight="15"/>
  <cols>
    <col min="1" max="1" width="5.28515625" style="72" customWidth="1"/>
    <col min="2" max="2" width="14.85546875" style="72" bestFit="1" customWidth="1"/>
    <col min="3" max="3" width="11.7109375" style="72" bestFit="1" customWidth="1"/>
    <col min="4" max="4" width="8.5703125" style="81" customWidth="1"/>
    <col min="5" max="21" width="5.7109375" style="81" customWidth="1"/>
    <col min="22" max="22" width="6.140625" style="72" bestFit="1" customWidth="1"/>
    <col min="23" max="23" width="2.42578125" style="72" customWidth="1"/>
    <col min="24" max="24" width="11.42578125" style="81" bestFit="1" customWidth="1"/>
    <col min="25" max="25" width="1" style="72" customWidth="1"/>
    <col min="26" max="26" width="5" style="81" customWidth="1"/>
    <col min="27" max="27" width="1.140625" style="72" customWidth="1"/>
    <col min="28" max="28" width="9.7109375" style="81" customWidth="1"/>
    <col min="29" max="29" width="2.28515625" style="72" customWidth="1"/>
    <col min="30" max="30" width="11" style="72" customWidth="1"/>
    <col min="31" max="35" width="8.85546875" style="72"/>
    <col min="36" max="36" width="17.140625" style="72" bestFit="1" customWidth="1"/>
    <col min="37" max="41" width="8.85546875" style="72"/>
    <col min="42" max="42" width="13.28515625" style="72" bestFit="1" customWidth="1"/>
    <col min="43" max="46" width="8.85546875" style="72"/>
    <col min="47" max="47" width="11.7109375" style="72" bestFit="1" customWidth="1"/>
    <col min="48" max="16384" width="8.85546875" style="72"/>
  </cols>
  <sheetData>
    <row r="2" spans="2:32" ht="18.75">
      <c r="B2" s="74" t="s">
        <v>126</v>
      </c>
      <c r="D2" s="83" t="s">
        <v>136</v>
      </c>
      <c r="H2" s="84">
        <v>-2</v>
      </c>
      <c r="I2" s="85">
        <v>-1</v>
      </c>
      <c r="J2" s="86" t="s">
        <v>137</v>
      </c>
      <c r="K2" s="87">
        <v>1</v>
      </c>
      <c r="L2" s="88">
        <v>2</v>
      </c>
    </row>
    <row r="4" spans="2:32" ht="15.75" thickBot="1">
      <c r="B4" s="11" t="s">
        <v>2</v>
      </c>
      <c r="C4" s="11" t="s">
        <v>3</v>
      </c>
      <c r="D4" s="82" t="s">
        <v>4</v>
      </c>
      <c r="E4" s="82" t="s">
        <v>5</v>
      </c>
      <c r="F4" s="82" t="s">
        <v>6</v>
      </c>
      <c r="G4" s="82" t="s">
        <v>7</v>
      </c>
      <c r="H4" s="82" t="s">
        <v>8</v>
      </c>
      <c r="I4" s="82" t="s">
        <v>9</v>
      </c>
      <c r="J4" s="82" t="s">
        <v>10</v>
      </c>
      <c r="K4" s="82" t="s">
        <v>11</v>
      </c>
      <c r="L4" s="82" t="s">
        <v>15</v>
      </c>
      <c r="M4" s="82" t="s">
        <v>13</v>
      </c>
      <c r="N4" s="82" t="s">
        <v>138</v>
      </c>
      <c r="O4" s="82" t="s">
        <v>139</v>
      </c>
      <c r="P4" s="82" t="s">
        <v>140</v>
      </c>
      <c r="Q4" s="82" t="s">
        <v>141</v>
      </c>
      <c r="R4" s="82" t="s">
        <v>142</v>
      </c>
      <c r="S4" s="82" t="s">
        <v>143</v>
      </c>
      <c r="T4" s="82" t="s">
        <v>144</v>
      </c>
      <c r="U4" s="82" t="s">
        <v>145</v>
      </c>
      <c r="V4" s="75" t="s">
        <v>58</v>
      </c>
      <c r="X4" s="32" t="s">
        <v>146</v>
      </c>
      <c r="Z4" s="39" t="s">
        <v>147</v>
      </c>
      <c r="AB4" s="35" t="s">
        <v>148</v>
      </c>
      <c r="AD4" t="s">
        <v>149</v>
      </c>
    </row>
    <row r="5" spans="2:32">
      <c r="B5" s="299" t="s">
        <v>30</v>
      </c>
      <c r="C5" s="300" t="s">
        <v>31</v>
      </c>
      <c r="D5" s="30">
        <f>SMALL(Tabell7[1],1)</f>
        <v>0</v>
      </c>
      <c r="E5" s="30">
        <f>SMALL(Tabell7[2],1)</f>
        <v>1</v>
      </c>
      <c r="F5" s="30">
        <f>SMALL(Tabell7[3],1)</f>
        <v>1</v>
      </c>
      <c r="G5" s="30">
        <f>SMALL(Tabell7[4],1)</f>
        <v>1</v>
      </c>
      <c r="H5" s="30">
        <f>SMALL(Tabell7[5],1)</f>
        <v>1</v>
      </c>
      <c r="I5" s="30">
        <f>SMALL(Tabell7[6],1)</f>
        <v>0</v>
      </c>
      <c r="J5" s="30">
        <f>SMALL(Tabell7[7],1)</f>
        <v>1</v>
      </c>
      <c r="K5" s="30">
        <f>SMALL(Tabell7[8],1)</f>
        <v>0</v>
      </c>
      <c r="L5" s="30">
        <f>SMALL(Tabell7[9],1)</f>
        <v>0</v>
      </c>
      <c r="M5" s="30">
        <f>SMALL(Tabell7[10],1)</f>
        <v>0</v>
      </c>
      <c r="N5" s="30">
        <f>SMALL(Tabell7[11],1)</f>
        <v>1</v>
      </c>
      <c r="O5" s="30">
        <f>SMALL(Tabell7[12],1)</f>
        <v>1</v>
      </c>
      <c r="P5" s="30">
        <f>SMALL(Tabell7[13],1)</f>
        <v>0</v>
      </c>
      <c r="Q5" s="30">
        <f>SMALL(Tabell7[14],1)</f>
        <v>1</v>
      </c>
      <c r="R5" s="30">
        <f>SMALL(Tabell7[15],1)</f>
        <v>0</v>
      </c>
      <c r="S5" s="30">
        <f>SMALL(Tabell7[16],1)</f>
        <v>1</v>
      </c>
      <c r="T5" s="30">
        <f>SMALL(Tabell7[17],1)</f>
        <v>1</v>
      </c>
      <c r="U5" s="30">
        <f>SMALL(Tabell7[18],1)</f>
        <v>0</v>
      </c>
      <c r="V5" s="76">
        <f t="shared" ref="V5:V18" si="0">SUM(D5:U5)</f>
        <v>10</v>
      </c>
      <c r="X5" s="137">
        <f>72+Tabell5[[#This Row],[Tot]]</f>
        <v>82</v>
      </c>
      <c r="Z5" s="39">
        <f>RANK(X5,Tabell42[Score],1)</f>
        <v>10</v>
      </c>
      <c r="AB5" s="35">
        <f>X5-SMALL(X5:X21,1)</f>
        <v>13</v>
      </c>
      <c r="AD5" s="106">
        <v>79</v>
      </c>
      <c r="AF5" s="73">
        <f>Tabell42[[#This Row],[Score]]-Tabell62[[#This Row],[Bästa]]</f>
        <v>3</v>
      </c>
    </row>
    <row r="6" spans="2:32">
      <c r="B6" s="4" t="s">
        <v>28</v>
      </c>
      <c r="C6" s="5" t="s">
        <v>29</v>
      </c>
      <c r="D6" s="30">
        <f>SMALL(Tabell714[1],1)</f>
        <v>0</v>
      </c>
      <c r="E6" s="30">
        <f>SMALL(Tabell714[2],1)</f>
        <v>0</v>
      </c>
      <c r="F6" s="30">
        <f>SMALL(Tabell714[3],1)</f>
        <v>1</v>
      </c>
      <c r="G6" s="30">
        <f>SMALL(Tabell714[4],1)</f>
        <v>0</v>
      </c>
      <c r="H6" s="30">
        <f>SMALL(Tabell714[5],1)</f>
        <v>0</v>
      </c>
      <c r="I6" s="30">
        <f>SMALL(Tabell714[6],1)</f>
        <v>0</v>
      </c>
      <c r="J6" s="30">
        <f>SMALL(Tabell714[7],1)</f>
        <v>0</v>
      </c>
      <c r="K6" s="30">
        <f>SMALL(Tabell714[8],1)</f>
        <v>0</v>
      </c>
      <c r="L6" s="30">
        <f>SMALL(Tabell714[9],1)</f>
        <v>1</v>
      </c>
      <c r="M6" s="30">
        <f>SMALL(Tabell714[10],1)</f>
        <v>1</v>
      </c>
      <c r="N6" s="30">
        <f>SMALL(Tabell714[11],1)</f>
        <v>0</v>
      </c>
      <c r="O6" s="30">
        <f>SMALL(Tabell714[12],1)</f>
        <v>0</v>
      </c>
      <c r="P6" s="30">
        <f>SMALL(Tabell714[13],1)</f>
        <v>0</v>
      </c>
      <c r="Q6" s="30">
        <f>SMALL(Tabell714[14],1)</f>
        <v>1</v>
      </c>
      <c r="R6" s="30">
        <f>SMALL(Tabell714[15],1)</f>
        <v>1</v>
      </c>
      <c r="S6" s="30">
        <f>SMALL(Tabell714[16],1)</f>
        <v>-1</v>
      </c>
      <c r="T6" s="30">
        <f>SMALL(Tabell714[17],1)</f>
        <v>-1</v>
      </c>
      <c r="U6" s="30">
        <f>SMALL(Tabell714[18],1)</f>
        <v>0</v>
      </c>
      <c r="V6" s="77">
        <f t="shared" si="0"/>
        <v>3</v>
      </c>
      <c r="X6" s="137">
        <f>72+Tabell5[[#This Row],[Tot]]</f>
        <v>75</v>
      </c>
      <c r="Z6" s="39">
        <f>RANK(X6,Tabell42[Score],1)</f>
        <v>4</v>
      </c>
      <c r="AB6" s="35">
        <f>X6-SMALL(X5:X21,1)</f>
        <v>6</v>
      </c>
      <c r="AD6" s="107">
        <v>70</v>
      </c>
      <c r="AF6" s="73">
        <f>Tabell42[[#This Row],[Score]]-Tabell62[[#This Row],[Bästa]]</f>
        <v>5</v>
      </c>
    </row>
    <row r="7" spans="2:32">
      <c r="B7" s="4" t="s">
        <v>26</v>
      </c>
      <c r="C7" s="5" t="s">
        <v>27</v>
      </c>
      <c r="D7" s="30">
        <f>SMALL(Tabell71415[1],1)</f>
        <v>0</v>
      </c>
      <c r="E7" s="30">
        <f>SMALL(Tabell71415[2],1)</f>
        <v>0</v>
      </c>
      <c r="F7" s="30">
        <f>SMALL(Tabell71415[3],1)</f>
        <v>0</v>
      </c>
      <c r="G7" s="30">
        <f>SMALL(Tabell71415[4],1)</f>
        <v>0</v>
      </c>
      <c r="H7" s="30">
        <f>SMALL(Tabell71415[5],1)</f>
        <v>0</v>
      </c>
      <c r="I7" s="30">
        <f>SMALL(Tabell71415[6],1)</f>
        <v>0</v>
      </c>
      <c r="J7" s="30">
        <f>SMALL(Tabell71415[7],1)</f>
        <v>0</v>
      </c>
      <c r="K7" s="30">
        <f>SMALL(Tabell71415[8],1)</f>
        <v>0</v>
      </c>
      <c r="L7" s="30">
        <f>SMALL(Tabell71415[9],1)</f>
        <v>1</v>
      </c>
      <c r="M7" s="30">
        <f>SMALL(Tabell71415[10],1)</f>
        <v>-1</v>
      </c>
      <c r="N7" s="30">
        <f>SMALL(Tabell71415[11],1)</f>
        <v>0</v>
      </c>
      <c r="O7" s="30">
        <f>SMALL(Tabell71415[12],1)</f>
        <v>0</v>
      </c>
      <c r="P7" s="30">
        <f>SMALL(Tabell71415[13],1)</f>
        <v>0</v>
      </c>
      <c r="Q7" s="30">
        <f>SMALL(Tabell71415[14],1)</f>
        <v>1</v>
      </c>
      <c r="R7" s="30">
        <f>SMALL(Tabell71415[15],1)</f>
        <v>-1</v>
      </c>
      <c r="S7" s="30">
        <f>SMALL(Tabell71415[16],1)</f>
        <v>1</v>
      </c>
      <c r="T7" s="30">
        <f>SMALL(Tabell71415[17],1)</f>
        <v>0</v>
      </c>
      <c r="U7" s="30">
        <f>SMALL(Tabell71415[18],1)</f>
        <v>0</v>
      </c>
      <c r="V7" s="77">
        <f t="shared" si="0"/>
        <v>1</v>
      </c>
      <c r="X7" s="137">
        <f>72+Tabell5[[#This Row],[Tot]]</f>
        <v>73</v>
      </c>
      <c r="Z7" s="39">
        <f>RANK(X7,Tabell42[Score],1)</f>
        <v>2</v>
      </c>
      <c r="AB7" s="35">
        <f>X7-SMALL(X5:X21,1)</f>
        <v>4</v>
      </c>
      <c r="AD7" s="107">
        <v>72</v>
      </c>
      <c r="AF7" s="73">
        <f>Tabell42[[#This Row],[Score]]-Tabell62[[#This Row],[Bästa]]</f>
        <v>1</v>
      </c>
    </row>
    <row r="8" spans="2:32">
      <c r="B8" s="4" t="s">
        <v>32</v>
      </c>
      <c r="C8" s="5" t="s">
        <v>33</v>
      </c>
      <c r="D8" s="30">
        <f>SMALL(Tabell7141520[1],1)</f>
        <v>0</v>
      </c>
      <c r="E8" s="30">
        <f>SMALL(Tabell7141520[2],1)</f>
        <v>1</v>
      </c>
      <c r="F8" s="30">
        <f>SMALL(Tabell7141520[3],1)</f>
        <v>1</v>
      </c>
      <c r="G8" s="30">
        <f>SMALL(Tabell7141520[4],1)</f>
        <v>0</v>
      </c>
      <c r="H8" s="30">
        <f>SMALL(Tabell7141520[5],1)</f>
        <v>0</v>
      </c>
      <c r="I8" s="30">
        <f>SMALL(Tabell7141520[6],1)</f>
        <v>1</v>
      </c>
      <c r="J8" s="30">
        <f>SMALL(Tabell7141520[7],1)</f>
        <v>0</v>
      </c>
      <c r="K8" s="30">
        <f>SMALL(Tabell7141520[8],1)</f>
        <v>0</v>
      </c>
      <c r="L8" s="30">
        <f>SMALL(Tabell7141520[9],1)</f>
        <v>1</v>
      </c>
      <c r="M8" s="30">
        <f>SMALL(Tabell7141520[10],1)</f>
        <v>1</v>
      </c>
      <c r="N8" s="30">
        <f>SMALL(Tabell7141520[11],1)</f>
        <v>1</v>
      </c>
      <c r="O8" s="30">
        <f>SMALL(Tabell7141520[12],1)</f>
        <v>0</v>
      </c>
      <c r="P8" s="30">
        <f>SMALL(Tabell7141520[13],1)</f>
        <v>0</v>
      </c>
      <c r="Q8" s="30">
        <f>SMALL(Tabell7141520[14],1)</f>
        <v>1</v>
      </c>
      <c r="R8" s="30">
        <f>SMALL(Tabell7141520[15],1)</f>
        <v>1</v>
      </c>
      <c r="S8" s="30">
        <f>SMALL(Tabell7141520[16],1)</f>
        <v>1</v>
      </c>
      <c r="T8" s="30">
        <f>SMALL(Tabell7141520[17],1)</f>
        <v>0</v>
      </c>
      <c r="U8" s="30">
        <f>SMALL(Tabell7141520[18],1)</f>
        <v>0</v>
      </c>
      <c r="V8" s="77">
        <f t="shared" si="0"/>
        <v>9</v>
      </c>
      <c r="X8" s="137">
        <f>72+Tabell5[[#This Row],[Tot]]</f>
        <v>81</v>
      </c>
      <c r="Z8" s="39">
        <f>RANK(X8,Tabell42[Score],1)</f>
        <v>9</v>
      </c>
      <c r="AB8" s="35">
        <f>X8-SMALL(X5:X21,1)</f>
        <v>12</v>
      </c>
      <c r="AD8" s="107">
        <v>74</v>
      </c>
      <c r="AF8" s="73">
        <f>Tabell42[[#This Row],[Score]]-Tabell62[[#This Row],[Bästa]]</f>
        <v>7</v>
      </c>
    </row>
    <row r="9" spans="2:32">
      <c r="B9" s="4" t="s">
        <v>37</v>
      </c>
      <c r="C9" s="5" t="s">
        <v>38</v>
      </c>
      <c r="D9" s="30">
        <f>SMALL(Tabell714152021[1],1)</f>
        <v>1</v>
      </c>
      <c r="E9" s="30">
        <f>SMALL(Tabell714152021[2],1)</f>
        <v>2</v>
      </c>
      <c r="F9" s="30">
        <f>SMALL(Tabell714152021[3],1)</f>
        <v>2</v>
      </c>
      <c r="G9" s="30">
        <f>SMALL(Tabell714152021[4],1)</f>
        <v>1</v>
      </c>
      <c r="H9" s="30">
        <f>SMALL(Tabell714152021[5],1)</f>
        <v>1</v>
      </c>
      <c r="I9" s="30">
        <f>SMALL(Tabell714152021[6],1)</f>
        <v>2</v>
      </c>
      <c r="J9" s="30">
        <f>SMALL(Tabell714152021[7],1)</f>
        <v>2</v>
      </c>
      <c r="K9" s="30">
        <f>SMALL(Tabell714152021[8],1)</f>
        <v>1</v>
      </c>
      <c r="L9" s="30">
        <f>SMALL(Tabell714152021[9],1)</f>
        <v>1</v>
      </c>
      <c r="M9" s="30">
        <f>SMALL(Tabell714152021[10],1)</f>
        <v>1</v>
      </c>
      <c r="N9" s="30">
        <f>SMALL(Tabell714152021[11],1)</f>
        <v>1</v>
      </c>
      <c r="O9" s="30">
        <f>SMALL(Tabell714152021[12],1)</f>
        <v>0</v>
      </c>
      <c r="P9" s="30">
        <f>SMALL(Tabell714152021[13],1)</f>
        <v>1</v>
      </c>
      <c r="Q9" s="30">
        <f>SMALL(Tabell714152021[14],1)</f>
        <v>1</v>
      </c>
      <c r="R9" s="30">
        <f>SMALL(Tabell714152021[15],1)</f>
        <v>2</v>
      </c>
      <c r="S9" s="30">
        <f>SMALL(Tabell714152021[16],1)</f>
        <v>3</v>
      </c>
      <c r="T9" s="30">
        <f>SMALL(Tabell714152021[17],1)</f>
        <v>1</v>
      </c>
      <c r="U9" s="30">
        <f>SMALL(Tabell714152021[18],1)</f>
        <v>1</v>
      </c>
      <c r="V9" s="77">
        <f t="shared" si="0"/>
        <v>24</v>
      </c>
      <c r="X9" s="137">
        <f>72+Tabell5[[#This Row],[Tot]]</f>
        <v>96</v>
      </c>
      <c r="Z9" s="39">
        <f>RANK(X9,Tabell42[Score],1)</f>
        <v>16</v>
      </c>
      <c r="AB9" s="35">
        <f>X9-SMALL(X5:X21,1)</f>
        <v>27</v>
      </c>
      <c r="AD9" s="107">
        <v>73</v>
      </c>
      <c r="AF9" s="73">
        <f>Tabell42[[#This Row],[Score]]-Tabell62[[#This Row],[Bästa]]</f>
        <v>23</v>
      </c>
    </row>
    <row r="10" spans="2:32">
      <c r="B10" s="4" t="s">
        <v>42</v>
      </c>
      <c r="C10" s="5" t="s">
        <v>27</v>
      </c>
      <c r="D10" s="30">
        <f>SMALL(Tabell71415202134[1],1)</f>
        <v>1</v>
      </c>
      <c r="E10" s="30">
        <f>SMALL(Tabell71415202134[2],1)</f>
        <v>1</v>
      </c>
      <c r="F10" s="30">
        <f>SMALL(Tabell71415202134[3],1)</f>
        <v>1</v>
      </c>
      <c r="G10" s="30">
        <f>SMALL(Tabell71415202134[4],1)</f>
        <v>1</v>
      </c>
      <c r="H10" s="30">
        <f>SMALL(Tabell71415202134[5],1)</f>
        <v>1</v>
      </c>
      <c r="I10" s="30">
        <f>SMALL(Tabell71415202134[6],1)</f>
        <v>1</v>
      </c>
      <c r="J10" s="30">
        <f>SMALL(Tabell71415202134[7],1)</f>
        <v>1</v>
      </c>
      <c r="K10" s="30">
        <f>SMALL(Tabell71415202134[8],1)</f>
        <v>-1</v>
      </c>
      <c r="L10" s="30">
        <f>SMALL(Tabell71415202134[9],1)</f>
        <v>1</v>
      </c>
      <c r="M10" s="30">
        <f>SMALL(Tabell71415202134[10],1)</f>
        <v>0</v>
      </c>
      <c r="N10" s="30">
        <f>SMALL(Tabell71415202134[11],1)</f>
        <v>0</v>
      </c>
      <c r="O10" s="30">
        <f>SMALL(Tabell71415202134[12],1)</f>
        <v>1</v>
      </c>
      <c r="P10" s="30">
        <f>SMALL(Tabell71415202134[13],1)</f>
        <v>1</v>
      </c>
      <c r="Q10" s="30">
        <f>SMALL(Tabell71415202134[14],1)</f>
        <v>0</v>
      </c>
      <c r="R10" s="30">
        <f>SMALL(Tabell71415202134[15],1)</f>
        <v>1</v>
      </c>
      <c r="S10" s="30">
        <f>SMALL(Tabell71415202134[16],1)</f>
        <v>1</v>
      </c>
      <c r="T10" s="30">
        <f>SMALL(Tabell71415202134[17],1)</f>
        <v>1</v>
      </c>
      <c r="U10" s="30">
        <f>SMALL(Tabell71415202134[18],1)</f>
        <v>0</v>
      </c>
      <c r="V10" s="77">
        <f t="shared" si="0"/>
        <v>12</v>
      </c>
      <c r="X10" s="137">
        <f>72+Tabell5[[#This Row],[Tot]]</f>
        <v>84</v>
      </c>
      <c r="Z10" s="39">
        <f>RANK(X10,Tabell42[Score],1)</f>
        <v>11</v>
      </c>
      <c r="AB10" s="35">
        <f>X10-SMALL(X5:X21,1)</f>
        <v>15</v>
      </c>
      <c r="AD10" s="107">
        <v>79</v>
      </c>
      <c r="AF10" s="73">
        <f>Tabell42[[#This Row],[Score]]-Tabell62[[#This Row],[Bästa]]</f>
        <v>5</v>
      </c>
    </row>
    <row r="11" spans="2:32">
      <c r="B11" s="4" t="s">
        <v>22</v>
      </c>
      <c r="C11" s="5" t="s">
        <v>23</v>
      </c>
      <c r="D11" s="30">
        <f>SMALL(Tabell7141520213435[1],1)</f>
        <v>1</v>
      </c>
      <c r="E11" s="30">
        <f>SMALL(Tabell7141520213435[2],1)</f>
        <v>0</v>
      </c>
      <c r="F11" s="30">
        <f>SMALL(Tabell7141520213435[3],1)</f>
        <v>0</v>
      </c>
      <c r="G11" s="30">
        <f>SMALL(Tabell7141520213435[4],1)</f>
        <v>0</v>
      </c>
      <c r="H11" s="30">
        <f>SMALL(Tabell7141520213435[5],1)</f>
        <v>0</v>
      </c>
      <c r="I11" s="30">
        <f>SMALL(Tabell7141520213435[6],1)</f>
        <v>0</v>
      </c>
      <c r="J11" s="30">
        <f>SMALL(Tabell7141520213435[7],1)</f>
        <v>0</v>
      </c>
      <c r="K11" s="30">
        <f>SMALL(Tabell7141520213435[8],1)</f>
        <v>0</v>
      </c>
      <c r="L11" s="30">
        <f>SMALL(Tabell7141520213435[9],1)</f>
        <v>0</v>
      </c>
      <c r="M11" s="30">
        <f>SMALL(Tabell7141520213435[10],1)</f>
        <v>0</v>
      </c>
      <c r="N11" s="30">
        <f>SMALL(Tabell7141520213435[11],1)</f>
        <v>0</v>
      </c>
      <c r="O11" s="30">
        <f>SMALL(Tabell7141520213435[12],1)</f>
        <v>1</v>
      </c>
      <c r="P11" s="30">
        <f>SMALL(Tabell7141520213435[13],1)</f>
        <v>0</v>
      </c>
      <c r="Q11" s="30">
        <f>SMALL(Tabell7141520213435[14],1)</f>
        <v>1</v>
      </c>
      <c r="R11" s="30">
        <f>SMALL(Tabell7141520213435[15],1)</f>
        <v>1</v>
      </c>
      <c r="S11" s="30">
        <f>SMALL(Tabell7141520213435[16],1)</f>
        <v>1</v>
      </c>
      <c r="T11" s="30">
        <f>SMALL(Tabell7141520213435[17],1)</f>
        <v>0</v>
      </c>
      <c r="U11" s="30">
        <f>SMALL(Tabell7141520213435[18],1)</f>
        <v>0</v>
      </c>
      <c r="V11" s="77">
        <f t="shared" si="0"/>
        <v>5</v>
      </c>
      <c r="X11" s="137">
        <f>72+Tabell5[[#This Row],[Tot]]</f>
        <v>77</v>
      </c>
      <c r="Z11" s="39">
        <f>RANK(X11,Tabell42[Score],1)</f>
        <v>6</v>
      </c>
      <c r="AB11" s="35">
        <f>X11-SMALL(X15:X19,1)</f>
        <v>8</v>
      </c>
      <c r="AD11" s="107">
        <v>69</v>
      </c>
      <c r="AF11" s="73">
        <f>Tabell42[[#This Row],[Score]]-Tabell62[[#This Row],[Bästa]]</f>
        <v>8</v>
      </c>
    </row>
    <row r="12" spans="2:32">
      <c r="B12" s="4" t="s">
        <v>24</v>
      </c>
      <c r="C12" s="5" t="s">
        <v>25</v>
      </c>
      <c r="D12" s="30">
        <f>SMALL(Tabell714152021343536[1],1)</f>
        <v>3</v>
      </c>
      <c r="E12" s="30">
        <f>SMALL(Tabell714152021343536[2],1)</f>
        <v>1</v>
      </c>
      <c r="F12" s="30">
        <f>SMALL(Tabell714152021343536[3],1)</f>
        <v>1</v>
      </c>
      <c r="G12" s="30">
        <f>SMALL(Tabell714152021343536[4],1)</f>
        <v>2</v>
      </c>
      <c r="H12" s="30">
        <f>SMALL(Tabell714152021343536[5],1)</f>
        <v>1</v>
      </c>
      <c r="I12" s="30">
        <f>SMALL(Tabell714152021343536[6],1)</f>
        <v>0</v>
      </c>
      <c r="J12" s="30">
        <f>SMALL(Tabell714152021343536[7],1)</f>
        <v>2</v>
      </c>
      <c r="K12" s="30">
        <f>SMALL(Tabell714152021343536[8],1)</f>
        <v>0</v>
      </c>
      <c r="L12" s="30">
        <f>SMALL(Tabell714152021343536[9],1)</f>
        <v>1</v>
      </c>
      <c r="M12" s="30">
        <f>SMALL(Tabell714152021343536[10],1)</f>
        <v>1</v>
      </c>
      <c r="N12" s="30">
        <f>SMALL(Tabell714152021343536[11],1)</f>
        <v>2</v>
      </c>
      <c r="O12" s="30">
        <f>SMALL(Tabell714152021343536[12],1)</f>
        <v>2</v>
      </c>
      <c r="P12" s="30">
        <f>SMALL(Tabell714152021343536[13],1)</f>
        <v>5</v>
      </c>
      <c r="Q12" s="30">
        <f>SMALL(Tabell714152021343536[14],1)</f>
        <v>2</v>
      </c>
      <c r="R12" s="30">
        <f>SMALL(Tabell714152021343536[15],1)</f>
        <v>2</v>
      </c>
      <c r="S12" s="30">
        <f>SMALL(Tabell714152021343536[16],1)</f>
        <v>2</v>
      </c>
      <c r="T12" s="30">
        <f>SMALL(Tabell714152021343536[17],1)</f>
        <v>5</v>
      </c>
      <c r="U12" s="30">
        <f>SMALL(Tabell714152021343536[18],1)</f>
        <v>1</v>
      </c>
      <c r="V12" s="77">
        <f t="shared" si="0"/>
        <v>33</v>
      </c>
      <c r="X12" s="137">
        <f>72+Tabell5[[#This Row],[Tot]]</f>
        <v>105</v>
      </c>
      <c r="Z12" s="39">
        <f>RANK(X12,Tabell42[Score],1)</f>
        <v>17</v>
      </c>
      <c r="AB12" s="35">
        <f>X12-SMALL(X5:X21,1)</f>
        <v>36</v>
      </c>
      <c r="AD12" s="107">
        <v>74</v>
      </c>
      <c r="AF12" s="73">
        <f>Tabell42[[#This Row],[Score]]-Tabell62[[#This Row],[Bästa]]</f>
        <v>31</v>
      </c>
    </row>
    <row r="13" spans="2:32">
      <c r="B13" s="4" t="s">
        <v>35</v>
      </c>
      <c r="C13" s="5" t="s">
        <v>36</v>
      </c>
      <c r="D13" s="30">
        <f>SMALL(Tabell71415202134353637[1],1)</f>
        <v>1</v>
      </c>
      <c r="E13" s="30">
        <f>SMALL(Tabell71415202134353637[2],1)</f>
        <v>0</v>
      </c>
      <c r="F13" s="30">
        <f>SMALL(Tabell71415202134353637[3],1)</f>
        <v>1</v>
      </c>
      <c r="G13" s="30">
        <f>SMALL(Tabell71415202134353637[4],1)</f>
        <v>1</v>
      </c>
      <c r="H13" s="30">
        <f>SMALL(Tabell71415202134353637[5],1)</f>
        <v>1</v>
      </c>
      <c r="I13" s="30">
        <f>SMALL(Tabell71415202134353637[6],1)</f>
        <v>1</v>
      </c>
      <c r="J13" s="30">
        <f>SMALL(Tabell71415202134353637[7],1)</f>
        <v>0</v>
      </c>
      <c r="K13" s="30">
        <f>SMALL(Tabell71415202134353637[8],1)</f>
        <v>0</v>
      </c>
      <c r="L13" s="30">
        <f>SMALL(Tabell71415202134353637[9],1)</f>
        <v>1</v>
      </c>
      <c r="M13" s="30">
        <f>SMALL(Tabell71415202134353637[10],1)</f>
        <v>1</v>
      </c>
      <c r="N13" s="30">
        <f>SMALL(Tabell71415202134353637[11],1)</f>
        <v>0</v>
      </c>
      <c r="O13" s="30">
        <f>SMALL(Tabell71415202134353637[12],1)</f>
        <v>1</v>
      </c>
      <c r="P13" s="30">
        <f>SMALL(Tabell71415202134353637[13],1)</f>
        <v>0</v>
      </c>
      <c r="Q13" s="30">
        <f>SMALL(Tabell71415202134353637[14],1)</f>
        <v>0</v>
      </c>
      <c r="R13" s="30">
        <f>SMALL(Tabell71415202134353637[15],1)</f>
        <v>1</v>
      </c>
      <c r="S13" s="30">
        <f>SMALL(Tabell71415202134353637[16],1)</f>
        <v>2</v>
      </c>
      <c r="T13" s="30">
        <f>SMALL(Tabell71415202134353637[17],1)</f>
        <v>1</v>
      </c>
      <c r="U13" s="30">
        <f>SMALL(Tabell71415202134353637[18],1)</f>
        <v>1</v>
      </c>
      <c r="V13" s="77">
        <f t="shared" si="0"/>
        <v>13</v>
      </c>
      <c r="X13" s="137">
        <f>72+Tabell5[[#This Row],[Tot]]</f>
        <v>85</v>
      </c>
      <c r="Z13" s="39">
        <f>RANK(X13,Tabell42[Score],1)</f>
        <v>14</v>
      </c>
      <c r="AB13" s="35">
        <f>X13-SMALL(X5:X21,1)</f>
        <v>16</v>
      </c>
      <c r="AD13" s="107">
        <v>80</v>
      </c>
      <c r="AF13" s="73">
        <f>Tabell42[[#This Row],[Score]]-Tabell62[[#This Row],[Bästa]]</f>
        <v>5</v>
      </c>
    </row>
    <row r="14" spans="2:32">
      <c r="B14" s="4" t="s">
        <v>32</v>
      </c>
      <c r="C14" s="5" t="s">
        <v>41</v>
      </c>
      <c r="D14" s="30">
        <f>SMALL(Tabell7141520213435363738[1],1)</f>
        <v>1</v>
      </c>
      <c r="E14" s="30">
        <f>SMALL(Tabell7141520213435363738[2],1)</f>
        <v>0</v>
      </c>
      <c r="F14" s="30">
        <f>SMALL(Tabell7141520213435363738[3],1)</f>
        <v>2</v>
      </c>
      <c r="G14" s="30">
        <f>SMALL(Tabell7141520213435363738[4],1)</f>
        <v>1</v>
      </c>
      <c r="H14" s="30">
        <f>SMALL(Tabell7141520213435363738[5],1)</f>
        <v>0</v>
      </c>
      <c r="I14" s="30">
        <f>SMALL(Tabell7141520213435363738[6],1)</f>
        <v>0</v>
      </c>
      <c r="J14" s="30">
        <f>SMALL(Tabell7141520213435363738[7],1)</f>
        <v>0</v>
      </c>
      <c r="K14" s="30">
        <f>SMALL(Tabell7141520213435363738[8],1)</f>
        <v>1</v>
      </c>
      <c r="L14" s="30">
        <f>SMALL(Tabell7141520213435363738[9],1)</f>
        <v>1</v>
      </c>
      <c r="M14" s="30">
        <f>SMALL(Tabell7141520213435363738[10],1)</f>
        <v>2</v>
      </c>
      <c r="N14" s="30">
        <f>SMALL(Tabell7141520213435363738[11],1)</f>
        <v>0</v>
      </c>
      <c r="O14" s="30">
        <f>SMALL(Tabell7141520213435363738[12],1)</f>
        <v>2</v>
      </c>
      <c r="P14" s="30">
        <f>SMALL(Tabell7141520213435363738[13],1)</f>
        <v>1</v>
      </c>
      <c r="Q14" s="30">
        <f>SMALL(Tabell7141520213435363738[14],1)</f>
        <v>1</v>
      </c>
      <c r="R14" s="30">
        <f>SMALL(Tabell7141520213435363738[15],1)</f>
        <v>0</v>
      </c>
      <c r="S14" s="30">
        <f>SMALL(Tabell7141520213435363738[16],1)</f>
        <v>1</v>
      </c>
      <c r="T14" s="30">
        <f>SMALL(Tabell7141520213435363738[17],1)</f>
        <v>1</v>
      </c>
      <c r="U14" s="30">
        <f>SMALL(Tabell7141520213435363738[18],1)</f>
        <v>1</v>
      </c>
      <c r="V14" s="77">
        <f t="shared" si="0"/>
        <v>15</v>
      </c>
      <c r="X14" s="137">
        <f>72+Tabell5[[#This Row],[Tot]]</f>
        <v>87</v>
      </c>
      <c r="Z14" s="39">
        <f>RANK(X14,Tabell42[Score],1)</f>
        <v>15</v>
      </c>
      <c r="AB14" s="35">
        <f>X14-SMALL(X5:X21,1)</f>
        <v>18</v>
      </c>
      <c r="AD14" s="107">
        <v>80</v>
      </c>
      <c r="AF14" s="73">
        <f>Tabell42[[#This Row],[Score]]-Tabell62[[#This Row],[Bästa]]</f>
        <v>7</v>
      </c>
    </row>
    <row r="15" spans="2:32" hidden="1">
      <c r="B15" s="4" t="s">
        <v>150</v>
      </c>
      <c r="C15" s="5" t="s">
        <v>151</v>
      </c>
      <c r="D15" s="30">
        <f>SMALL(Tabell714152021343536373839[1],1)</f>
        <v>0</v>
      </c>
      <c r="E15" s="30">
        <f>SMALL(Tabell714152021343536373839[2],1)</f>
        <v>0</v>
      </c>
      <c r="F15" s="30">
        <f>SMALL(Tabell714152021343536373839[3],1)</f>
        <v>1</v>
      </c>
      <c r="G15" s="30">
        <f>SMALL(Tabell714152021343536373839[4],1)</f>
        <v>1</v>
      </c>
      <c r="H15" s="30">
        <f>SMALL(Tabell714152021343536373839[5],1)</f>
        <v>0</v>
      </c>
      <c r="I15" s="30">
        <f>SMALL(Tabell714152021343536373839[6],1)</f>
        <v>1</v>
      </c>
      <c r="J15" s="30">
        <f>SMALL(Tabell714152021343536373839[7],1)</f>
        <v>1</v>
      </c>
      <c r="K15" s="30">
        <f>SMALL(Tabell714152021343536373839[8],1)</f>
        <v>0</v>
      </c>
      <c r="L15" s="30">
        <f>SMALL(Tabell714152021343536373839[9],1)</f>
        <v>1</v>
      </c>
      <c r="M15" s="30">
        <f>SMALL(Tabell714152021343536373839[10],1)</f>
        <v>1</v>
      </c>
      <c r="N15" s="30">
        <f>SMALL(Tabell714152021343536373839[11],1)</f>
        <v>1</v>
      </c>
      <c r="O15" s="30">
        <f>SMALL(Tabell714152021343536373839[12],1)</f>
        <v>1</v>
      </c>
      <c r="P15" s="30">
        <f>SMALL(Tabell714152021343536373839[13],1)</f>
        <v>1</v>
      </c>
      <c r="Q15" s="30">
        <f>SMALL(Tabell714152021343536373839[14],1)</f>
        <v>1</v>
      </c>
      <c r="R15" s="30">
        <f>SMALL(Tabell714152021343536373839[15],1)</f>
        <v>0</v>
      </c>
      <c r="S15" s="30">
        <f>SMALL(Tabell714152021343536373839[16],1)</f>
        <v>1</v>
      </c>
      <c r="T15" s="30">
        <f>SMALL(Tabell714152021343536373839[17],1)</f>
        <v>1</v>
      </c>
      <c r="U15" s="30">
        <f>SMALL(Tabell714152021343536373839[18],1)</f>
        <v>0</v>
      </c>
      <c r="V15" s="77">
        <f t="shared" si="0"/>
        <v>12</v>
      </c>
      <c r="X15" s="137">
        <f>72+Tabell5[[#This Row],[Tot]]</f>
        <v>84</v>
      </c>
      <c r="Z15" s="39">
        <f>RANK(X15,Tabell42[Score],1)</f>
        <v>11</v>
      </c>
      <c r="AB15" s="35">
        <f>X15-SMALL(X5:X21,1)</f>
        <v>15</v>
      </c>
      <c r="AD15" s="107"/>
      <c r="AF15" s="73">
        <f>Tabell42[[#This Row],[Score]]-Tabell62[[#This Row],[Bästa]]</f>
        <v>84</v>
      </c>
    </row>
    <row r="16" spans="2:32">
      <c r="B16" s="4" t="s">
        <v>20</v>
      </c>
      <c r="C16" s="5" t="s">
        <v>21</v>
      </c>
      <c r="D16" s="30">
        <f>SMALL(Tabell71415202134353637383940[1],1)</f>
        <v>0</v>
      </c>
      <c r="E16" s="30">
        <f>SMALL(Tabell71415202134353637383940[2],1)</f>
        <v>-1</v>
      </c>
      <c r="F16" s="30">
        <f>SMALL(Tabell71415202134353637383940[3],1)</f>
        <v>0</v>
      </c>
      <c r="G16" s="30">
        <f>SMALL(Tabell71415202134353637383940[4],1)</f>
        <v>0</v>
      </c>
      <c r="H16" s="30">
        <f>SMALL(Tabell71415202134353637383940[5],1)</f>
        <v>0</v>
      </c>
      <c r="I16" s="30">
        <f>SMALL(Tabell71415202134353637383940[6],1)</f>
        <v>-1</v>
      </c>
      <c r="J16" s="30">
        <f>SMALL(Tabell71415202134353637383940[7],1)</f>
        <v>0</v>
      </c>
      <c r="K16" s="30">
        <f>SMALL(Tabell71415202134353637383940[8],1)</f>
        <v>-1</v>
      </c>
      <c r="L16" s="30">
        <f>SMALL(Tabell71415202134353637383940[9],1)</f>
        <v>0</v>
      </c>
      <c r="M16" s="30">
        <f>SMALL(Tabell71415202134353637383940[10],1)</f>
        <v>0</v>
      </c>
      <c r="N16" s="30">
        <f>SMALL(Tabell71415202134353637383940[11],1)</f>
        <v>0</v>
      </c>
      <c r="O16" s="30">
        <f>SMALL(Tabell71415202134353637383940[12],1)</f>
        <v>0</v>
      </c>
      <c r="P16" s="30">
        <f>SMALL(Tabell71415202134353637383940[13],1)</f>
        <v>0</v>
      </c>
      <c r="Q16" s="30">
        <f>SMALL(Tabell71415202134353637383940[14],1)</f>
        <v>0</v>
      </c>
      <c r="R16" s="30">
        <f>SMALL(Tabell71415202134353637383940[15],1)</f>
        <v>0</v>
      </c>
      <c r="S16" s="30">
        <f>SMALL(Tabell71415202134353637383940[16],1)</f>
        <v>-1</v>
      </c>
      <c r="T16" s="30">
        <f>SMALL(Tabell71415202134353637383940[17],1)</f>
        <v>0</v>
      </c>
      <c r="U16" s="30">
        <f>SMALL(Tabell71415202134353637383940[18],1)</f>
        <v>1</v>
      </c>
      <c r="V16" s="77">
        <f t="shared" si="0"/>
        <v>-3</v>
      </c>
      <c r="X16" s="137">
        <f>72+Tabell5[[#This Row],[Tot]]</f>
        <v>69</v>
      </c>
      <c r="Z16" s="39">
        <f>RANK(X16,Tabell42[Score],1)</f>
        <v>1</v>
      </c>
      <c r="AB16" s="35">
        <f>X16-SMALL(X5:X21,1)</f>
        <v>0</v>
      </c>
      <c r="AD16" s="107">
        <v>68</v>
      </c>
      <c r="AF16" s="73">
        <f>Tabell42[[#This Row],[Score]]-Tabell62[[#This Row],[Bästa]]</f>
        <v>1</v>
      </c>
    </row>
    <row r="17" spans="2:52">
      <c r="B17" s="4" t="s">
        <v>43</v>
      </c>
      <c r="C17" s="5" t="s">
        <v>44</v>
      </c>
      <c r="D17" s="30">
        <f>SMALL(Tabell714152021343536373839404142[1],1)</f>
        <v>0</v>
      </c>
      <c r="E17" s="30">
        <f>SMALL(Tabell714152021343536373839404142[2],1)</f>
        <v>0</v>
      </c>
      <c r="F17" s="30">
        <f>SMALL(Tabell714152021343536373839404142[3],1)</f>
        <v>-1</v>
      </c>
      <c r="G17" s="30">
        <f>SMALL(Tabell714152021343536373839404142[4],1)</f>
        <v>1</v>
      </c>
      <c r="H17" s="30">
        <f>SMALL(Tabell714152021343536373839404142[5],1)</f>
        <v>-1</v>
      </c>
      <c r="I17" s="30">
        <f>SMALL(Tabell714152021343536373839404142[6],1)</f>
        <v>0</v>
      </c>
      <c r="J17" s="30">
        <f>SMALL(Tabell714152021343536373839404142[7],1)</f>
        <v>0</v>
      </c>
      <c r="K17" s="30">
        <f>SMALL(Tabell714152021343536373839404142[8],1)</f>
        <v>0</v>
      </c>
      <c r="L17" s="30">
        <f>SMALL(Tabell714152021343536373839404142[9],1)</f>
        <v>0</v>
      </c>
      <c r="M17" s="30">
        <f>SMALL(Tabell714152021343536373839404142[10],1)</f>
        <v>1</v>
      </c>
      <c r="N17" s="30">
        <f>SMALL(Tabell714152021343536373839404142[11],1)</f>
        <v>1</v>
      </c>
      <c r="O17" s="30">
        <f>SMALL(Tabell714152021343536373839404142[12],1)</f>
        <v>0</v>
      </c>
      <c r="P17" s="30">
        <f>SMALL(Tabell714152021343536373839404142[13],1)</f>
        <v>1</v>
      </c>
      <c r="Q17" s="30">
        <f>SMALL(Tabell714152021343536373839404142[14],1)</f>
        <v>-1</v>
      </c>
      <c r="R17" s="30">
        <f>SMALL(Tabell714152021343536373839404142[15],1)</f>
        <v>0</v>
      </c>
      <c r="S17" s="30">
        <f>SMALL(Tabell714152021343536373839404142[16],1)</f>
        <v>0</v>
      </c>
      <c r="T17" s="30">
        <f>SMALL(Tabell714152021343536373839404142[17],1)</f>
        <v>0</v>
      </c>
      <c r="U17" s="30">
        <f>SMALL(Tabell714152021343536373839404142[18],1)</f>
        <v>0</v>
      </c>
      <c r="V17" s="77">
        <f t="shared" si="0"/>
        <v>1</v>
      </c>
      <c r="X17" s="137">
        <f>72+Tabell5[[#This Row],[Tot]]</f>
        <v>73</v>
      </c>
      <c r="Z17" s="39">
        <f>RANK(X17,Tabell42[Score],1)</f>
        <v>2</v>
      </c>
      <c r="AB17" s="35">
        <f>X17-SMALL(X6:X19,1)</f>
        <v>4</v>
      </c>
      <c r="AD17" s="107">
        <v>71</v>
      </c>
      <c r="AF17" s="73">
        <f>Tabell42[[#This Row],[Score]]-Tabell62[[#This Row],[Bästa]]</f>
        <v>2</v>
      </c>
      <c r="AG17" s="72" t="s">
        <v>48</v>
      </c>
    </row>
    <row r="18" spans="2:52" ht="15.75" thickBot="1">
      <c r="B18" s="6" t="s">
        <v>39</v>
      </c>
      <c r="C18" s="7" t="s">
        <v>40</v>
      </c>
      <c r="D18" s="30">
        <f>SMALL(Tabell7141520213435363738394041[1],1)</f>
        <v>0</v>
      </c>
      <c r="E18" s="30">
        <f>SMALL(Tabell7141520213435363738394041[2],1)</f>
        <v>1</v>
      </c>
      <c r="F18" s="30">
        <f>SMALL(Tabell7141520213435363738394041[3],1)</f>
        <v>1</v>
      </c>
      <c r="G18" s="30">
        <f>SMALL(Tabell7141520213435363738394041[4],1)</f>
        <v>0</v>
      </c>
      <c r="H18" s="30">
        <f>SMALL(Tabell7141520213435363738394041[5],1)</f>
        <v>0</v>
      </c>
      <c r="I18" s="30">
        <f>SMALL(Tabell7141520213435363738394041[6],1)</f>
        <v>0</v>
      </c>
      <c r="J18" s="30">
        <f>SMALL(Tabell7141520213435363738394041[7],1)</f>
        <v>1</v>
      </c>
      <c r="K18" s="30">
        <f>SMALL(Tabell7141520213435363738394041[8],1)</f>
        <v>0</v>
      </c>
      <c r="L18" s="30">
        <f>SMALL(Tabell7141520213435363738394041[9],1)</f>
        <v>0</v>
      </c>
      <c r="M18" s="30">
        <f>SMALL(Tabell7141520213435363738394041[10],1)</f>
        <v>-1</v>
      </c>
      <c r="N18" s="30">
        <f>SMALL(Tabell7141520213435363738394041[11],1)</f>
        <v>1</v>
      </c>
      <c r="O18" s="30">
        <f>SMALL(Tabell7141520213435363738394041[12],1)</f>
        <v>0</v>
      </c>
      <c r="P18" s="30">
        <f>SMALL(Tabell7141520213435363738394041[13],1)</f>
        <v>1</v>
      </c>
      <c r="Q18" s="30">
        <f>SMALL(Tabell7141520213435363738394041[14],1)</f>
        <v>1</v>
      </c>
      <c r="R18" s="30">
        <f>SMALL(Tabell7141520213435363738394041[15],1)</f>
        <v>0</v>
      </c>
      <c r="S18" s="30">
        <f>SMALL(Tabell7141520213435363738394041[16],1)</f>
        <v>0</v>
      </c>
      <c r="T18" s="30">
        <f>SMALL(Tabell7141520213435363738394041[17],1)</f>
        <v>0</v>
      </c>
      <c r="U18" s="30">
        <f>SMALL(Tabell7141520213435363738394041[18],1)</f>
        <v>0</v>
      </c>
      <c r="V18" s="77">
        <f t="shared" si="0"/>
        <v>5</v>
      </c>
      <c r="X18" s="137">
        <f>SUM(Tabell5[[#This Row],[1]:[18]])+72</f>
        <v>77</v>
      </c>
      <c r="Z18" s="39">
        <f>RANK(X18,Tabell42[Score],1)</f>
        <v>6</v>
      </c>
      <c r="AB18" s="35">
        <f>X18-SMALL(X5:X21,1)</f>
        <v>8</v>
      </c>
      <c r="AD18" s="108">
        <v>72</v>
      </c>
      <c r="AF18" s="73">
        <f>Tabell42[[#This Row],[Score]]-Tabell62[[#This Row],[Bästa]]</f>
        <v>5</v>
      </c>
    </row>
    <row r="19" spans="2:52">
      <c r="B19" s="4" t="s">
        <v>45</v>
      </c>
      <c r="C19" s="5" t="s">
        <v>46</v>
      </c>
      <c r="D19" s="30">
        <f>SMALL(Tabell71415202134353637383940414272[1],1)</f>
        <v>0</v>
      </c>
      <c r="E19" s="30">
        <f>SMALL(Tabell71415202134353637383940414272[2],1)</f>
        <v>1</v>
      </c>
      <c r="F19" s="30">
        <f>SMALL(Tabell71415202134353637383940414272[3],1)</f>
        <v>-1</v>
      </c>
      <c r="G19" s="30">
        <f>SMALL(Tabell71415202134353637383940414272[4],1)</f>
        <v>0</v>
      </c>
      <c r="H19" s="30">
        <f>SMALL(Tabell71415202134353637383940414272[5],1)</f>
        <v>0</v>
      </c>
      <c r="I19" s="30">
        <f>SMALL(Tabell71415202134353637383940414272[6],1)</f>
        <v>1</v>
      </c>
      <c r="J19" s="30">
        <f>SMALL(Tabell71415202134353637383940414272[7],1)</f>
        <v>0</v>
      </c>
      <c r="K19" s="30">
        <f>SMALL(Tabell71415202134353637383940414272[8],1)</f>
        <v>0</v>
      </c>
      <c r="L19" s="30">
        <f>SMALL(Tabell71415202134353637383940414272[9],1)</f>
        <v>0</v>
      </c>
      <c r="M19" s="30">
        <f>SMALL(Tabell71415202134353637383940414272[10],1)</f>
        <v>1</v>
      </c>
      <c r="N19" s="30">
        <f>SMALL(Tabell71415202134353637383940414272[11],1)</f>
        <v>1</v>
      </c>
      <c r="O19" s="30">
        <f>SMALL(Tabell71415202134353637383940414272[12],1)</f>
        <v>0</v>
      </c>
      <c r="P19" s="30">
        <f>SMALL(Tabell71415202134353637383940414272[13],1)</f>
        <v>0</v>
      </c>
      <c r="Q19" s="30">
        <f>SMALL(Tabell71415202134353637383940414272[14],1)</f>
        <v>-1</v>
      </c>
      <c r="R19" s="30">
        <f>SMALL(Tabell71415202134353637383940414272[15],1)</f>
        <v>1</v>
      </c>
      <c r="S19" s="30">
        <f>SMALL(Tabell71415202134353637383940414272[16],1)</f>
        <v>0</v>
      </c>
      <c r="T19" s="30">
        <f>SMALL(Tabell71415202134353637383940414272[17],1)</f>
        <v>0</v>
      </c>
      <c r="U19" s="30">
        <f>SMALL(Tabell71415202134353637383940414272[18],1)</f>
        <v>1</v>
      </c>
      <c r="V19" s="77">
        <f>SUM(D19:U19)</f>
        <v>4</v>
      </c>
      <c r="X19" s="137">
        <f>SUM(Tabell5[[#This Row],[1]:[18]])+72</f>
        <v>76</v>
      </c>
      <c r="Z19" s="39">
        <f>RANK(X19,Tabell42[Score],1)</f>
        <v>5</v>
      </c>
      <c r="AB19" s="35">
        <f>X19-SMALL(X5:X21,1)</f>
        <v>7</v>
      </c>
      <c r="AD19" s="132">
        <v>70</v>
      </c>
      <c r="AF19" s="73">
        <f>Tabell42[[#This Row],[Score]]-Tabell62[[#This Row],[Bästa]]</f>
        <v>6</v>
      </c>
    </row>
    <row r="20" spans="2:52">
      <c r="B20" s="6" t="s">
        <v>20</v>
      </c>
      <c r="C20" s="7" t="s">
        <v>34</v>
      </c>
      <c r="D20" s="30">
        <f>SMALL(Tabell714152021343536373839404142722[1],1)</f>
        <v>0</v>
      </c>
      <c r="E20" s="30">
        <f>SMALL(Tabell714152021343536373839404142722[2],1)</f>
        <v>0</v>
      </c>
      <c r="F20" s="30">
        <f>SMALL(Tabell714152021343536373839404142722[3],1)</f>
        <v>1</v>
      </c>
      <c r="G20" s="30">
        <f>SMALL(Tabell714152021343536373839404142722[4],1)</f>
        <v>1</v>
      </c>
      <c r="H20" s="30">
        <f>SMALL(Tabell714152021343536373839404142722[5],1)</f>
        <v>1</v>
      </c>
      <c r="I20" s="30">
        <f>SMALL(Tabell714152021343536373839404142722[6],1)</f>
        <v>0</v>
      </c>
      <c r="J20" s="30">
        <f>SMALL(Tabell714152021343536373839404142722[7],1)</f>
        <v>0</v>
      </c>
      <c r="K20" s="30">
        <f>SMALL(Tabell714152021343536373839404142722[8],1)</f>
        <v>-1</v>
      </c>
      <c r="L20" s="30">
        <f>SMALL(Tabell714152021343536373839404142722[9],1)</f>
        <v>1</v>
      </c>
      <c r="M20" s="30">
        <f>SMALL(Tabell714152021343536373839404142722[10],1)</f>
        <v>0</v>
      </c>
      <c r="N20" s="30">
        <f>SMALL(Tabell714152021343536373839404142722[11],1)</f>
        <v>1</v>
      </c>
      <c r="O20" s="30">
        <f>SMALL(Tabell714152021343536373839404142722[12],1)</f>
        <v>0</v>
      </c>
      <c r="P20" s="30">
        <f>SMALL(Tabell714152021343536373839404142722[13],1)</f>
        <v>0</v>
      </c>
      <c r="Q20" s="30">
        <f>SMALL(Tabell714152021343536373839404142722[14],1)</f>
        <v>1</v>
      </c>
      <c r="R20" s="30">
        <f>SMALL(Tabell714152021343536373839404142722[15],1)</f>
        <v>0</v>
      </c>
      <c r="S20" s="30">
        <f>SMALL(Tabell714152021343536373839404142722[16],1)</f>
        <v>-1</v>
      </c>
      <c r="T20" s="30">
        <f>SMALL(Tabell714152021343536373839404142722[17],1)</f>
        <v>0</v>
      </c>
      <c r="U20" s="30">
        <f>SMALL(Tabell714152021343536373839404142722[18],1)</f>
        <v>1</v>
      </c>
      <c r="V20" s="147">
        <f>SUM(D20:U20)</f>
        <v>5</v>
      </c>
      <c r="X20" s="137">
        <f>SUM(Tabell5[[#This Row],[1]:[18]])+72</f>
        <v>77</v>
      </c>
      <c r="Z20" s="39">
        <f>RANK(X20,Tabell42[Score],1)</f>
        <v>6</v>
      </c>
      <c r="AB20" s="35">
        <f>X20-SMALL(X6:X23,1)</f>
        <v>8</v>
      </c>
      <c r="AD20" s="132">
        <v>76</v>
      </c>
      <c r="AF20" s="73">
        <f>Tabell42[[#This Row],[Score]]-Tabell62[[#This Row],[Bästa]]</f>
        <v>1</v>
      </c>
    </row>
    <row r="21" spans="2:52">
      <c r="B21" s="6" t="s">
        <v>47</v>
      </c>
      <c r="C21" s="7" t="s">
        <v>27</v>
      </c>
      <c r="D21" s="30">
        <f>SMALL(Tabell714152021343536373839[1],1)</f>
        <v>0</v>
      </c>
      <c r="E21" s="30">
        <f>SMALL(Tabell714152021343536373839[2],1)</f>
        <v>0</v>
      </c>
      <c r="F21" s="30">
        <f>SMALL(Tabell714152021343536373839[3],1)</f>
        <v>1</v>
      </c>
      <c r="G21" s="30">
        <f>SMALL(Tabell714152021343536373839[4],1)</f>
        <v>1</v>
      </c>
      <c r="H21" s="30">
        <f>SMALL(Tabell714152021343536373839[5],1)</f>
        <v>0</v>
      </c>
      <c r="I21" s="30">
        <f>SMALL(Tabell714152021343536373839[6],1)</f>
        <v>1</v>
      </c>
      <c r="J21" s="30">
        <f>SMALL(Tabell714152021343536373839[7],1)</f>
        <v>1</v>
      </c>
      <c r="K21" s="30">
        <f>SMALL(Tabell714152021343536373839[8],1)</f>
        <v>0</v>
      </c>
      <c r="L21" s="30">
        <f>SMALL(Tabell714152021343536373839[9],1)</f>
        <v>1</v>
      </c>
      <c r="M21" s="30">
        <f>SMALL(Tabell714152021343536373839[10],1)</f>
        <v>1</v>
      </c>
      <c r="N21" s="30">
        <f>SMALL(Tabell714152021343536373839[11],1)</f>
        <v>1</v>
      </c>
      <c r="O21" s="30">
        <f>SMALL(Tabell714152021343536373839[12],1)</f>
        <v>1</v>
      </c>
      <c r="P21" s="30">
        <f>SMALL(Tabell714152021343536373839[13],1)</f>
        <v>1</v>
      </c>
      <c r="Q21" s="30">
        <f>SMALL(Tabell714152021343536373839[14],1)</f>
        <v>1</v>
      </c>
      <c r="R21" s="30">
        <f>SMALL(Tabell714152021343536373839[15],1)</f>
        <v>0</v>
      </c>
      <c r="S21" s="30">
        <f>SMALL(Tabell714152021343536373839[16],1)</f>
        <v>1</v>
      </c>
      <c r="T21" s="30">
        <f>SMALL(Tabell714152021343536373839[17],1)</f>
        <v>1</v>
      </c>
      <c r="U21" s="30">
        <f>SMALL(Tabell714152021343536373839[18],1)</f>
        <v>0</v>
      </c>
      <c r="V21" s="77">
        <f>SUM(D21:U21)</f>
        <v>12</v>
      </c>
      <c r="X21" s="137">
        <f>72+V21</f>
        <v>84</v>
      </c>
      <c r="Z21" s="39">
        <f>RANK(X21,Tabell42[Score],1)</f>
        <v>11</v>
      </c>
      <c r="AB21" s="35">
        <f>X21-SMALL(X7:X24,1)</f>
        <v>15</v>
      </c>
      <c r="AD21" s="132">
        <v>87</v>
      </c>
      <c r="AF21" s="73">
        <f>Tabell42[[#This Row],[Score]]-Tabell62[[#This Row],[Bästa]]</f>
        <v>-3</v>
      </c>
    </row>
    <row r="22" spans="2:52">
      <c r="K22" s="81" t="s">
        <v>48</v>
      </c>
      <c r="X22" s="81">
        <f>AVERAGE(Tabell42[Score])</f>
        <v>81.470588235294116</v>
      </c>
      <c r="AD22" s="306">
        <f>AVERAGE(AD5:AD21)</f>
        <v>74.625</v>
      </c>
      <c r="AM22" s="73" t="s">
        <v>152</v>
      </c>
    </row>
    <row r="23" spans="2:52" ht="18.75">
      <c r="B23" s="74" t="s">
        <v>153</v>
      </c>
      <c r="C23" s="74"/>
      <c r="D23" s="89" t="s">
        <v>154</v>
      </c>
      <c r="M23" s="81" t="s">
        <v>48</v>
      </c>
      <c r="U23" s="81" t="s">
        <v>48</v>
      </c>
      <c r="X23" s="301"/>
      <c r="AB23" s="81" t="s">
        <v>48</v>
      </c>
      <c r="AP23">
        <v>2020</v>
      </c>
      <c r="AQ23"/>
      <c r="AR23"/>
      <c r="AS23"/>
      <c r="AT23"/>
      <c r="AU23">
        <v>2021</v>
      </c>
      <c r="AV23" s="308"/>
      <c r="AW23" s="308"/>
      <c r="AX23" s="308"/>
      <c r="AY23" s="309">
        <v>2022</v>
      </c>
    </row>
    <row r="24" spans="2:52">
      <c r="X24" s="244"/>
      <c r="AB24" s="141" t="s">
        <v>155</v>
      </c>
      <c r="AC24" s="143"/>
      <c r="AD24" s="143"/>
      <c r="AE24" s="143" t="s">
        <v>156</v>
      </c>
      <c r="AG24" s="144" t="s">
        <v>157</v>
      </c>
      <c r="AH24" s="143"/>
      <c r="AI24" s="143"/>
      <c r="AJ24" s="145" t="s">
        <v>158</v>
      </c>
      <c r="AL24" s="72" t="s">
        <v>155</v>
      </c>
      <c r="AM24" s="164" t="s">
        <v>155</v>
      </c>
      <c r="AN24" s="164"/>
      <c r="AO24" s="164"/>
      <c r="AP24" s="164" t="s">
        <v>156</v>
      </c>
      <c r="AQ24" s="164"/>
      <c r="AR24" s="164" t="s">
        <v>155</v>
      </c>
      <c r="AS24" s="164"/>
      <c r="AT24" s="164"/>
      <c r="AU24" s="164" t="s">
        <v>156</v>
      </c>
      <c r="AV24" s="307" t="s">
        <v>155</v>
      </c>
      <c r="AW24" s="307"/>
      <c r="AX24" s="307"/>
      <c r="AY24" s="307" t="s">
        <v>156</v>
      </c>
      <c r="AZ24" s="307"/>
    </row>
    <row r="25" spans="2:52">
      <c r="B25" s="9" t="s">
        <v>2</v>
      </c>
      <c r="C25" s="10" t="s">
        <v>3</v>
      </c>
      <c r="D25" s="26" t="s">
        <v>4</v>
      </c>
      <c r="E25" s="26" t="s">
        <v>5</v>
      </c>
      <c r="F25" s="26" t="s">
        <v>6</v>
      </c>
      <c r="G25" s="26" t="s">
        <v>7</v>
      </c>
      <c r="H25" s="26" t="s">
        <v>8</v>
      </c>
      <c r="I25" s="26" t="s">
        <v>9</v>
      </c>
      <c r="J25" s="26" t="s">
        <v>10</v>
      </c>
      <c r="K25" s="26" t="s">
        <v>11</v>
      </c>
      <c r="L25" s="26" t="s">
        <v>15</v>
      </c>
      <c r="M25" s="26" t="s">
        <v>13</v>
      </c>
      <c r="N25" s="26" t="s">
        <v>138</v>
      </c>
      <c r="O25" s="26" t="s">
        <v>139</v>
      </c>
      <c r="P25" s="26" t="s">
        <v>159</v>
      </c>
      <c r="Q25" s="26" t="s">
        <v>160</v>
      </c>
      <c r="R25" s="26" t="s">
        <v>142</v>
      </c>
      <c r="S25" s="26" t="s">
        <v>143</v>
      </c>
      <c r="T25" s="26" t="s">
        <v>144</v>
      </c>
      <c r="U25" s="26" t="s">
        <v>145</v>
      </c>
      <c r="V25" s="78" t="s">
        <v>58</v>
      </c>
      <c r="X25" s="32" t="s">
        <v>146</v>
      </c>
      <c r="AB25" s="141">
        <f>COUNTIFS(Tabell7[[1]:[18]],-1)</f>
        <v>0</v>
      </c>
      <c r="AD25" s="73" t="s">
        <v>54</v>
      </c>
      <c r="AE25" s="142">
        <f>AB25/AB32</f>
        <v>0</v>
      </c>
      <c r="AG25" s="141">
        <f t="shared" ref="AG25:AG31" si="1">AB25+AB37+AB50+AB62+AB74+AB86+AB98+AB110+AB122+AB134+AB146+AB158+AB170+AB182+AB193</f>
        <v>16</v>
      </c>
      <c r="AI25" s="73" t="s">
        <v>54</v>
      </c>
      <c r="AJ25" s="146">
        <f>AG25/AG32</f>
        <v>8.5061137692716646E-3</v>
      </c>
      <c r="AL25" s="72">
        <v>0</v>
      </c>
      <c r="AM25" s="164">
        <v>0</v>
      </c>
      <c r="AN25" s="164"/>
      <c r="AO25" s="164" t="s">
        <v>54</v>
      </c>
      <c r="AP25" s="165">
        <v>0</v>
      </c>
      <c r="AQ25" s="164"/>
      <c r="AR25" s="164">
        <v>1</v>
      </c>
      <c r="AS25" s="164"/>
      <c r="AT25" s="164" t="s">
        <v>54</v>
      </c>
      <c r="AU25" s="165">
        <v>6.1728395061728392E-3</v>
      </c>
      <c r="AV25" s="307">
        <v>0</v>
      </c>
      <c r="AW25" s="307"/>
      <c r="AX25" s="307" t="s">
        <v>54</v>
      </c>
      <c r="AY25" s="307">
        <v>0</v>
      </c>
      <c r="AZ25" s="307"/>
    </row>
    <row r="26" spans="2:52">
      <c r="B26" s="9" t="s">
        <v>30</v>
      </c>
      <c r="C26" s="10" t="s">
        <v>31</v>
      </c>
      <c r="D26" s="20">
        <v>2</v>
      </c>
      <c r="E26" s="20">
        <v>1</v>
      </c>
      <c r="F26" s="20">
        <v>1</v>
      </c>
      <c r="G26" s="20">
        <v>3</v>
      </c>
      <c r="H26" s="20">
        <v>1</v>
      </c>
      <c r="I26" s="20">
        <v>0</v>
      </c>
      <c r="J26" s="20">
        <v>1</v>
      </c>
      <c r="K26" s="20">
        <v>2</v>
      </c>
      <c r="L26" s="20">
        <v>1</v>
      </c>
      <c r="M26" s="20">
        <v>0</v>
      </c>
      <c r="N26" s="20">
        <v>1</v>
      </c>
      <c r="O26" s="20">
        <v>1</v>
      </c>
      <c r="P26" s="20">
        <v>5</v>
      </c>
      <c r="Q26" s="20">
        <v>1</v>
      </c>
      <c r="R26" s="20">
        <v>1</v>
      </c>
      <c r="S26" s="20">
        <v>1</v>
      </c>
      <c r="T26" s="20">
        <v>1</v>
      </c>
      <c r="U26" s="20">
        <v>5</v>
      </c>
      <c r="V26" s="79">
        <f t="shared" ref="V26:V35" si="2">SUM(D26:U26)</f>
        <v>28</v>
      </c>
      <c r="X26" s="33">
        <f>SUM(72+D26,E26,F26,G26,H26,I26,J26,K26,L26,M26,N26,O26,P26,Q26,R26,S26,T26,U26)</f>
        <v>100</v>
      </c>
      <c r="AB26" s="141">
        <f>COUNTIFS(Tabell7[[1]:[18]],0)</f>
        <v>14</v>
      </c>
      <c r="AD26" s="73" t="s">
        <v>137</v>
      </c>
      <c r="AE26" s="142">
        <f>AB26/AB32</f>
        <v>8.6419753086419748E-2</v>
      </c>
      <c r="AG26" s="141">
        <f t="shared" si="1"/>
        <v>236</v>
      </c>
      <c r="AI26" s="73" t="s">
        <v>137</v>
      </c>
      <c r="AJ26" s="146">
        <f>AG26/AG32</f>
        <v>0.12546517809675706</v>
      </c>
      <c r="AL26" s="72">
        <v>6</v>
      </c>
      <c r="AM26" s="164">
        <v>6</v>
      </c>
      <c r="AN26" s="164"/>
      <c r="AO26" s="164" t="s">
        <v>137</v>
      </c>
      <c r="AP26" s="165">
        <v>4.1666666666666664E-2</v>
      </c>
      <c r="AQ26" s="164"/>
      <c r="AR26" s="164">
        <v>15</v>
      </c>
      <c r="AS26" s="164"/>
      <c r="AT26" s="164" t="s">
        <v>137</v>
      </c>
      <c r="AU26" s="165">
        <v>9.2592592592592587E-2</v>
      </c>
      <c r="AV26" s="307">
        <v>13</v>
      </c>
      <c r="AW26" s="307"/>
      <c r="AX26" s="307" t="s">
        <v>137</v>
      </c>
      <c r="AY26" s="307">
        <v>8.0246913580246909E-2</v>
      </c>
      <c r="AZ26" s="307"/>
    </row>
    <row r="27" spans="2:52">
      <c r="B27" s="9" t="s">
        <v>30</v>
      </c>
      <c r="C27" s="10" t="s">
        <v>31</v>
      </c>
      <c r="D27" s="20">
        <v>2</v>
      </c>
      <c r="E27" s="20">
        <v>2</v>
      </c>
      <c r="F27" s="20">
        <v>1</v>
      </c>
      <c r="G27" s="20">
        <v>1</v>
      </c>
      <c r="H27" s="20">
        <v>2</v>
      </c>
      <c r="I27" s="20">
        <v>2</v>
      </c>
      <c r="J27" s="20">
        <v>1</v>
      </c>
      <c r="K27" s="20">
        <v>4</v>
      </c>
      <c r="L27" s="20">
        <v>1</v>
      </c>
      <c r="M27" s="20">
        <v>1</v>
      </c>
      <c r="N27" s="20">
        <v>2</v>
      </c>
      <c r="O27" s="20">
        <v>5</v>
      </c>
      <c r="P27" s="20">
        <v>2</v>
      </c>
      <c r="Q27" s="20">
        <v>1</v>
      </c>
      <c r="R27" s="20">
        <v>4</v>
      </c>
      <c r="S27" s="20">
        <v>2</v>
      </c>
      <c r="T27" s="20">
        <v>3</v>
      </c>
      <c r="U27" s="20">
        <v>4</v>
      </c>
      <c r="V27" s="79">
        <f t="shared" si="2"/>
        <v>40</v>
      </c>
      <c r="X27" s="33">
        <f>71+Tabell7[[#This Row],[Tot]]</f>
        <v>111</v>
      </c>
      <c r="AB27" s="141">
        <f>COUNTIFS(Tabell7[[1]:[18]],1)</f>
        <v>58</v>
      </c>
      <c r="AD27" s="73" t="s">
        <v>161</v>
      </c>
      <c r="AE27" s="142">
        <f>AB27/AB32</f>
        <v>0.35802469135802467</v>
      </c>
      <c r="AG27" s="141">
        <f t="shared" si="1"/>
        <v>627</v>
      </c>
      <c r="AI27" s="73" t="s">
        <v>161</v>
      </c>
      <c r="AJ27" s="146">
        <f>AG27/AG32</f>
        <v>0.33333333333333331</v>
      </c>
      <c r="AL27" s="72">
        <v>52</v>
      </c>
      <c r="AM27" s="164">
        <v>52</v>
      </c>
      <c r="AN27" s="164"/>
      <c r="AO27" s="164" t="s">
        <v>161</v>
      </c>
      <c r="AP27" s="165">
        <v>0.3611111111111111</v>
      </c>
      <c r="AQ27" s="164"/>
      <c r="AR27" s="164">
        <v>46</v>
      </c>
      <c r="AS27" s="164"/>
      <c r="AT27" s="164" t="s">
        <v>161</v>
      </c>
      <c r="AU27" s="165">
        <v>0.2839506172839506</v>
      </c>
      <c r="AV27" s="307">
        <v>47</v>
      </c>
      <c r="AW27" s="307"/>
      <c r="AX27" s="307" t="s">
        <v>161</v>
      </c>
      <c r="AY27" s="307">
        <v>0.29012345679012347</v>
      </c>
      <c r="AZ27" s="307"/>
    </row>
    <row r="28" spans="2:52">
      <c r="B28" s="9" t="s">
        <v>30</v>
      </c>
      <c r="C28" s="10" t="s">
        <v>31</v>
      </c>
      <c r="D28" s="20">
        <v>1</v>
      </c>
      <c r="E28" s="20">
        <v>1</v>
      </c>
      <c r="F28" s="20">
        <v>2</v>
      </c>
      <c r="G28" s="20">
        <v>2</v>
      </c>
      <c r="H28" s="20">
        <v>2</v>
      </c>
      <c r="I28" s="20">
        <v>3</v>
      </c>
      <c r="J28" s="20">
        <v>2</v>
      </c>
      <c r="K28" s="20">
        <v>2</v>
      </c>
      <c r="L28" s="20">
        <v>1</v>
      </c>
      <c r="M28" s="20">
        <v>3</v>
      </c>
      <c r="N28" s="20">
        <v>1</v>
      </c>
      <c r="O28" s="20">
        <v>3</v>
      </c>
      <c r="P28" s="20">
        <v>0</v>
      </c>
      <c r="Q28" s="20">
        <v>1</v>
      </c>
      <c r="R28" s="20">
        <v>0</v>
      </c>
      <c r="S28" s="20">
        <v>2</v>
      </c>
      <c r="T28" s="20">
        <v>3</v>
      </c>
      <c r="U28" s="20">
        <v>0</v>
      </c>
      <c r="V28" s="79">
        <f t="shared" si="2"/>
        <v>29</v>
      </c>
      <c r="X28" s="33">
        <f>72+Tabell7[[#This Row],[Tot]]</f>
        <v>101</v>
      </c>
      <c r="AB28" s="141">
        <f>COUNTIFS(Tabell7[[1]:[18]],2)</f>
        <v>40</v>
      </c>
      <c r="AD28" s="73" t="s">
        <v>162</v>
      </c>
      <c r="AE28" s="142">
        <f>AB28/AB32</f>
        <v>0.24691358024691357</v>
      </c>
      <c r="AG28" s="141">
        <f t="shared" si="1"/>
        <v>506</v>
      </c>
      <c r="AI28" s="73" t="s">
        <v>162</v>
      </c>
      <c r="AJ28" s="146">
        <f>AG28/AG32</f>
        <v>0.26900584795321636</v>
      </c>
      <c r="AL28" s="72">
        <v>53</v>
      </c>
      <c r="AM28" s="164">
        <v>53</v>
      </c>
      <c r="AN28" s="164"/>
      <c r="AO28" s="164" t="s">
        <v>162</v>
      </c>
      <c r="AP28" s="165">
        <v>0.36805555555555558</v>
      </c>
      <c r="AQ28" s="164"/>
      <c r="AR28" s="164">
        <v>54</v>
      </c>
      <c r="AS28" s="164"/>
      <c r="AT28" s="164" t="s">
        <v>162</v>
      </c>
      <c r="AU28" s="165">
        <v>0.33333333333333331</v>
      </c>
      <c r="AV28" s="307">
        <v>52</v>
      </c>
      <c r="AW28" s="307"/>
      <c r="AX28" s="307" t="s">
        <v>162</v>
      </c>
      <c r="AY28" s="307">
        <v>0.32098765432098764</v>
      </c>
      <c r="AZ28" s="307"/>
    </row>
    <row r="29" spans="2:52">
      <c r="B29" s="9" t="s">
        <v>30</v>
      </c>
      <c r="C29" s="10" t="s">
        <v>31</v>
      </c>
      <c r="D29" s="20">
        <v>1</v>
      </c>
      <c r="E29" s="20">
        <v>1</v>
      </c>
      <c r="F29" s="20">
        <v>3</v>
      </c>
      <c r="G29" s="20">
        <v>1</v>
      </c>
      <c r="H29" s="20">
        <v>4</v>
      </c>
      <c r="I29" s="20">
        <v>0</v>
      </c>
      <c r="J29" s="20">
        <v>1</v>
      </c>
      <c r="K29" s="20">
        <v>1</v>
      </c>
      <c r="L29" s="20">
        <v>0</v>
      </c>
      <c r="M29" s="20">
        <v>3</v>
      </c>
      <c r="N29" s="20">
        <v>2</v>
      </c>
      <c r="O29" s="20">
        <v>1</v>
      </c>
      <c r="P29" s="20">
        <v>3</v>
      </c>
      <c r="Q29" s="20">
        <v>2</v>
      </c>
      <c r="R29" s="20">
        <v>1</v>
      </c>
      <c r="S29" s="20">
        <v>3</v>
      </c>
      <c r="T29" s="20">
        <v>2</v>
      </c>
      <c r="U29" s="20">
        <v>1</v>
      </c>
      <c r="V29" s="79">
        <f t="shared" si="2"/>
        <v>30</v>
      </c>
      <c r="X29" s="33">
        <f>72+Tabell7[[#This Row],[Tot]]</f>
        <v>102</v>
      </c>
      <c r="AB29" s="141">
        <f>COUNTIFS(Tabell7[[1]:[18]],3)</f>
        <v>28</v>
      </c>
      <c r="AD29" s="73" t="s">
        <v>163</v>
      </c>
      <c r="AE29" s="142">
        <f>AB29/AB32</f>
        <v>0.1728395061728395</v>
      </c>
      <c r="AG29" s="141">
        <f t="shared" si="1"/>
        <v>296</v>
      </c>
      <c r="AI29" s="73" t="s">
        <v>163</v>
      </c>
      <c r="AJ29" s="146">
        <f>AG29/AG32</f>
        <v>0.15736310473152579</v>
      </c>
      <c r="AL29" s="72">
        <v>18</v>
      </c>
      <c r="AM29" s="164">
        <v>18</v>
      </c>
      <c r="AN29" s="164"/>
      <c r="AO29" s="164" t="s">
        <v>163</v>
      </c>
      <c r="AP29" s="165">
        <v>0.125</v>
      </c>
      <c r="AQ29" s="164"/>
      <c r="AR29" s="164">
        <v>30</v>
      </c>
      <c r="AS29" s="164"/>
      <c r="AT29" s="164" t="s">
        <v>163</v>
      </c>
      <c r="AU29" s="165">
        <v>0.18518518518518517</v>
      </c>
      <c r="AV29" s="307">
        <v>32</v>
      </c>
      <c r="AW29" s="307"/>
      <c r="AX29" s="307" t="s">
        <v>163</v>
      </c>
      <c r="AY29" s="307">
        <v>0.19753086419753085</v>
      </c>
      <c r="AZ29" s="307"/>
    </row>
    <row r="30" spans="2:52">
      <c r="B30" s="9" t="s">
        <v>30</v>
      </c>
      <c r="C30" s="10" t="s">
        <v>31</v>
      </c>
      <c r="D30" s="20">
        <v>0</v>
      </c>
      <c r="E30" s="20">
        <v>2</v>
      </c>
      <c r="F30" s="20">
        <v>3</v>
      </c>
      <c r="G30" s="20">
        <v>1</v>
      </c>
      <c r="H30" s="20">
        <v>2</v>
      </c>
      <c r="I30" s="20">
        <v>1</v>
      </c>
      <c r="J30" s="20">
        <v>3</v>
      </c>
      <c r="K30" s="20">
        <v>1</v>
      </c>
      <c r="L30" s="20">
        <v>3</v>
      </c>
      <c r="M30" s="20">
        <v>2</v>
      </c>
      <c r="N30" s="20">
        <v>1</v>
      </c>
      <c r="O30" s="20">
        <v>5</v>
      </c>
      <c r="P30" s="20">
        <v>2</v>
      </c>
      <c r="Q30" s="20">
        <v>4</v>
      </c>
      <c r="R30" s="20">
        <v>3</v>
      </c>
      <c r="S30" s="20">
        <v>1</v>
      </c>
      <c r="T30" s="20">
        <v>3</v>
      </c>
      <c r="U30" s="20">
        <v>3</v>
      </c>
      <c r="V30" s="79">
        <f t="shared" si="2"/>
        <v>40</v>
      </c>
      <c r="X30" s="33">
        <f>71+Tabell7[[#This Row],[Tot]]</f>
        <v>111</v>
      </c>
      <c r="AB30" s="141">
        <f>COUNTIFS(Tabell7[[1]:[18]],4)</f>
        <v>16</v>
      </c>
      <c r="AD30" s="73" t="s">
        <v>164</v>
      </c>
      <c r="AE30" s="142">
        <f>AB30/AB32</f>
        <v>9.8765432098765427E-2</v>
      </c>
      <c r="AG30" s="141">
        <f t="shared" si="1"/>
        <v>129</v>
      </c>
      <c r="AI30" s="73" t="s">
        <v>164</v>
      </c>
      <c r="AJ30" s="146">
        <f>AG30/AG32</f>
        <v>6.8580542264752797E-2</v>
      </c>
      <c r="AL30" s="72">
        <v>7</v>
      </c>
      <c r="AM30" s="164">
        <v>7</v>
      </c>
      <c r="AN30" s="164"/>
      <c r="AO30" s="164" t="s">
        <v>164</v>
      </c>
      <c r="AP30" s="165">
        <v>4.8611111111111112E-2</v>
      </c>
      <c r="AQ30" s="164"/>
      <c r="AR30" s="164">
        <v>8</v>
      </c>
      <c r="AS30" s="164"/>
      <c r="AT30" s="164" t="s">
        <v>164</v>
      </c>
      <c r="AU30" s="165">
        <v>4.9382716049382713E-2</v>
      </c>
      <c r="AV30" s="307">
        <v>13</v>
      </c>
      <c r="AW30" s="307"/>
      <c r="AX30" s="307" t="s">
        <v>164</v>
      </c>
      <c r="AY30" s="307">
        <v>8.0246913580246909E-2</v>
      </c>
      <c r="AZ30" s="307"/>
    </row>
    <row r="31" spans="2:52">
      <c r="B31" s="9" t="s">
        <v>30</v>
      </c>
      <c r="C31" s="10" t="s">
        <v>31</v>
      </c>
      <c r="D31" s="20">
        <v>4</v>
      </c>
      <c r="E31" s="20">
        <v>3</v>
      </c>
      <c r="F31" s="20">
        <v>3</v>
      </c>
      <c r="G31" s="20">
        <v>2</v>
      </c>
      <c r="H31" s="20">
        <v>1</v>
      </c>
      <c r="I31" s="20">
        <v>4</v>
      </c>
      <c r="J31" s="20">
        <v>1</v>
      </c>
      <c r="K31" s="20">
        <v>4</v>
      </c>
      <c r="L31" s="20">
        <v>4</v>
      </c>
      <c r="M31" s="20">
        <v>4</v>
      </c>
      <c r="N31" s="20">
        <v>2</v>
      </c>
      <c r="O31" s="20">
        <v>4</v>
      </c>
      <c r="P31" s="20">
        <v>4</v>
      </c>
      <c r="Q31" s="20">
        <v>1</v>
      </c>
      <c r="R31" s="20">
        <v>2</v>
      </c>
      <c r="S31" s="20">
        <v>2</v>
      </c>
      <c r="T31" s="20">
        <v>3</v>
      </c>
      <c r="U31" s="20">
        <v>1</v>
      </c>
      <c r="V31" s="79">
        <f t="shared" si="2"/>
        <v>49</v>
      </c>
      <c r="X31" s="33">
        <f>71+Tabell7[[#This Row],[Tot]]</f>
        <v>120</v>
      </c>
      <c r="AB31" s="141">
        <f>COUNTIFS(Tabell7[[1]:[18]],5)</f>
        <v>6</v>
      </c>
      <c r="AD31" s="73" t="s">
        <v>165</v>
      </c>
      <c r="AE31" s="142">
        <f>AB31/AB32</f>
        <v>3.7037037037037035E-2</v>
      </c>
      <c r="AG31" s="141">
        <f t="shared" si="1"/>
        <v>71</v>
      </c>
      <c r="AI31" s="73" t="s">
        <v>165</v>
      </c>
      <c r="AJ31" s="146">
        <f>AG31/AG32</f>
        <v>3.7745879851143006E-2</v>
      </c>
      <c r="AL31" s="72">
        <v>8</v>
      </c>
      <c r="AM31" s="164">
        <v>8</v>
      </c>
      <c r="AN31" s="164"/>
      <c r="AO31" s="164" t="s">
        <v>165</v>
      </c>
      <c r="AP31" s="165">
        <v>5.5555555555555552E-2</v>
      </c>
      <c r="AQ31" s="164"/>
      <c r="AR31" s="164">
        <v>8</v>
      </c>
      <c r="AS31" s="164"/>
      <c r="AT31" s="164" t="s">
        <v>165</v>
      </c>
      <c r="AU31" s="165">
        <v>4.9382716049382713E-2</v>
      </c>
      <c r="AV31" s="307">
        <v>5</v>
      </c>
      <c r="AW31" s="307"/>
      <c r="AX31" s="307" t="s">
        <v>165</v>
      </c>
      <c r="AY31" s="307">
        <v>3.0864197530864196E-2</v>
      </c>
      <c r="AZ31" s="307"/>
    </row>
    <row r="32" spans="2:52">
      <c r="B32" s="9" t="s">
        <v>30</v>
      </c>
      <c r="C32" s="10" t="s">
        <v>31</v>
      </c>
      <c r="D32" s="20">
        <v>0</v>
      </c>
      <c r="E32" s="20">
        <v>3</v>
      </c>
      <c r="F32" s="20">
        <v>4</v>
      </c>
      <c r="G32" s="20">
        <v>2</v>
      </c>
      <c r="H32" s="20">
        <v>1</v>
      </c>
      <c r="I32" s="20">
        <v>0</v>
      </c>
      <c r="J32" s="20">
        <v>4</v>
      </c>
      <c r="K32" s="20">
        <v>1</v>
      </c>
      <c r="L32" s="20">
        <v>3</v>
      </c>
      <c r="M32" s="20">
        <v>2</v>
      </c>
      <c r="N32" s="20">
        <v>2</v>
      </c>
      <c r="O32" s="20">
        <v>2</v>
      </c>
      <c r="P32" s="20">
        <v>2</v>
      </c>
      <c r="Q32" s="20">
        <v>2</v>
      </c>
      <c r="R32" s="20">
        <v>3</v>
      </c>
      <c r="S32" s="20">
        <v>4</v>
      </c>
      <c r="T32" s="20">
        <v>3</v>
      </c>
      <c r="U32" s="20">
        <v>3</v>
      </c>
      <c r="V32" s="79">
        <f t="shared" si="2"/>
        <v>41</v>
      </c>
      <c r="X32" s="33">
        <f>72+Tabell7[[#This Row],[Tot]]</f>
        <v>113</v>
      </c>
      <c r="AB32" s="83">
        <f>SUM(AB25:AB31)</f>
        <v>162</v>
      </c>
      <c r="AG32" s="144">
        <f>SUM(AG25:AG31)</f>
        <v>1881</v>
      </c>
      <c r="AL32" s="72">
        <v>144</v>
      </c>
      <c r="AM32" s="164">
        <v>144</v>
      </c>
      <c r="AN32" s="164"/>
      <c r="AO32" s="164"/>
      <c r="AP32" s="164"/>
      <c r="AQ32" s="164"/>
      <c r="AR32" s="164">
        <v>162</v>
      </c>
      <c r="AS32" s="164"/>
      <c r="AT32" s="164"/>
      <c r="AU32" s="164"/>
      <c r="AV32" s="307">
        <v>162</v>
      </c>
      <c r="AW32" s="307"/>
      <c r="AX32" s="307"/>
      <c r="AY32" s="307"/>
      <c r="AZ32" s="307"/>
    </row>
    <row r="33" spans="2:52">
      <c r="B33" s="9" t="s">
        <v>30</v>
      </c>
      <c r="C33" s="10" t="s">
        <v>31</v>
      </c>
      <c r="D33" s="20">
        <v>4</v>
      </c>
      <c r="E33" s="20">
        <v>3</v>
      </c>
      <c r="F33" s="20">
        <v>5</v>
      </c>
      <c r="G33" s="20">
        <v>1</v>
      </c>
      <c r="H33" s="20">
        <v>5</v>
      </c>
      <c r="I33" s="20">
        <v>1</v>
      </c>
      <c r="J33" s="20">
        <v>2</v>
      </c>
      <c r="K33" s="20">
        <v>2</v>
      </c>
      <c r="L33" s="20">
        <v>0</v>
      </c>
      <c r="M33" s="20">
        <v>1</v>
      </c>
      <c r="N33" s="20">
        <v>1</v>
      </c>
      <c r="O33" s="20">
        <v>1</v>
      </c>
      <c r="P33" s="20">
        <v>1</v>
      </c>
      <c r="Q33" s="20">
        <v>1</v>
      </c>
      <c r="R33" s="20">
        <v>2</v>
      </c>
      <c r="S33" s="20">
        <v>2</v>
      </c>
      <c r="T33" s="20">
        <v>1</v>
      </c>
      <c r="U33" s="20">
        <v>1</v>
      </c>
      <c r="V33" s="79">
        <f t="shared" si="2"/>
        <v>34</v>
      </c>
      <c r="X33" s="33">
        <f>72+Tabell7[[#This Row],[Tot]]</f>
        <v>106</v>
      </c>
      <c r="AM33" s="164"/>
      <c r="AN33" s="164"/>
      <c r="AO33" s="164"/>
      <c r="AP33" s="164"/>
      <c r="AQ33" s="164"/>
      <c r="AR33" s="164"/>
      <c r="AS33" s="164"/>
      <c r="AT33" s="164"/>
      <c r="AU33" s="164"/>
      <c r="AV33" s="307"/>
      <c r="AW33" s="307"/>
      <c r="AX33" s="307"/>
      <c r="AY33" s="307"/>
      <c r="AZ33" s="307"/>
    </row>
    <row r="34" spans="2:52">
      <c r="B34" s="9" t="s">
        <v>30</v>
      </c>
      <c r="C34" s="10" t="s">
        <v>31</v>
      </c>
      <c r="D34" s="20">
        <v>0</v>
      </c>
      <c r="E34" s="20">
        <v>2</v>
      </c>
      <c r="F34" s="20">
        <v>1</v>
      </c>
      <c r="G34" s="20">
        <v>1</v>
      </c>
      <c r="H34" s="20">
        <v>3</v>
      </c>
      <c r="I34" s="20">
        <v>1</v>
      </c>
      <c r="J34" s="20">
        <v>1</v>
      </c>
      <c r="K34" s="20">
        <v>0</v>
      </c>
      <c r="L34" s="20">
        <v>1</v>
      </c>
      <c r="M34" s="20">
        <v>2</v>
      </c>
      <c r="N34" s="20">
        <v>3</v>
      </c>
      <c r="O34" s="20">
        <v>3</v>
      </c>
      <c r="P34" s="20">
        <v>0</v>
      </c>
      <c r="Q34" s="20">
        <v>2</v>
      </c>
      <c r="R34" s="20">
        <v>2</v>
      </c>
      <c r="S34" s="20">
        <v>1</v>
      </c>
      <c r="T34" s="20">
        <v>1</v>
      </c>
      <c r="U34" s="20">
        <v>1</v>
      </c>
      <c r="V34" s="79">
        <f t="shared" si="2"/>
        <v>25</v>
      </c>
      <c r="X34" s="33">
        <f>72+Tabell7[[#This Row],[Tot]]</f>
        <v>97</v>
      </c>
      <c r="AM34" s="164"/>
      <c r="AN34" s="164"/>
      <c r="AO34" s="164"/>
      <c r="AP34" s="164"/>
      <c r="AQ34" s="164"/>
      <c r="AR34" s="164"/>
      <c r="AS34" s="164"/>
      <c r="AT34" s="164"/>
      <c r="AU34" s="164"/>
      <c r="AV34" s="307"/>
      <c r="AW34" s="307"/>
      <c r="AX34" s="307"/>
      <c r="AY34" s="307"/>
      <c r="AZ34" s="307"/>
    </row>
    <row r="35" spans="2:52">
      <c r="B35" s="91" t="s">
        <v>30</v>
      </c>
      <c r="C35" s="92" t="s">
        <v>31</v>
      </c>
      <c r="D35" s="20">
        <v>10</v>
      </c>
      <c r="E35" s="20">
        <v>10</v>
      </c>
      <c r="F35" s="20">
        <v>10</v>
      </c>
      <c r="G35" s="20">
        <v>10</v>
      </c>
      <c r="H35" s="20">
        <v>10</v>
      </c>
      <c r="I35" s="20">
        <v>10</v>
      </c>
      <c r="J35" s="20">
        <v>10</v>
      </c>
      <c r="K35" s="20">
        <v>10</v>
      </c>
      <c r="L35" s="20">
        <v>10</v>
      </c>
      <c r="M35" s="20">
        <v>10</v>
      </c>
      <c r="N35" s="20">
        <v>10</v>
      </c>
      <c r="O35" s="20">
        <v>10</v>
      </c>
      <c r="P35" s="20">
        <v>10</v>
      </c>
      <c r="Q35" s="20">
        <v>10</v>
      </c>
      <c r="R35" s="20">
        <v>10</v>
      </c>
      <c r="S35" s="20">
        <v>10</v>
      </c>
      <c r="T35" s="20">
        <v>10</v>
      </c>
      <c r="U35" s="20">
        <v>10</v>
      </c>
      <c r="V35" s="80">
        <f t="shared" si="2"/>
        <v>180</v>
      </c>
      <c r="X35" s="34">
        <f>71+Tabell7[[#This Row],[Tot]]</f>
        <v>251</v>
      </c>
      <c r="AM35" s="164"/>
      <c r="AN35" s="164"/>
      <c r="AO35" s="164"/>
      <c r="AP35" s="164"/>
      <c r="AQ35" s="164"/>
      <c r="AR35" s="164"/>
      <c r="AS35" s="164"/>
      <c r="AT35" s="164"/>
      <c r="AU35" s="164"/>
      <c r="AV35" s="307"/>
      <c r="AW35" s="307"/>
      <c r="AX35" s="307"/>
      <c r="AY35" s="307"/>
      <c r="AZ35" s="307"/>
    </row>
    <row r="36" spans="2:52">
      <c r="AM36" s="164"/>
      <c r="AN36" s="164"/>
      <c r="AO36" s="164"/>
      <c r="AP36" s="164"/>
      <c r="AQ36" s="164"/>
      <c r="AR36" s="164"/>
      <c r="AS36" s="164"/>
      <c r="AT36" s="164"/>
      <c r="AU36" s="164"/>
      <c r="AV36" s="307"/>
      <c r="AW36" s="307"/>
      <c r="AX36" s="307"/>
      <c r="AY36" s="307"/>
      <c r="AZ36" s="307"/>
    </row>
    <row r="37" spans="2:52">
      <c r="B37" s="9" t="s">
        <v>2</v>
      </c>
      <c r="C37" s="10" t="s">
        <v>3</v>
      </c>
      <c r="D37" s="26" t="s">
        <v>4</v>
      </c>
      <c r="E37" s="26" t="s">
        <v>5</v>
      </c>
      <c r="F37" s="26" t="s">
        <v>6</v>
      </c>
      <c r="G37" s="26" t="s">
        <v>7</v>
      </c>
      <c r="H37" s="26" t="s">
        <v>8</v>
      </c>
      <c r="I37" s="26" t="s">
        <v>9</v>
      </c>
      <c r="J37" s="26" t="s">
        <v>10</v>
      </c>
      <c r="K37" s="26" t="s">
        <v>11</v>
      </c>
      <c r="L37" s="26" t="s">
        <v>15</v>
      </c>
      <c r="M37" s="26" t="s">
        <v>13</v>
      </c>
      <c r="N37" s="26" t="s">
        <v>138</v>
      </c>
      <c r="O37" s="26" t="s">
        <v>139</v>
      </c>
      <c r="P37" s="26" t="s">
        <v>159</v>
      </c>
      <c r="Q37" s="26" t="s">
        <v>160</v>
      </c>
      <c r="R37" s="26" t="s">
        <v>142</v>
      </c>
      <c r="S37" s="26" t="s">
        <v>143</v>
      </c>
      <c r="T37" s="26" t="s">
        <v>144</v>
      </c>
      <c r="U37" s="26" t="s">
        <v>145</v>
      </c>
      <c r="V37" s="78" t="s">
        <v>58</v>
      </c>
      <c r="X37" s="32" t="s">
        <v>146</v>
      </c>
      <c r="AB37" s="141">
        <f>COUNTIFS(Tabell714[[1]:[18]],-1)</f>
        <v>2</v>
      </c>
      <c r="AD37" s="73" t="s">
        <v>54</v>
      </c>
      <c r="AE37" s="142">
        <f>AB37/AB44</f>
        <v>1.2345679012345678E-2</v>
      </c>
      <c r="AL37" s="72">
        <v>4</v>
      </c>
      <c r="AM37" s="164">
        <v>4</v>
      </c>
      <c r="AN37" s="164"/>
      <c r="AO37" s="164" t="s">
        <v>54</v>
      </c>
      <c r="AP37" s="165">
        <v>2.4691358024691357E-2</v>
      </c>
      <c r="AQ37" s="164"/>
      <c r="AR37" s="164">
        <v>2</v>
      </c>
      <c r="AS37" s="164"/>
      <c r="AT37" s="164" t="s">
        <v>54</v>
      </c>
      <c r="AU37" s="164">
        <v>1.2345679012345678E-2</v>
      </c>
      <c r="AV37" s="307">
        <v>2</v>
      </c>
      <c r="AW37" s="307"/>
      <c r="AX37" s="307" t="s">
        <v>54</v>
      </c>
      <c r="AY37" s="307">
        <v>1.2345679012345678E-2</v>
      </c>
      <c r="AZ37" s="307"/>
    </row>
    <row r="38" spans="2:52">
      <c r="B38" s="93" t="s">
        <v>28</v>
      </c>
      <c r="C38" s="94" t="s">
        <v>29</v>
      </c>
      <c r="D38" s="20">
        <v>2</v>
      </c>
      <c r="E38" s="20">
        <v>1</v>
      </c>
      <c r="F38" s="20">
        <v>5</v>
      </c>
      <c r="G38" s="20">
        <v>1</v>
      </c>
      <c r="H38" s="20">
        <v>1</v>
      </c>
      <c r="I38" s="20">
        <v>2</v>
      </c>
      <c r="J38" s="20">
        <v>0</v>
      </c>
      <c r="K38" s="20">
        <v>2</v>
      </c>
      <c r="L38" s="20">
        <v>2</v>
      </c>
      <c r="M38" s="20">
        <v>2</v>
      </c>
      <c r="N38" s="20">
        <v>1</v>
      </c>
      <c r="O38" s="20">
        <v>3</v>
      </c>
      <c r="P38" s="20">
        <v>2</v>
      </c>
      <c r="Q38" s="20">
        <v>5</v>
      </c>
      <c r="R38" s="20">
        <v>1</v>
      </c>
      <c r="S38" s="20">
        <v>1</v>
      </c>
      <c r="T38" s="20">
        <v>4</v>
      </c>
      <c r="U38" s="20">
        <v>3</v>
      </c>
      <c r="V38" s="79">
        <f t="shared" ref="V38:V46" si="3">SUM(D38:U38)</f>
        <v>38</v>
      </c>
      <c r="X38" s="33">
        <f>72+Tabell714[[#This Row],[Tot]]</f>
        <v>110</v>
      </c>
      <c r="AB38" s="141">
        <f>COUNTIFS(Tabell714[[1]:[18]],0)</f>
        <v>19</v>
      </c>
      <c r="AD38" s="73" t="s">
        <v>137</v>
      </c>
      <c r="AE38" s="142">
        <f>AB38/AB44</f>
        <v>0.11728395061728394</v>
      </c>
      <c r="AL38" s="72">
        <v>34</v>
      </c>
      <c r="AM38" s="164">
        <v>34</v>
      </c>
      <c r="AN38" s="164"/>
      <c r="AO38" s="164" t="s">
        <v>137</v>
      </c>
      <c r="AP38" s="165">
        <v>0.20987654320987653</v>
      </c>
      <c r="AQ38" s="164"/>
      <c r="AR38" s="164">
        <v>21</v>
      </c>
      <c r="AS38" s="164"/>
      <c r="AT38" s="164" t="s">
        <v>137</v>
      </c>
      <c r="AU38" s="164">
        <v>0.12962962962962962</v>
      </c>
      <c r="AV38" s="307">
        <v>28</v>
      </c>
      <c r="AW38" s="307"/>
      <c r="AX38" s="307" t="s">
        <v>137</v>
      </c>
      <c r="AY38" s="307">
        <v>0.1728395061728395</v>
      </c>
      <c r="AZ38" s="307"/>
    </row>
    <row r="39" spans="2:52">
      <c r="B39" s="93" t="s">
        <v>28</v>
      </c>
      <c r="C39" s="94" t="s">
        <v>29</v>
      </c>
      <c r="D39" s="20">
        <v>3</v>
      </c>
      <c r="E39" s="20">
        <v>2</v>
      </c>
      <c r="F39" s="20">
        <v>1</v>
      </c>
      <c r="G39" s="20">
        <v>2</v>
      </c>
      <c r="H39" s="20">
        <v>1</v>
      </c>
      <c r="I39" s="20">
        <v>1</v>
      </c>
      <c r="J39" s="20">
        <v>0</v>
      </c>
      <c r="K39" s="20">
        <v>1</v>
      </c>
      <c r="L39" s="20">
        <v>1</v>
      </c>
      <c r="M39" s="20">
        <v>1</v>
      </c>
      <c r="N39" s="20">
        <v>3</v>
      </c>
      <c r="O39" s="20">
        <v>1</v>
      </c>
      <c r="P39" s="20">
        <v>2</v>
      </c>
      <c r="Q39" s="20">
        <v>3</v>
      </c>
      <c r="R39" s="20">
        <v>2</v>
      </c>
      <c r="S39" s="20">
        <v>2</v>
      </c>
      <c r="T39" s="20">
        <v>2</v>
      </c>
      <c r="U39" s="20">
        <v>2</v>
      </c>
      <c r="V39" s="79">
        <f t="shared" si="3"/>
        <v>30</v>
      </c>
      <c r="X39" s="33">
        <f>70+Tabell714[[#This Row],[Tot]]</f>
        <v>100</v>
      </c>
      <c r="AB39" s="141">
        <f>COUNTIFS(Tabell714[[1]:[18]],1)</f>
        <v>64</v>
      </c>
      <c r="AD39" s="73" t="s">
        <v>161</v>
      </c>
      <c r="AE39" s="142">
        <f>AB39/AB44</f>
        <v>0.39506172839506171</v>
      </c>
      <c r="AL39" s="72">
        <v>60</v>
      </c>
      <c r="AM39" s="164">
        <v>60</v>
      </c>
      <c r="AN39" s="164"/>
      <c r="AO39" s="164" t="s">
        <v>161</v>
      </c>
      <c r="AP39" s="165">
        <v>0.37037037037037035</v>
      </c>
      <c r="AQ39" s="164"/>
      <c r="AR39" s="164">
        <v>73</v>
      </c>
      <c r="AS39" s="164"/>
      <c r="AT39" s="164" t="s">
        <v>161</v>
      </c>
      <c r="AU39" s="164">
        <v>0.45061728395061729</v>
      </c>
      <c r="AV39" s="307">
        <v>52</v>
      </c>
      <c r="AW39" s="307"/>
      <c r="AX39" s="307" t="s">
        <v>161</v>
      </c>
      <c r="AY39" s="307">
        <v>0.32098765432098764</v>
      </c>
      <c r="AZ39" s="307"/>
    </row>
    <row r="40" spans="2:52">
      <c r="B40" s="93" t="s">
        <v>28</v>
      </c>
      <c r="C40" s="94" t="s">
        <v>29</v>
      </c>
      <c r="D40" s="20">
        <v>0</v>
      </c>
      <c r="E40" s="20">
        <v>0</v>
      </c>
      <c r="F40" s="20">
        <v>2</v>
      </c>
      <c r="G40" s="20">
        <v>3</v>
      </c>
      <c r="H40" s="20">
        <v>1</v>
      </c>
      <c r="I40" s="20">
        <v>1</v>
      </c>
      <c r="J40" s="20">
        <v>1</v>
      </c>
      <c r="K40" s="20">
        <v>0</v>
      </c>
      <c r="L40" s="20">
        <v>1</v>
      </c>
      <c r="M40" s="20">
        <v>2</v>
      </c>
      <c r="N40" s="20">
        <v>2</v>
      </c>
      <c r="O40" s="20">
        <v>0</v>
      </c>
      <c r="P40" s="20">
        <v>1</v>
      </c>
      <c r="Q40" s="20">
        <v>1</v>
      </c>
      <c r="R40" s="20">
        <v>1</v>
      </c>
      <c r="S40" s="20">
        <v>1</v>
      </c>
      <c r="T40" s="20">
        <v>1</v>
      </c>
      <c r="U40" s="20">
        <v>1</v>
      </c>
      <c r="V40" s="79">
        <f t="shared" si="3"/>
        <v>19</v>
      </c>
      <c r="X40" s="33">
        <f>72+Tabell714[[#This Row],[Tot]]</f>
        <v>91</v>
      </c>
      <c r="AB40" s="141">
        <f>COUNTIFS(Tabell714[[1]:[18]],2)</f>
        <v>41</v>
      </c>
      <c r="AD40" s="73" t="s">
        <v>162</v>
      </c>
      <c r="AE40" s="142">
        <f>AB40/AB44</f>
        <v>0.25308641975308643</v>
      </c>
      <c r="AL40" s="72">
        <v>34</v>
      </c>
      <c r="AM40" s="164">
        <v>34</v>
      </c>
      <c r="AN40" s="164"/>
      <c r="AO40" s="164" t="s">
        <v>162</v>
      </c>
      <c r="AP40" s="165">
        <v>0.20987654320987653</v>
      </c>
      <c r="AQ40" s="164"/>
      <c r="AR40" s="164">
        <v>46</v>
      </c>
      <c r="AS40" s="164"/>
      <c r="AT40" s="164" t="s">
        <v>162</v>
      </c>
      <c r="AU40" s="164">
        <v>0.2839506172839506</v>
      </c>
      <c r="AV40" s="307">
        <v>54</v>
      </c>
      <c r="AW40" s="307"/>
      <c r="AX40" s="307" t="s">
        <v>162</v>
      </c>
      <c r="AY40" s="307">
        <v>0.33333333333333331</v>
      </c>
      <c r="AZ40" s="307"/>
    </row>
    <row r="41" spans="2:52">
      <c r="B41" s="93" t="s">
        <v>28</v>
      </c>
      <c r="C41" s="94" t="s">
        <v>29</v>
      </c>
      <c r="D41" s="20">
        <v>3</v>
      </c>
      <c r="E41" s="20">
        <v>2</v>
      </c>
      <c r="F41" s="20">
        <v>1</v>
      </c>
      <c r="G41" s="20">
        <v>1</v>
      </c>
      <c r="H41" s="20">
        <v>4</v>
      </c>
      <c r="I41" s="20">
        <v>0</v>
      </c>
      <c r="J41" s="20">
        <v>1</v>
      </c>
      <c r="K41" s="20">
        <v>1</v>
      </c>
      <c r="L41" s="20">
        <v>3</v>
      </c>
      <c r="M41" s="20">
        <v>2</v>
      </c>
      <c r="N41" s="20">
        <v>2</v>
      </c>
      <c r="O41" s="20">
        <v>1</v>
      </c>
      <c r="P41" s="20">
        <v>0</v>
      </c>
      <c r="Q41" s="20">
        <v>1</v>
      </c>
      <c r="R41" s="20">
        <v>1</v>
      </c>
      <c r="S41" s="20">
        <v>-1</v>
      </c>
      <c r="T41" s="20">
        <v>3</v>
      </c>
      <c r="U41" s="20">
        <v>0</v>
      </c>
      <c r="V41" s="79">
        <f t="shared" si="3"/>
        <v>25</v>
      </c>
      <c r="X41" s="33">
        <f>72+Tabell714[[#This Row],[Tot]]</f>
        <v>97</v>
      </c>
      <c r="AB41" s="141">
        <f>COUNTIFS(Tabell714[[1]:[18]],3)</f>
        <v>25</v>
      </c>
      <c r="AD41" s="73" t="s">
        <v>163</v>
      </c>
      <c r="AE41" s="142">
        <f>AB41/AB44</f>
        <v>0.15432098765432098</v>
      </c>
      <c r="AL41" s="72">
        <v>16</v>
      </c>
      <c r="AM41" s="164">
        <v>16</v>
      </c>
      <c r="AN41" s="164"/>
      <c r="AO41" s="164" t="s">
        <v>163</v>
      </c>
      <c r="AP41" s="165">
        <v>9.8765432098765427E-2</v>
      </c>
      <c r="AQ41" s="164"/>
      <c r="AR41" s="164">
        <v>15</v>
      </c>
      <c r="AS41" s="164"/>
      <c r="AT41" s="164" t="s">
        <v>163</v>
      </c>
      <c r="AU41" s="164">
        <v>9.2592592592592587E-2</v>
      </c>
      <c r="AV41" s="307">
        <v>19</v>
      </c>
      <c r="AW41" s="307"/>
      <c r="AX41" s="307" t="s">
        <v>163</v>
      </c>
      <c r="AY41" s="307">
        <v>0.11728395061728394</v>
      </c>
      <c r="AZ41" s="307"/>
    </row>
    <row r="42" spans="2:52">
      <c r="B42" s="93" t="s">
        <v>28</v>
      </c>
      <c r="C42" s="94" t="s">
        <v>29</v>
      </c>
      <c r="D42" s="20">
        <v>1</v>
      </c>
      <c r="E42" s="20">
        <v>1</v>
      </c>
      <c r="F42" s="20">
        <v>2</v>
      </c>
      <c r="G42" s="20">
        <v>1</v>
      </c>
      <c r="H42" s="20">
        <v>2</v>
      </c>
      <c r="I42" s="20">
        <v>3</v>
      </c>
      <c r="J42" s="20">
        <v>1</v>
      </c>
      <c r="K42" s="20">
        <v>2</v>
      </c>
      <c r="L42" s="20">
        <v>1</v>
      </c>
      <c r="M42" s="20">
        <v>3</v>
      </c>
      <c r="N42" s="20">
        <v>1</v>
      </c>
      <c r="O42" s="20">
        <v>1</v>
      </c>
      <c r="P42" s="20">
        <v>3</v>
      </c>
      <c r="Q42" s="20">
        <v>1</v>
      </c>
      <c r="R42" s="20">
        <v>3</v>
      </c>
      <c r="S42" s="20">
        <v>1</v>
      </c>
      <c r="T42" s="20">
        <v>1</v>
      </c>
      <c r="U42" s="20">
        <v>3</v>
      </c>
      <c r="V42" s="79">
        <f t="shared" si="3"/>
        <v>31</v>
      </c>
      <c r="X42" s="33">
        <f>71+Tabell714[[#This Row],[Tot]]</f>
        <v>102</v>
      </c>
      <c r="AB42" s="141">
        <f>COUNTIFS(Tabell714[[1]:[18]],4)</f>
        <v>7</v>
      </c>
      <c r="AD42" s="73" t="s">
        <v>164</v>
      </c>
      <c r="AE42" s="142">
        <f>AB42/AB44</f>
        <v>4.3209876543209874E-2</v>
      </c>
      <c r="AL42" s="72">
        <v>10</v>
      </c>
      <c r="AM42" s="164">
        <v>10</v>
      </c>
      <c r="AN42" s="164"/>
      <c r="AO42" s="164" t="s">
        <v>164</v>
      </c>
      <c r="AP42" s="165">
        <v>6.1728395061728392E-2</v>
      </c>
      <c r="AQ42" s="164"/>
      <c r="AR42" s="164">
        <v>2</v>
      </c>
      <c r="AS42" s="164"/>
      <c r="AT42" s="164" t="s">
        <v>164</v>
      </c>
      <c r="AU42" s="164">
        <v>1.2345679012345678E-2</v>
      </c>
      <c r="AV42" s="307">
        <v>4</v>
      </c>
      <c r="AW42" s="307"/>
      <c r="AX42" s="307" t="s">
        <v>164</v>
      </c>
      <c r="AY42" s="307">
        <v>2.4691358024691357E-2</v>
      </c>
      <c r="AZ42" s="307"/>
    </row>
    <row r="43" spans="2:52">
      <c r="B43" s="93" t="s">
        <v>28</v>
      </c>
      <c r="C43" s="94" t="s">
        <v>29</v>
      </c>
      <c r="D43" s="20">
        <v>4</v>
      </c>
      <c r="E43" s="20">
        <v>2</v>
      </c>
      <c r="F43" s="20">
        <v>2</v>
      </c>
      <c r="G43" s="20">
        <v>3</v>
      </c>
      <c r="H43" s="20">
        <v>1</v>
      </c>
      <c r="I43" s="20">
        <v>4</v>
      </c>
      <c r="J43" s="20">
        <v>4</v>
      </c>
      <c r="K43" s="20">
        <v>2</v>
      </c>
      <c r="L43" s="20">
        <v>2</v>
      </c>
      <c r="M43" s="20">
        <v>1</v>
      </c>
      <c r="N43" s="20">
        <v>1</v>
      </c>
      <c r="O43" s="20">
        <v>1</v>
      </c>
      <c r="P43" s="20">
        <v>2</v>
      </c>
      <c r="Q43" s="20">
        <v>2</v>
      </c>
      <c r="R43" s="20">
        <v>3</v>
      </c>
      <c r="S43" s="20">
        <v>1</v>
      </c>
      <c r="T43" s="20">
        <v>1</v>
      </c>
      <c r="U43" s="20">
        <v>2</v>
      </c>
      <c r="V43" s="79">
        <f t="shared" si="3"/>
        <v>38</v>
      </c>
      <c r="X43" s="33">
        <f>70+Tabell714[[#This Row],[Tot]]</f>
        <v>108</v>
      </c>
      <c r="AB43" s="141">
        <f>COUNTIFS(Tabell714[[1]:[18]],5)</f>
        <v>4</v>
      </c>
      <c r="AD43" s="73" t="s">
        <v>165</v>
      </c>
      <c r="AE43" s="142">
        <f>AB43/AB44</f>
        <v>2.4691358024691357E-2</v>
      </c>
      <c r="AL43" s="72">
        <v>4</v>
      </c>
      <c r="AM43" s="164">
        <v>4</v>
      </c>
      <c r="AN43" s="164"/>
      <c r="AO43" s="164" t="s">
        <v>165</v>
      </c>
      <c r="AP43" s="165">
        <v>2.4691358024691357E-2</v>
      </c>
      <c r="AQ43" s="164"/>
      <c r="AR43" s="164">
        <v>3</v>
      </c>
      <c r="AS43" s="164"/>
      <c r="AT43" s="164" t="s">
        <v>165</v>
      </c>
      <c r="AU43" s="164">
        <v>1.8518518518518517E-2</v>
      </c>
      <c r="AV43" s="307">
        <v>3</v>
      </c>
      <c r="AW43" s="307"/>
      <c r="AX43" s="307" t="s">
        <v>165</v>
      </c>
      <c r="AY43" s="307">
        <v>1.8518518518518517E-2</v>
      </c>
      <c r="AZ43" s="307"/>
    </row>
    <row r="44" spans="2:52">
      <c r="B44" s="93" t="s">
        <v>28</v>
      </c>
      <c r="C44" s="94" t="s">
        <v>29</v>
      </c>
      <c r="D44" s="20">
        <v>1</v>
      </c>
      <c r="E44" s="20">
        <v>2</v>
      </c>
      <c r="F44" s="20">
        <v>4</v>
      </c>
      <c r="G44" s="20">
        <v>5</v>
      </c>
      <c r="H44" s="20">
        <v>1</v>
      </c>
      <c r="I44" s="20">
        <v>1</v>
      </c>
      <c r="J44" s="20">
        <v>1</v>
      </c>
      <c r="K44" s="20">
        <v>1</v>
      </c>
      <c r="L44" s="20">
        <v>2</v>
      </c>
      <c r="M44" s="20">
        <v>4</v>
      </c>
      <c r="N44" s="20">
        <v>3</v>
      </c>
      <c r="O44" s="20">
        <v>0</v>
      </c>
      <c r="P44" s="20">
        <v>1</v>
      </c>
      <c r="Q44" s="20">
        <v>1</v>
      </c>
      <c r="R44" s="20">
        <v>2</v>
      </c>
      <c r="S44" s="20">
        <v>1</v>
      </c>
      <c r="T44" s="20">
        <v>3</v>
      </c>
      <c r="U44" s="20">
        <v>0</v>
      </c>
      <c r="V44" s="79">
        <f>SUM(D44:U44)</f>
        <v>33</v>
      </c>
      <c r="X44" s="33">
        <f>72+Tabell714[[#This Row],[Tot]]</f>
        <v>105</v>
      </c>
      <c r="AB44" s="83">
        <f>SUM(AB37:AB43)</f>
        <v>162</v>
      </c>
      <c r="AL44" s="72">
        <v>162</v>
      </c>
      <c r="AM44" s="164">
        <v>162</v>
      </c>
      <c r="AN44" s="164"/>
      <c r="AO44" s="164"/>
      <c r="AP44" s="164"/>
      <c r="AQ44" s="164"/>
      <c r="AR44" s="164">
        <v>162</v>
      </c>
      <c r="AS44" s="164"/>
      <c r="AT44" s="164"/>
      <c r="AU44" s="164"/>
      <c r="AV44" s="307">
        <v>162</v>
      </c>
      <c r="AW44" s="307"/>
      <c r="AX44" s="307"/>
      <c r="AY44" s="307"/>
      <c r="AZ44" s="307"/>
    </row>
    <row r="45" spans="2:52">
      <c r="B45" s="93" t="s">
        <v>28</v>
      </c>
      <c r="C45" s="94" t="s">
        <v>29</v>
      </c>
      <c r="D45" s="20">
        <v>1</v>
      </c>
      <c r="E45" s="20">
        <v>0</v>
      </c>
      <c r="F45" s="20">
        <v>1</v>
      </c>
      <c r="G45" s="20">
        <v>3</v>
      </c>
      <c r="H45" s="20">
        <v>0</v>
      </c>
      <c r="I45" s="20">
        <v>2</v>
      </c>
      <c r="J45" s="20">
        <v>5</v>
      </c>
      <c r="K45" s="20">
        <v>2</v>
      </c>
      <c r="L45" s="20">
        <v>1</v>
      </c>
      <c r="M45" s="20">
        <v>3</v>
      </c>
      <c r="N45" s="20">
        <v>0</v>
      </c>
      <c r="O45" s="20">
        <v>2</v>
      </c>
      <c r="P45" s="20">
        <v>2</v>
      </c>
      <c r="Q45" s="20">
        <v>2</v>
      </c>
      <c r="R45" s="20">
        <v>2</v>
      </c>
      <c r="S45" s="20">
        <v>3</v>
      </c>
      <c r="T45" s="20">
        <v>-1</v>
      </c>
      <c r="U45" s="20">
        <v>1</v>
      </c>
      <c r="V45" s="79">
        <f t="shared" si="3"/>
        <v>29</v>
      </c>
      <c r="X45" s="33">
        <f>72+Tabell714[[#This Row],[Tot]]</f>
        <v>101</v>
      </c>
      <c r="AM45" s="164"/>
      <c r="AN45" s="164"/>
      <c r="AO45" s="164"/>
      <c r="AP45" s="164"/>
      <c r="AQ45" s="164"/>
      <c r="AR45" s="164"/>
      <c r="AS45" s="164"/>
      <c r="AT45" s="164"/>
      <c r="AU45" s="164"/>
      <c r="AV45" s="307"/>
      <c r="AW45" s="307"/>
      <c r="AX45" s="307"/>
      <c r="AY45" s="307"/>
      <c r="AZ45" s="307"/>
    </row>
    <row r="46" spans="2:52">
      <c r="B46" s="93" t="s">
        <v>28</v>
      </c>
      <c r="C46" s="94" t="s">
        <v>29</v>
      </c>
      <c r="D46" s="20">
        <v>1</v>
      </c>
      <c r="E46" s="20">
        <v>3</v>
      </c>
      <c r="F46" s="20">
        <v>3</v>
      </c>
      <c r="G46" s="20">
        <v>0</v>
      </c>
      <c r="H46" s="20">
        <v>2</v>
      </c>
      <c r="I46" s="20">
        <v>3</v>
      </c>
      <c r="J46" s="20">
        <v>0</v>
      </c>
      <c r="K46" s="20">
        <v>0</v>
      </c>
      <c r="L46" s="20">
        <v>3</v>
      </c>
      <c r="M46" s="20">
        <v>2</v>
      </c>
      <c r="N46" s="20">
        <v>1</v>
      </c>
      <c r="O46" s="20">
        <v>1</v>
      </c>
      <c r="P46" s="20">
        <v>0</v>
      </c>
      <c r="Q46" s="20">
        <v>1</v>
      </c>
      <c r="R46" s="20">
        <v>1</v>
      </c>
      <c r="S46" s="20">
        <v>0</v>
      </c>
      <c r="T46" s="20">
        <v>2</v>
      </c>
      <c r="U46" s="20">
        <v>1</v>
      </c>
      <c r="V46" s="79">
        <f t="shared" si="3"/>
        <v>24</v>
      </c>
      <c r="X46" s="34">
        <f>72+Tabell714[[#This Row],[Tot]]</f>
        <v>96</v>
      </c>
      <c r="AM46" s="164"/>
      <c r="AN46" s="164"/>
      <c r="AO46" s="164"/>
      <c r="AP46" s="164"/>
      <c r="AQ46" s="164"/>
      <c r="AR46" s="164"/>
      <c r="AS46" s="164"/>
      <c r="AT46" s="164"/>
      <c r="AU46" s="164"/>
      <c r="AV46" s="307"/>
      <c r="AW46" s="307"/>
      <c r="AX46" s="307"/>
      <c r="AY46" s="307"/>
      <c r="AZ46" s="307"/>
    </row>
    <row r="47" spans="2:52">
      <c r="B47" s="93" t="s">
        <v>28</v>
      </c>
      <c r="C47" s="94" t="s">
        <v>29</v>
      </c>
      <c r="D47" s="20">
        <v>10</v>
      </c>
      <c r="E47" s="20">
        <v>10</v>
      </c>
      <c r="F47" s="20">
        <v>10</v>
      </c>
      <c r="G47" s="20">
        <v>10</v>
      </c>
      <c r="H47" s="20">
        <v>10</v>
      </c>
      <c r="I47" s="20">
        <v>10</v>
      </c>
      <c r="J47" s="20">
        <v>10</v>
      </c>
      <c r="K47" s="20">
        <v>10</v>
      </c>
      <c r="L47" s="20">
        <v>10</v>
      </c>
      <c r="M47" s="20">
        <v>10</v>
      </c>
      <c r="N47" s="20">
        <v>10</v>
      </c>
      <c r="O47" s="20">
        <v>10</v>
      </c>
      <c r="P47" s="20">
        <v>10</v>
      </c>
      <c r="Q47" s="20">
        <v>10</v>
      </c>
      <c r="R47" s="20">
        <v>10</v>
      </c>
      <c r="S47" s="20">
        <v>10</v>
      </c>
      <c r="T47" s="20">
        <v>10</v>
      </c>
      <c r="U47" s="20">
        <v>10</v>
      </c>
      <c r="V47" s="80">
        <f>SUM(D47:U47)</f>
        <v>180</v>
      </c>
      <c r="X47" s="34">
        <f>71+Tabell714[[#This Row],[Tot]]</f>
        <v>251</v>
      </c>
      <c r="AM47" s="164"/>
      <c r="AN47" s="164"/>
      <c r="AO47" s="164"/>
      <c r="AP47" s="164"/>
      <c r="AQ47" s="164"/>
      <c r="AR47" s="164"/>
      <c r="AS47" s="164"/>
      <c r="AT47" s="164"/>
      <c r="AU47" s="164"/>
      <c r="AV47" s="307"/>
      <c r="AW47" s="307"/>
      <c r="AX47" s="307"/>
      <c r="AY47" s="307"/>
      <c r="AZ47" s="307"/>
    </row>
    <row r="48" spans="2:52">
      <c r="B48" s="110"/>
      <c r="C48" s="110"/>
      <c r="D48" s="111"/>
      <c r="E48" s="111"/>
      <c r="F48" s="111"/>
      <c r="G48" s="111"/>
      <c r="H48" s="111"/>
      <c r="I48" s="111"/>
      <c r="J48" s="111"/>
      <c r="K48" s="111"/>
      <c r="L48" s="111"/>
      <c r="M48" s="111"/>
      <c r="N48" s="111"/>
      <c r="O48" s="111"/>
      <c r="P48" s="111"/>
      <c r="Q48" s="111"/>
      <c r="R48" s="111"/>
      <c r="S48" s="111"/>
      <c r="T48" s="111"/>
      <c r="U48" s="111"/>
      <c r="V48" s="112"/>
      <c r="X48" s="72"/>
      <c r="AM48" s="164"/>
      <c r="AN48" s="164"/>
      <c r="AO48" s="164"/>
      <c r="AP48" s="164"/>
      <c r="AQ48" s="164"/>
      <c r="AR48" s="164"/>
      <c r="AS48" s="164"/>
      <c r="AT48" s="164"/>
      <c r="AU48" s="164"/>
      <c r="AV48" s="307"/>
      <c r="AW48" s="307"/>
      <c r="AX48" s="307"/>
      <c r="AY48" s="307"/>
      <c r="AZ48" s="307"/>
    </row>
    <row r="49" spans="2:52">
      <c r="AM49" s="164"/>
      <c r="AN49" s="164"/>
      <c r="AO49" s="164"/>
      <c r="AP49" s="164"/>
      <c r="AQ49" s="164"/>
      <c r="AR49" s="164"/>
      <c r="AS49" s="164"/>
      <c r="AT49" s="164"/>
      <c r="AU49" s="164"/>
      <c r="AV49" s="307"/>
      <c r="AW49" s="307"/>
      <c r="AX49" s="307"/>
      <c r="AY49" s="307"/>
      <c r="AZ49" s="307"/>
    </row>
    <row r="50" spans="2:52">
      <c r="B50" s="9" t="s">
        <v>2</v>
      </c>
      <c r="C50" s="10" t="s">
        <v>3</v>
      </c>
      <c r="D50" s="26" t="s">
        <v>4</v>
      </c>
      <c r="E50" s="26" t="s">
        <v>5</v>
      </c>
      <c r="F50" s="26" t="s">
        <v>6</v>
      </c>
      <c r="G50" s="26" t="s">
        <v>7</v>
      </c>
      <c r="H50" s="26" t="s">
        <v>8</v>
      </c>
      <c r="I50" s="26" t="s">
        <v>9</v>
      </c>
      <c r="J50" s="26" t="s">
        <v>10</v>
      </c>
      <c r="K50" s="26" t="s">
        <v>11</v>
      </c>
      <c r="L50" s="26" t="s">
        <v>15</v>
      </c>
      <c r="M50" s="26" t="s">
        <v>13</v>
      </c>
      <c r="N50" s="26" t="s">
        <v>138</v>
      </c>
      <c r="O50" s="26" t="s">
        <v>139</v>
      </c>
      <c r="P50" s="26" t="s">
        <v>159</v>
      </c>
      <c r="Q50" s="26" t="s">
        <v>160</v>
      </c>
      <c r="R50" s="26" t="s">
        <v>142</v>
      </c>
      <c r="S50" s="26" t="s">
        <v>143</v>
      </c>
      <c r="T50" s="26" t="s">
        <v>144</v>
      </c>
      <c r="U50" s="26" t="s">
        <v>145</v>
      </c>
      <c r="V50" s="78" t="s">
        <v>58</v>
      </c>
      <c r="X50" s="32" t="s">
        <v>146</v>
      </c>
      <c r="AB50" s="141">
        <f>COUNTIFS(Tabell71415[[1]:[18]],-1)</f>
        <v>3</v>
      </c>
      <c r="AD50" s="73" t="s">
        <v>54</v>
      </c>
      <c r="AE50" s="142">
        <f>AB50/AB57</f>
        <v>2.0833333333333332E-2</v>
      </c>
      <c r="AL50" s="72">
        <v>1</v>
      </c>
      <c r="AM50" s="164">
        <v>1</v>
      </c>
      <c r="AN50" s="164"/>
      <c r="AO50" s="164" t="s">
        <v>54</v>
      </c>
      <c r="AP50" s="165">
        <v>6.9444444444444441E-3</v>
      </c>
      <c r="AQ50" s="164"/>
      <c r="AR50" s="164">
        <v>2</v>
      </c>
      <c r="AS50" s="164"/>
      <c r="AT50" s="164" t="s">
        <v>54</v>
      </c>
      <c r="AU50" s="164">
        <v>1.2345679012345678E-2</v>
      </c>
      <c r="AV50" s="307">
        <v>0</v>
      </c>
      <c r="AW50" s="307"/>
      <c r="AX50" s="307" t="s">
        <v>54</v>
      </c>
      <c r="AY50" s="307">
        <v>0</v>
      </c>
      <c r="AZ50" s="307"/>
    </row>
    <row r="51" spans="2:52">
      <c r="B51" s="93" t="s">
        <v>26</v>
      </c>
      <c r="C51" s="94" t="s">
        <v>27</v>
      </c>
      <c r="D51" s="20">
        <v>1</v>
      </c>
      <c r="E51" s="20">
        <v>1</v>
      </c>
      <c r="F51" s="20">
        <v>1</v>
      </c>
      <c r="G51" s="20">
        <v>0</v>
      </c>
      <c r="H51" s="20">
        <v>0</v>
      </c>
      <c r="I51" s="20">
        <v>2</v>
      </c>
      <c r="J51" s="20">
        <v>1</v>
      </c>
      <c r="K51" s="20">
        <v>1</v>
      </c>
      <c r="L51" s="20">
        <v>1</v>
      </c>
      <c r="M51" s="20">
        <v>-1</v>
      </c>
      <c r="N51" s="20">
        <v>0</v>
      </c>
      <c r="O51" s="20">
        <v>0</v>
      </c>
      <c r="P51" s="20">
        <v>1</v>
      </c>
      <c r="Q51" s="20">
        <v>1</v>
      </c>
      <c r="R51" s="20">
        <v>2</v>
      </c>
      <c r="S51" s="20">
        <v>1</v>
      </c>
      <c r="T51" s="20">
        <v>2</v>
      </c>
      <c r="U51" s="20">
        <v>0</v>
      </c>
      <c r="V51" s="79">
        <f>SUM(D51:U51)</f>
        <v>14</v>
      </c>
      <c r="X51" s="33">
        <f>72+Tabell71415[[#This Row],[Tot]]</f>
        <v>86</v>
      </c>
      <c r="AB51" s="141">
        <f>COUNTIFS(Tabell71415[[1]:[18]],0)</f>
        <v>26</v>
      </c>
      <c r="AD51" s="73" t="s">
        <v>137</v>
      </c>
      <c r="AE51" s="142">
        <f>AB51/AB57</f>
        <v>0.18055555555555555</v>
      </c>
      <c r="AL51" s="72">
        <v>17</v>
      </c>
      <c r="AM51" s="164">
        <v>17</v>
      </c>
      <c r="AN51" s="164"/>
      <c r="AO51" s="164" t="s">
        <v>137</v>
      </c>
      <c r="AP51" s="165">
        <v>0.11805555555555555</v>
      </c>
      <c r="AQ51" s="164"/>
      <c r="AR51" s="164">
        <v>25</v>
      </c>
      <c r="AS51" s="164"/>
      <c r="AT51" s="164" t="s">
        <v>137</v>
      </c>
      <c r="AU51" s="164">
        <v>0.15432098765432098</v>
      </c>
      <c r="AV51" s="307">
        <v>22</v>
      </c>
      <c r="AW51" s="307"/>
      <c r="AX51" s="307" t="s">
        <v>137</v>
      </c>
      <c r="AY51" s="307">
        <v>0.15277777777777779</v>
      </c>
      <c r="AZ51" s="307"/>
    </row>
    <row r="52" spans="2:52">
      <c r="B52" s="93" t="s">
        <v>26</v>
      </c>
      <c r="C52" s="94" t="s">
        <v>27</v>
      </c>
      <c r="D52" s="20">
        <v>10</v>
      </c>
      <c r="E52" s="20">
        <v>10</v>
      </c>
      <c r="F52" s="20">
        <v>10</v>
      </c>
      <c r="G52" s="20">
        <v>10</v>
      </c>
      <c r="H52" s="20">
        <v>10</v>
      </c>
      <c r="I52" s="20">
        <v>10</v>
      </c>
      <c r="J52" s="20">
        <v>10</v>
      </c>
      <c r="K52" s="20">
        <v>10</v>
      </c>
      <c r="L52" s="20">
        <v>10</v>
      </c>
      <c r="M52" s="20">
        <v>10</v>
      </c>
      <c r="N52" s="20">
        <v>10</v>
      </c>
      <c r="O52" s="20">
        <v>10</v>
      </c>
      <c r="P52" s="20">
        <v>10</v>
      </c>
      <c r="Q52" s="20">
        <v>10</v>
      </c>
      <c r="R52" s="20">
        <v>10</v>
      </c>
      <c r="S52" s="20">
        <v>10</v>
      </c>
      <c r="T52" s="20">
        <v>10</v>
      </c>
      <c r="U52" s="20">
        <v>10</v>
      </c>
      <c r="V52" s="79">
        <f t="shared" ref="V52:V60" si="4">SUM(D52:U52)</f>
        <v>180</v>
      </c>
      <c r="X52" s="33">
        <f>71+Tabell71415[[#This Row],[Tot]]</f>
        <v>251</v>
      </c>
      <c r="AB52" s="141">
        <f>COUNTIFS(Tabell71415[[1]:[18]],1)</f>
        <v>56</v>
      </c>
      <c r="AD52" s="73" t="s">
        <v>161</v>
      </c>
      <c r="AE52" s="142">
        <f>AB52/AB57</f>
        <v>0.3888888888888889</v>
      </c>
      <c r="AL52" s="72">
        <v>53</v>
      </c>
      <c r="AM52" s="164">
        <v>53</v>
      </c>
      <c r="AN52" s="164"/>
      <c r="AO52" s="164" t="s">
        <v>161</v>
      </c>
      <c r="AP52" s="165">
        <v>0.36805555555555558</v>
      </c>
      <c r="AQ52" s="164"/>
      <c r="AR52" s="164">
        <v>85</v>
      </c>
      <c r="AS52" s="164"/>
      <c r="AT52" s="164" t="s">
        <v>161</v>
      </c>
      <c r="AU52" s="164">
        <v>0.52469135802469136</v>
      </c>
      <c r="AV52" s="307">
        <v>64</v>
      </c>
      <c r="AW52" s="307"/>
      <c r="AX52" s="307" t="s">
        <v>161</v>
      </c>
      <c r="AY52" s="307">
        <v>0.44444444444444442</v>
      </c>
      <c r="AZ52" s="307"/>
    </row>
    <row r="53" spans="2:52">
      <c r="B53" s="93" t="s">
        <v>26</v>
      </c>
      <c r="C53" s="94" t="s">
        <v>27</v>
      </c>
      <c r="D53" s="20">
        <v>0</v>
      </c>
      <c r="E53" s="20">
        <v>0</v>
      </c>
      <c r="F53" s="20">
        <v>2</v>
      </c>
      <c r="G53" s="20">
        <v>1</v>
      </c>
      <c r="H53" s="20">
        <v>1</v>
      </c>
      <c r="I53" s="20">
        <v>1</v>
      </c>
      <c r="J53" s="20">
        <v>1</v>
      </c>
      <c r="K53" s="20">
        <v>0</v>
      </c>
      <c r="L53" s="20">
        <v>2</v>
      </c>
      <c r="M53" s="20">
        <v>0</v>
      </c>
      <c r="N53" s="20">
        <v>2</v>
      </c>
      <c r="O53" s="20">
        <v>1</v>
      </c>
      <c r="P53" s="20">
        <v>2</v>
      </c>
      <c r="Q53" s="20">
        <v>1</v>
      </c>
      <c r="R53" s="20">
        <v>-1</v>
      </c>
      <c r="S53" s="20">
        <v>1</v>
      </c>
      <c r="T53" s="20">
        <v>1</v>
      </c>
      <c r="U53" s="20">
        <v>2</v>
      </c>
      <c r="V53" s="79">
        <f t="shared" si="4"/>
        <v>17</v>
      </c>
      <c r="X53" s="33">
        <f>72+Tabell71415[[#This Row],[Tot]]</f>
        <v>89</v>
      </c>
      <c r="AB53" s="141">
        <f>COUNTIFS(Tabell71415[[1]:[18]],2)</f>
        <v>43</v>
      </c>
      <c r="AD53" s="73" t="s">
        <v>162</v>
      </c>
      <c r="AE53" s="142">
        <f>AB53/AB57</f>
        <v>0.2986111111111111</v>
      </c>
      <c r="AL53" s="72">
        <v>43</v>
      </c>
      <c r="AM53" s="164">
        <v>43</v>
      </c>
      <c r="AN53" s="164"/>
      <c r="AO53" s="164" t="s">
        <v>162</v>
      </c>
      <c r="AP53" s="165">
        <v>0.2986111111111111</v>
      </c>
      <c r="AQ53" s="164"/>
      <c r="AR53" s="164">
        <v>35</v>
      </c>
      <c r="AS53" s="164"/>
      <c r="AT53" s="164" t="s">
        <v>162</v>
      </c>
      <c r="AU53" s="164">
        <v>0.21604938271604937</v>
      </c>
      <c r="AV53" s="307">
        <v>40</v>
      </c>
      <c r="AW53" s="307"/>
      <c r="AX53" s="307" t="s">
        <v>162</v>
      </c>
      <c r="AY53" s="307">
        <v>0.27777777777777779</v>
      </c>
      <c r="AZ53" s="307"/>
    </row>
    <row r="54" spans="2:52">
      <c r="B54" s="93" t="s">
        <v>26</v>
      </c>
      <c r="C54" s="94" t="s">
        <v>27</v>
      </c>
      <c r="D54" s="20">
        <v>1</v>
      </c>
      <c r="E54" s="20">
        <v>1</v>
      </c>
      <c r="F54" s="20">
        <v>5</v>
      </c>
      <c r="G54" s="20">
        <v>3</v>
      </c>
      <c r="H54" s="20">
        <v>5</v>
      </c>
      <c r="I54" s="20">
        <v>1</v>
      </c>
      <c r="J54" s="20">
        <v>1</v>
      </c>
      <c r="K54" s="20">
        <v>1</v>
      </c>
      <c r="L54" s="20">
        <v>3</v>
      </c>
      <c r="M54" s="20">
        <v>2</v>
      </c>
      <c r="N54" s="20">
        <v>2</v>
      </c>
      <c r="O54" s="20">
        <v>0</v>
      </c>
      <c r="P54" s="20">
        <v>1</v>
      </c>
      <c r="Q54" s="20">
        <v>2</v>
      </c>
      <c r="R54" s="20">
        <v>1</v>
      </c>
      <c r="S54" s="20">
        <v>2</v>
      </c>
      <c r="T54" s="20">
        <v>2</v>
      </c>
      <c r="U54" s="20">
        <v>0</v>
      </c>
      <c r="V54" s="79">
        <f t="shared" si="4"/>
        <v>33</v>
      </c>
      <c r="X54" s="33">
        <f>72+Tabell71415[[#This Row],[Tot]]</f>
        <v>105</v>
      </c>
      <c r="AB54" s="141">
        <f>COUNTIFS(Tabell71415[[1]:[18]],3)</f>
        <v>10</v>
      </c>
      <c r="AD54" s="73" t="s">
        <v>163</v>
      </c>
      <c r="AE54" s="142">
        <f>AB54/AB57</f>
        <v>6.9444444444444448E-2</v>
      </c>
      <c r="AL54" s="72">
        <v>19</v>
      </c>
      <c r="AM54" s="164">
        <v>19</v>
      </c>
      <c r="AN54" s="164"/>
      <c r="AO54" s="164" t="s">
        <v>163</v>
      </c>
      <c r="AP54" s="165">
        <v>0.13194444444444445</v>
      </c>
      <c r="AQ54" s="164"/>
      <c r="AR54" s="164">
        <v>12</v>
      </c>
      <c r="AS54" s="164"/>
      <c r="AT54" s="164" t="s">
        <v>163</v>
      </c>
      <c r="AU54" s="164">
        <v>7.407407407407407E-2</v>
      </c>
      <c r="AV54" s="307">
        <v>12</v>
      </c>
      <c r="AW54" s="307"/>
      <c r="AX54" s="307" t="s">
        <v>163</v>
      </c>
      <c r="AY54" s="307">
        <v>8.3333333333333329E-2</v>
      </c>
      <c r="AZ54" s="307"/>
    </row>
    <row r="55" spans="2:52">
      <c r="B55" s="93" t="s">
        <v>26</v>
      </c>
      <c r="C55" s="94" t="s">
        <v>27</v>
      </c>
      <c r="D55" s="20">
        <v>1</v>
      </c>
      <c r="E55" s="20">
        <v>1</v>
      </c>
      <c r="F55" s="20">
        <v>2</v>
      </c>
      <c r="G55" s="20">
        <v>0</v>
      </c>
      <c r="H55" s="20">
        <v>1</v>
      </c>
      <c r="I55" s="20">
        <v>1</v>
      </c>
      <c r="J55" s="20">
        <v>1</v>
      </c>
      <c r="K55" s="20">
        <v>2</v>
      </c>
      <c r="L55" s="20">
        <v>2</v>
      </c>
      <c r="M55" s="20">
        <v>3</v>
      </c>
      <c r="N55" s="20">
        <v>1</v>
      </c>
      <c r="O55" s="20">
        <v>2</v>
      </c>
      <c r="P55" s="20">
        <v>0</v>
      </c>
      <c r="Q55" s="20">
        <v>2</v>
      </c>
      <c r="R55" s="20">
        <v>-1</v>
      </c>
      <c r="S55" s="20">
        <v>1</v>
      </c>
      <c r="T55" s="20">
        <v>0</v>
      </c>
      <c r="U55" s="20">
        <v>0</v>
      </c>
      <c r="V55" s="79">
        <f t="shared" si="4"/>
        <v>19</v>
      </c>
      <c r="X55" s="33">
        <f>72+Tabell71415[[#This Row],[Tot]]</f>
        <v>91</v>
      </c>
      <c r="AB55" s="141">
        <f>COUNTIFS(Tabell71415[[1]:[18]],4)</f>
        <v>3</v>
      </c>
      <c r="AD55" s="73" t="s">
        <v>164</v>
      </c>
      <c r="AE55" s="142">
        <f>AB55/AB57</f>
        <v>2.0833333333333332E-2</v>
      </c>
      <c r="AL55" s="72">
        <v>6</v>
      </c>
      <c r="AM55" s="164">
        <v>6</v>
      </c>
      <c r="AN55" s="164"/>
      <c r="AO55" s="164" t="s">
        <v>164</v>
      </c>
      <c r="AP55" s="165">
        <v>4.1666666666666664E-2</v>
      </c>
      <c r="AQ55" s="164"/>
      <c r="AR55" s="164">
        <v>2</v>
      </c>
      <c r="AS55" s="164"/>
      <c r="AT55" s="164" t="s">
        <v>164</v>
      </c>
      <c r="AU55" s="164">
        <v>1.2345679012345678E-2</v>
      </c>
      <c r="AV55" s="307">
        <v>4</v>
      </c>
      <c r="AW55" s="307"/>
      <c r="AX55" s="307" t="s">
        <v>164</v>
      </c>
      <c r="AY55" s="307">
        <v>2.7777777777777776E-2</v>
      </c>
      <c r="AZ55" s="307"/>
    </row>
    <row r="56" spans="2:52">
      <c r="B56" s="93" t="s">
        <v>26</v>
      </c>
      <c r="C56" s="94" t="s">
        <v>27</v>
      </c>
      <c r="D56" s="20">
        <v>4</v>
      </c>
      <c r="E56" s="20">
        <v>2</v>
      </c>
      <c r="F56" s="20">
        <v>2</v>
      </c>
      <c r="G56" s="20">
        <v>3</v>
      </c>
      <c r="H56" s="20">
        <v>0</v>
      </c>
      <c r="I56" s="20">
        <v>1</v>
      </c>
      <c r="J56" s="20">
        <v>2</v>
      </c>
      <c r="K56" s="20">
        <v>1</v>
      </c>
      <c r="L56" s="20">
        <v>1</v>
      </c>
      <c r="M56" s="20">
        <v>2</v>
      </c>
      <c r="N56" s="20">
        <v>1</v>
      </c>
      <c r="O56" s="20">
        <v>2</v>
      </c>
      <c r="P56" s="20">
        <v>2</v>
      </c>
      <c r="Q56" s="20">
        <v>1</v>
      </c>
      <c r="R56" s="20">
        <v>3</v>
      </c>
      <c r="S56" s="20">
        <v>1</v>
      </c>
      <c r="T56" s="20">
        <v>1</v>
      </c>
      <c r="U56" s="20">
        <v>3</v>
      </c>
      <c r="V56" s="79">
        <f t="shared" si="4"/>
        <v>32</v>
      </c>
      <c r="X56" s="33">
        <f>70+Tabell71415[[#This Row],[Tot]]</f>
        <v>102</v>
      </c>
      <c r="AB56" s="141">
        <f>COUNTIFS(Tabell71415[[1]:[18]],5)</f>
        <v>3</v>
      </c>
      <c r="AD56" s="73" t="s">
        <v>165</v>
      </c>
      <c r="AE56" s="142">
        <f>AB56/AB57</f>
        <v>2.0833333333333332E-2</v>
      </c>
      <c r="AL56" s="72">
        <v>5</v>
      </c>
      <c r="AM56" s="164">
        <v>5</v>
      </c>
      <c r="AN56" s="164"/>
      <c r="AO56" s="164" t="s">
        <v>165</v>
      </c>
      <c r="AP56" s="165">
        <v>3.4722222222222224E-2</v>
      </c>
      <c r="AQ56" s="164"/>
      <c r="AR56" s="164">
        <v>1</v>
      </c>
      <c r="AS56" s="164"/>
      <c r="AT56" s="164" t="s">
        <v>165</v>
      </c>
      <c r="AU56" s="164">
        <v>6.1728395061728392E-3</v>
      </c>
      <c r="AV56" s="307">
        <v>2</v>
      </c>
      <c r="AW56" s="307"/>
      <c r="AX56" s="307" t="s">
        <v>165</v>
      </c>
      <c r="AY56" s="307">
        <v>1.3888888888888888E-2</v>
      </c>
      <c r="AZ56" s="307"/>
    </row>
    <row r="57" spans="2:52">
      <c r="B57" s="93" t="s">
        <v>26</v>
      </c>
      <c r="C57" s="94" t="s">
        <v>27</v>
      </c>
      <c r="D57" s="20">
        <v>2</v>
      </c>
      <c r="E57" s="20">
        <v>2</v>
      </c>
      <c r="F57" s="20">
        <v>2</v>
      </c>
      <c r="G57" s="20">
        <v>1</v>
      </c>
      <c r="H57" s="20">
        <v>5</v>
      </c>
      <c r="I57" s="20">
        <v>0</v>
      </c>
      <c r="J57" s="20">
        <v>1</v>
      </c>
      <c r="K57" s="20">
        <v>1</v>
      </c>
      <c r="L57" s="20">
        <v>2</v>
      </c>
      <c r="M57" s="20">
        <v>1</v>
      </c>
      <c r="N57" s="20">
        <v>2</v>
      </c>
      <c r="O57" s="20">
        <v>1</v>
      </c>
      <c r="P57" s="20">
        <v>0</v>
      </c>
      <c r="Q57" s="20">
        <v>2</v>
      </c>
      <c r="R57" s="20">
        <v>2</v>
      </c>
      <c r="S57" s="20">
        <v>2</v>
      </c>
      <c r="T57" s="20">
        <v>2</v>
      </c>
      <c r="U57" s="20">
        <v>1</v>
      </c>
      <c r="V57" s="79">
        <f>SUM(D57:U57)</f>
        <v>29</v>
      </c>
      <c r="X57" s="33">
        <f>72+Tabell71415[[#This Row],[Tot]]</f>
        <v>101</v>
      </c>
      <c r="AB57" s="83">
        <f>SUM(AB50:AB56)</f>
        <v>144</v>
      </c>
      <c r="AL57" s="72">
        <v>144</v>
      </c>
      <c r="AM57" s="164">
        <v>144</v>
      </c>
      <c r="AN57" s="164"/>
      <c r="AO57" s="164"/>
      <c r="AP57" s="164"/>
      <c r="AQ57" s="164"/>
      <c r="AR57" s="164">
        <v>162</v>
      </c>
      <c r="AS57" s="164"/>
      <c r="AT57" s="164"/>
      <c r="AU57" s="164"/>
      <c r="AV57" s="307">
        <v>144</v>
      </c>
      <c r="AW57" s="307"/>
      <c r="AX57" s="307"/>
      <c r="AY57" s="307"/>
      <c r="AZ57" s="307"/>
    </row>
    <row r="58" spans="2:52">
      <c r="B58" s="93" t="s">
        <v>26</v>
      </c>
      <c r="C58" s="94" t="s">
        <v>27</v>
      </c>
      <c r="D58" s="20">
        <v>0</v>
      </c>
      <c r="E58" s="20">
        <v>0</v>
      </c>
      <c r="F58" s="20">
        <v>1</v>
      </c>
      <c r="G58" s="20">
        <v>2</v>
      </c>
      <c r="H58" s="20">
        <v>3</v>
      </c>
      <c r="I58" s="20">
        <v>3</v>
      </c>
      <c r="J58" s="20">
        <v>3</v>
      </c>
      <c r="K58" s="20">
        <v>0</v>
      </c>
      <c r="L58" s="20">
        <v>2</v>
      </c>
      <c r="M58" s="20">
        <v>2</v>
      </c>
      <c r="N58" s="20">
        <v>1</v>
      </c>
      <c r="O58" s="20">
        <v>4</v>
      </c>
      <c r="P58" s="20">
        <v>2</v>
      </c>
      <c r="Q58" s="20">
        <v>4</v>
      </c>
      <c r="R58" s="20">
        <v>0</v>
      </c>
      <c r="S58" s="20">
        <v>2</v>
      </c>
      <c r="T58" s="20">
        <v>1</v>
      </c>
      <c r="U58" s="20">
        <v>1</v>
      </c>
      <c r="V58" s="79">
        <f t="shared" si="4"/>
        <v>31</v>
      </c>
      <c r="X58" s="33">
        <f>72+Tabell71415[[#This Row],[Tot]]</f>
        <v>103</v>
      </c>
      <c r="AM58" s="164"/>
      <c r="AN58" s="164"/>
      <c r="AO58" s="164"/>
      <c r="AP58" s="164"/>
      <c r="AQ58" s="164"/>
      <c r="AR58" s="164"/>
      <c r="AS58" s="164"/>
      <c r="AT58" s="164"/>
      <c r="AU58" s="164"/>
      <c r="AV58" s="307"/>
      <c r="AW58" s="307"/>
      <c r="AX58" s="307"/>
      <c r="AY58" s="307"/>
      <c r="AZ58" s="307"/>
    </row>
    <row r="59" spans="2:52">
      <c r="B59" s="93" t="s">
        <v>26</v>
      </c>
      <c r="C59" s="94" t="s">
        <v>27</v>
      </c>
      <c r="D59" s="20">
        <v>1</v>
      </c>
      <c r="E59" s="20">
        <v>1</v>
      </c>
      <c r="F59" s="20">
        <v>0</v>
      </c>
      <c r="G59" s="20">
        <v>2</v>
      </c>
      <c r="H59" s="20">
        <v>2</v>
      </c>
      <c r="I59" s="20">
        <v>2</v>
      </c>
      <c r="J59" s="20">
        <v>0</v>
      </c>
      <c r="K59" s="20">
        <v>1</v>
      </c>
      <c r="L59" s="20">
        <v>1</v>
      </c>
      <c r="M59" s="20">
        <v>2</v>
      </c>
      <c r="N59" s="20">
        <v>1</v>
      </c>
      <c r="O59" s="20">
        <v>1</v>
      </c>
      <c r="P59" s="20">
        <v>0</v>
      </c>
      <c r="Q59" s="20">
        <v>3</v>
      </c>
      <c r="R59" s="20">
        <v>1</v>
      </c>
      <c r="S59" s="20">
        <v>1</v>
      </c>
      <c r="T59" s="20">
        <v>2</v>
      </c>
      <c r="U59" s="20">
        <v>0</v>
      </c>
      <c r="V59" s="79">
        <f t="shared" si="4"/>
        <v>21</v>
      </c>
      <c r="X59" s="34">
        <f>70+Tabell71415[[#This Row],[Tot]]</f>
        <v>91</v>
      </c>
      <c r="AM59" s="164"/>
      <c r="AN59" s="164"/>
      <c r="AO59" s="164"/>
      <c r="AP59" s="164"/>
      <c r="AQ59" s="164"/>
      <c r="AR59" s="164"/>
      <c r="AS59" s="164"/>
      <c r="AT59" s="164"/>
      <c r="AU59" s="164"/>
      <c r="AV59" s="307"/>
      <c r="AW59" s="307"/>
      <c r="AX59" s="307"/>
      <c r="AY59" s="307"/>
      <c r="AZ59" s="307"/>
    </row>
    <row r="60" spans="2:52">
      <c r="B60" s="93" t="s">
        <v>26</v>
      </c>
      <c r="C60" s="94" t="s">
        <v>27</v>
      </c>
      <c r="D60" s="20">
        <v>10</v>
      </c>
      <c r="E60" s="20">
        <v>10</v>
      </c>
      <c r="F60" s="20">
        <v>10</v>
      </c>
      <c r="G60" s="20">
        <v>10</v>
      </c>
      <c r="H60" s="20">
        <v>10</v>
      </c>
      <c r="I60" s="20">
        <v>10</v>
      </c>
      <c r="J60" s="20">
        <v>10</v>
      </c>
      <c r="K60" s="20">
        <v>10</v>
      </c>
      <c r="L60" s="20">
        <v>10</v>
      </c>
      <c r="M60" s="20">
        <v>10</v>
      </c>
      <c r="N60" s="20">
        <v>10</v>
      </c>
      <c r="O60" s="20">
        <v>10</v>
      </c>
      <c r="P60" s="20">
        <v>10</v>
      </c>
      <c r="Q60" s="20">
        <v>10</v>
      </c>
      <c r="R60" s="20">
        <v>10</v>
      </c>
      <c r="S60" s="20">
        <v>10</v>
      </c>
      <c r="T60" s="20">
        <v>10</v>
      </c>
      <c r="U60" s="20">
        <v>10</v>
      </c>
      <c r="V60" s="80">
        <f t="shared" si="4"/>
        <v>180</v>
      </c>
      <c r="X60" s="34">
        <f>70+Tabell71415[[#This Row],[Tot]]</f>
        <v>250</v>
      </c>
      <c r="AM60" s="164"/>
      <c r="AN60" s="164"/>
      <c r="AO60" s="164"/>
      <c r="AP60" s="164"/>
      <c r="AQ60" s="164"/>
      <c r="AR60" s="164"/>
      <c r="AS60" s="164"/>
      <c r="AT60" s="164"/>
      <c r="AU60" s="164"/>
      <c r="AV60" s="307"/>
      <c r="AW60" s="307"/>
      <c r="AX60" s="307"/>
      <c r="AY60" s="307"/>
      <c r="AZ60" s="307"/>
    </row>
    <row r="61" spans="2:52">
      <c r="AM61" s="164"/>
      <c r="AN61" s="164"/>
      <c r="AO61" s="164"/>
      <c r="AP61" s="164"/>
      <c r="AQ61" s="164"/>
      <c r="AR61" s="164"/>
      <c r="AS61" s="164"/>
      <c r="AT61" s="164"/>
      <c r="AU61" s="164"/>
      <c r="AV61" s="307"/>
      <c r="AW61" s="307"/>
      <c r="AX61" s="307"/>
      <c r="AY61" s="307"/>
      <c r="AZ61" s="307"/>
    </row>
    <row r="62" spans="2:52">
      <c r="B62" s="9" t="s">
        <v>2</v>
      </c>
      <c r="C62" s="10" t="s">
        <v>3</v>
      </c>
      <c r="D62" s="26" t="s">
        <v>4</v>
      </c>
      <c r="E62" s="26" t="s">
        <v>5</v>
      </c>
      <c r="F62" s="26" t="s">
        <v>6</v>
      </c>
      <c r="G62" s="26" t="s">
        <v>7</v>
      </c>
      <c r="H62" s="26" t="s">
        <v>8</v>
      </c>
      <c r="I62" s="26" t="s">
        <v>9</v>
      </c>
      <c r="J62" s="26" t="s">
        <v>10</v>
      </c>
      <c r="K62" s="26" t="s">
        <v>11</v>
      </c>
      <c r="L62" s="26" t="s">
        <v>15</v>
      </c>
      <c r="M62" s="26" t="s">
        <v>13</v>
      </c>
      <c r="N62" s="26" t="s">
        <v>138</v>
      </c>
      <c r="O62" s="26" t="s">
        <v>139</v>
      </c>
      <c r="P62" s="26" t="s">
        <v>159</v>
      </c>
      <c r="Q62" s="26" t="s">
        <v>160</v>
      </c>
      <c r="R62" s="26" t="s">
        <v>142</v>
      </c>
      <c r="S62" s="26" t="s">
        <v>143</v>
      </c>
      <c r="T62" s="26" t="s">
        <v>144</v>
      </c>
      <c r="U62" s="26" t="s">
        <v>145</v>
      </c>
      <c r="V62" s="78" t="s">
        <v>58</v>
      </c>
      <c r="X62" s="32" t="s">
        <v>146</v>
      </c>
      <c r="AB62" s="141">
        <f>COUNTIFS(Tabell7141520[[1]:[18]],-1)</f>
        <v>0</v>
      </c>
      <c r="AD62" s="73" t="s">
        <v>54</v>
      </c>
      <c r="AE62" s="142">
        <f>AB62/AB69</f>
        <v>0</v>
      </c>
      <c r="AL62" s="72">
        <v>3</v>
      </c>
      <c r="AM62" s="164">
        <v>3</v>
      </c>
      <c r="AN62" s="164"/>
      <c r="AO62" s="164" t="s">
        <v>54</v>
      </c>
      <c r="AP62" s="165">
        <v>2.0833333333333332E-2</v>
      </c>
      <c r="AQ62" s="164"/>
      <c r="AR62" s="164">
        <v>1</v>
      </c>
      <c r="AS62" s="164"/>
      <c r="AT62" s="164" t="s">
        <v>54</v>
      </c>
      <c r="AU62" s="164">
        <v>6.9444444444444441E-3</v>
      </c>
      <c r="AV62" s="307">
        <v>1</v>
      </c>
      <c r="AW62" s="307"/>
      <c r="AX62" s="307" t="s">
        <v>54</v>
      </c>
      <c r="AY62" s="307">
        <v>6.9444444444444441E-3</v>
      </c>
      <c r="AZ62" s="307"/>
    </row>
    <row r="63" spans="2:52">
      <c r="B63" s="93" t="s">
        <v>32</v>
      </c>
      <c r="C63" s="94" t="s">
        <v>33</v>
      </c>
      <c r="D63" s="20">
        <v>1</v>
      </c>
      <c r="E63" s="20">
        <v>1</v>
      </c>
      <c r="F63" s="20">
        <v>2</v>
      </c>
      <c r="G63" s="20">
        <v>2</v>
      </c>
      <c r="H63" s="20">
        <v>5</v>
      </c>
      <c r="I63" s="20">
        <v>1</v>
      </c>
      <c r="J63" s="20">
        <v>1</v>
      </c>
      <c r="K63" s="20">
        <v>5</v>
      </c>
      <c r="L63" s="20">
        <v>1</v>
      </c>
      <c r="M63" s="20">
        <v>4</v>
      </c>
      <c r="N63" s="20">
        <v>1</v>
      </c>
      <c r="O63" s="20">
        <v>3</v>
      </c>
      <c r="P63" s="20">
        <v>2</v>
      </c>
      <c r="Q63" s="20">
        <v>5</v>
      </c>
      <c r="R63" s="20">
        <v>1</v>
      </c>
      <c r="S63" s="20">
        <v>1</v>
      </c>
      <c r="T63" s="20">
        <v>2</v>
      </c>
      <c r="U63" s="20">
        <v>2</v>
      </c>
      <c r="V63" s="79">
        <f t="shared" ref="V63:V72" si="5">SUM(D63:U63)</f>
        <v>40</v>
      </c>
      <c r="X63" s="33">
        <f>72+V63</f>
        <v>112</v>
      </c>
      <c r="AB63" s="141">
        <f>COUNTIFS(Tabell7141520[[1]:[18]],0)</f>
        <v>12</v>
      </c>
      <c r="AD63" s="73" t="s">
        <v>137</v>
      </c>
      <c r="AE63" s="142">
        <f>AB63/AB69</f>
        <v>8.3333333333333329E-2</v>
      </c>
      <c r="AL63" s="72">
        <v>15</v>
      </c>
      <c r="AM63" s="164">
        <v>15</v>
      </c>
      <c r="AN63" s="164"/>
      <c r="AO63" s="164" t="s">
        <v>137</v>
      </c>
      <c r="AP63" s="165">
        <v>0.10416666666666667</v>
      </c>
      <c r="AQ63" s="164"/>
      <c r="AR63" s="164">
        <v>22</v>
      </c>
      <c r="AS63" s="164"/>
      <c r="AT63" s="164" t="s">
        <v>137</v>
      </c>
      <c r="AU63" s="164">
        <v>0.15277777777777779</v>
      </c>
      <c r="AV63" s="307">
        <v>19</v>
      </c>
      <c r="AW63" s="307"/>
      <c r="AX63" s="307" t="s">
        <v>137</v>
      </c>
      <c r="AY63" s="307">
        <v>0.13194444444444445</v>
      </c>
      <c r="AZ63" s="307"/>
    </row>
    <row r="64" spans="2:52">
      <c r="B64" s="93" t="s">
        <v>32</v>
      </c>
      <c r="C64" s="94" t="s">
        <v>33</v>
      </c>
      <c r="D64" s="20">
        <v>1</v>
      </c>
      <c r="E64" s="20">
        <v>3</v>
      </c>
      <c r="F64" s="20">
        <v>2</v>
      </c>
      <c r="G64" s="20">
        <v>1</v>
      </c>
      <c r="H64" s="20">
        <v>1</v>
      </c>
      <c r="I64" s="20">
        <v>1</v>
      </c>
      <c r="J64" s="20">
        <v>1</v>
      </c>
      <c r="K64" s="20">
        <v>0</v>
      </c>
      <c r="L64" s="20">
        <v>1</v>
      </c>
      <c r="M64" s="20">
        <v>1</v>
      </c>
      <c r="N64" s="20">
        <v>1</v>
      </c>
      <c r="O64" s="20">
        <v>1</v>
      </c>
      <c r="P64" s="20">
        <v>3</v>
      </c>
      <c r="Q64" s="20">
        <v>1</v>
      </c>
      <c r="R64" s="20">
        <v>2</v>
      </c>
      <c r="S64" s="20">
        <v>2</v>
      </c>
      <c r="T64" s="20">
        <v>3</v>
      </c>
      <c r="U64" s="20">
        <v>3</v>
      </c>
      <c r="V64" s="79">
        <f t="shared" si="5"/>
        <v>28</v>
      </c>
      <c r="X64" s="33">
        <f>70+V64</f>
        <v>98</v>
      </c>
      <c r="AB64" s="141">
        <f>COUNTIFS(Tabell7141520[[1]:[18]],1)</f>
        <v>50</v>
      </c>
      <c r="AD64" s="73" t="s">
        <v>161</v>
      </c>
      <c r="AE64" s="142">
        <f>AB64/AB69</f>
        <v>0.34722222222222221</v>
      </c>
      <c r="AL64" s="72">
        <v>56</v>
      </c>
      <c r="AM64" s="164">
        <v>56</v>
      </c>
      <c r="AN64" s="164"/>
      <c r="AO64" s="164" t="s">
        <v>161</v>
      </c>
      <c r="AP64" s="165">
        <v>0.3888888888888889</v>
      </c>
      <c r="AQ64" s="164"/>
      <c r="AR64" s="164">
        <v>51</v>
      </c>
      <c r="AS64" s="164"/>
      <c r="AT64" s="164" t="s">
        <v>161</v>
      </c>
      <c r="AU64" s="164">
        <v>0.35416666666666669</v>
      </c>
      <c r="AV64" s="307">
        <v>47</v>
      </c>
      <c r="AW64" s="307"/>
      <c r="AX64" s="307" t="s">
        <v>161</v>
      </c>
      <c r="AY64" s="307">
        <v>0.3263888888888889</v>
      </c>
      <c r="AZ64" s="307"/>
    </row>
    <row r="65" spans="2:52">
      <c r="B65" s="93" t="s">
        <v>32</v>
      </c>
      <c r="C65" s="94" t="s">
        <v>33</v>
      </c>
      <c r="D65" s="20">
        <v>0</v>
      </c>
      <c r="E65" s="20">
        <v>1</v>
      </c>
      <c r="F65" s="20">
        <v>3</v>
      </c>
      <c r="G65" s="20">
        <v>1</v>
      </c>
      <c r="H65" s="20">
        <v>2</v>
      </c>
      <c r="I65" s="20">
        <v>2</v>
      </c>
      <c r="J65" s="20">
        <v>2</v>
      </c>
      <c r="K65" s="20">
        <v>1</v>
      </c>
      <c r="L65" s="20">
        <v>2</v>
      </c>
      <c r="M65" s="20">
        <v>2</v>
      </c>
      <c r="N65" s="20">
        <v>1</v>
      </c>
      <c r="O65" s="20">
        <v>0</v>
      </c>
      <c r="P65" s="20">
        <v>2</v>
      </c>
      <c r="Q65" s="20">
        <v>3</v>
      </c>
      <c r="R65" s="20">
        <v>1</v>
      </c>
      <c r="S65" s="20">
        <v>1</v>
      </c>
      <c r="T65" s="20">
        <v>2</v>
      </c>
      <c r="U65" s="20">
        <v>2</v>
      </c>
      <c r="V65" s="79">
        <f t="shared" si="5"/>
        <v>28</v>
      </c>
      <c r="X65" s="33">
        <f>72+V65</f>
        <v>100</v>
      </c>
      <c r="AB65" s="141">
        <f>COUNTIFS(Tabell7141520[[1]:[18]],2)</f>
        <v>42</v>
      </c>
      <c r="AD65" s="73" t="s">
        <v>162</v>
      </c>
      <c r="AE65" s="142">
        <f>AB65/AB69</f>
        <v>0.29166666666666669</v>
      </c>
      <c r="AL65" s="72">
        <v>40</v>
      </c>
      <c r="AM65" s="164">
        <v>40</v>
      </c>
      <c r="AN65" s="164"/>
      <c r="AO65" s="164" t="s">
        <v>162</v>
      </c>
      <c r="AP65" s="165">
        <v>0.27777777777777779</v>
      </c>
      <c r="AQ65" s="164"/>
      <c r="AR65" s="164">
        <v>44</v>
      </c>
      <c r="AS65" s="164"/>
      <c r="AT65" s="164" t="s">
        <v>162</v>
      </c>
      <c r="AU65" s="164">
        <v>0.30555555555555558</v>
      </c>
      <c r="AV65" s="307">
        <v>38</v>
      </c>
      <c r="AW65" s="307"/>
      <c r="AX65" s="307" t="s">
        <v>162</v>
      </c>
      <c r="AY65" s="307">
        <v>0.2638888888888889</v>
      </c>
      <c r="AZ65" s="307"/>
    </row>
    <row r="66" spans="2:52">
      <c r="B66" s="93" t="s">
        <v>32</v>
      </c>
      <c r="C66" s="94" t="s">
        <v>33</v>
      </c>
      <c r="D66" s="20">
        <v>3</v>
      </c>
      <c r="E66" s="20">
        <v>1</v>
      </c>
      <c r="F66" s="20">
        <v>1</v>
      </c>
      <c r="G66" s="20">
        <v>0</v>
      </c>
      <c r="H66" s="20">
        <v>0</v>
      </c>
      <c r="I66" s="20">
        <v>1</v>
      </c>
      <c r="J66" s="20">
        <v>2</v>
      </c>
      <c r="K66" s="20">
        <v>2</v>
      </c>
      <c r="L66" s="20">
        <v>1</v>
      </c>
      <c r="M66" s="20">
        <v>2</v>
      </c>
      <c r="N66" s="20">
        <v>4</v>
      </c>
      <c r="O66" s="20">
        <v>2</v>
      </c>
      <c r="P66" s="20">
        <v>0</v>
      </c>
      <c r="Q66" s="20">
        <v>2</v>
      </c>
      <c r="R66" s="20">
        <v>4</v>
      </c>
      <c r="S66" s="20">
        <v>2</v>
      </c>
      <c r="T66" s="20">
        <v>0</v>
      </c>
      <c r="U66" s="20">
        <v>2</v>
      </c>
      <c r="V66" s="79">
        <f t="shared" si="5"/>
        <v>29</v>
      </c>
      <c r="X66" s="33">
        <f>72+V66</f>
        <v>101</v>
      </c>
      <c r="AB66" s="141">
        <f>COUNTIFS(Tabell7141520[[1]:[18]],3)</f>
        <v>27</v>
      </c>
      <c r="AD66" s="73" t="s">
        <v>163</v>
      </c>
      <c r="AE66" s="142">
        <f>AB66/AB69</f>
        <v>0.1875</v>
      </c>
      <c r="AL66" s="72">
        <v>14</v>
      </c>
      <c r="AM66" s="164">
        <v>14</v>
      </c>
      <c r="AN66" s="164"/>
      <c r="AO66" s="164" t="s">
        <v>163</v>
      </c>
      <c r="AP66" s="165">
        <v>9.7222222222222224E-2</v>
      </c>
      <c r="AQ66" s="164"/>
      <c r="AR66" s="164">
        <v>16</v>
      </c>
      <c r="AS66" s="164"/>
      <c r="AT66" s="164" t="s">
        <v>163</v>
      </c>
      <c r="AU66" s="164">
        <v>0.1111111111111111</v>
      </c>
      <c r="AV66" s="307">
        <v>24</v>
      </c>
      <c r="AW66" s="307"/>
      <c r="AX66" s="307" t="s">
        <v>163</v>
      </c>
      <c r="AY66" s="307">
        <v>0.16666666666666666</v>
      </c>
      <c r="AZ66" s="307"/>
    </row>
    <row r="67" spans="2:52">
      <c r="B67" s="93" t="s">
        <v>32</v>
      </c>
      <c r="C67" s="94" t="s">
        <v>33</v>
      </c>
      <c r="D67" s="20">
        <v>1</v>
      </c>
      <c r="E67" s="20">
        <v>2</v>
      </c>
      <c r="F67" s="20">
        <v>1</v>
      </c>
      <c r="G67" s="20">
        <v>1</v>
      </c>
      <c r="H67" s="20">
        <v>3</v>
      </c>
      <c r="I67" s="20">
        <v>3</v>
      </c>
      <c r="J67" s="20">
        <v>2</v>
      </c>
      <c r="K67" s="20">
        <v>2</v>
      </c>
      <c r="L67" s="20">
        <v>1</v>
      </c>
      <c r="M67" s="20">
        <v>1</v>
      </c>
      <c r="N67" s="20">
        <v>1</v>
      </c>
      <c r="O67" s="20">
        <v>3</v>
      </c>
      <c r="P67" s="20">
        <v>3</v>
      </c>
      <c r="Q67" s="20">
        <v>2</v>
      </c>
      <c r="R67" s="20">
        <v>2</v>
      </c>
      <c r="S67" s="20">
        <v>2</v>
      </c>
      <c r="T67" s="20">
        <v>5</v>
      </c>
      <c r="U67" s="20">
        <v>3</v>
      </c>
      <c r="V67" s="79">
        <f t="shared" si="5"/>
        <v>38</v>
      </c>
      <c r="X67" s="33">
        <f>71+V67</f>
        <v>109</v>
      </c>
      <c r="AB67" s="141">
        <f>COUNTIFS(Tabell7141520[[1]:[18]],4)</f>
        <v>7</v>
      </c>
      <c r="AD67" s="73" t="s">
        <v>164</v>
      </c>
      <c r="AE67" s="142">
        <f>AB67/AB69</f>
        <v>4.8611111111111112E-2</v>
      </c>
      <c r="AL67" s="72">
        <v>4</v>
      </c>
      <c r="AM67" s="164">
        <v>4</v>
      </c>
      <c r="AN67" s="164"/>
      <c r="AO67" s="164" t="s">
        <v>164</v>
      </c>
      <c r="AP67" s="165">
        <v>2.7777777777777776E-2</v>
      </c>
      <c r="AQ67" s="164"/>
      <c r="AR67" s="164">
        <v>7</v>
      </c>
      <c r="AS67" s="164"/>
      <c r="AT67" s="164" t="s">
        <v>164</v>
      </c>
      <c r="AU67" s="164">
        <v>4.8611111111111112E-2</v>
      </c>
      <c r="AV67" s="307">
        <v>6</v>
      </c>
      <c r="AW67" s="307"/>
      <c r="AX67" s="307" t="s">
        <v>164</v>
      </c>
      <c r="AY67" s="307">
        <v>4.1666666666666664E-2</v>
      </c>
      <c r="AZ67" s="307"/>
    </row>
    <row r="68" spans="2:52">
      <c r="B68" s="93" t="s">
        <v>32</v>
      </c>
      <c r="C68" s="94" t="s">
        <v>33</v>
      </c>
      <c r="D68" s="20">
        <v>0</v>
      </c>
      <c r="E68" s="20">
        <v>3</v>
      </c>
      <c r="F68" s="20">
        <v>3</v>
      </c>
      <c r="G68" s="20">
        <v>2</v>
      </c>
      <c r="H68" s="20">
        <v>1</v>
      </c>
      <c r="I68" s="20">
        <v>3</v>
      </c>
      <c r="J68" s="20">
        <v>2</v>
      </c>
      <c r="K68" s="20">
        <v>2</v>
      </c>
      <c r="L68" s="20">
        <v>3</v>
      </c>
      <c r="M68" s="20">
        <v>2</v>
      </c>
      <c r="N68" s="20">
        <v>3</v>
      </c>
      <c r="O68" s="20">
        <v>3</v>
      </c>
      <c r="P68" s="20">
        <v>2</v>
      </c>
      <c r="Q68" s="20">
        <v>1</v>
      </c>
      <c r="R68" s="20">
        <v>1</v>
      </c>
      <c r="S68" s="20">
        <v>1</v>
      </c>
      <c r="T68" s="20">
        <v>0</v>
      </c>
      <c r="U68" s="20">
        <v>1</v>
      </c>
      <c r="V68" s="79">
        <f t="shared" si="5"/>
        <v>33</v>
      </c>
      <c r="X68" s="33">
        <f>70+V68</f>
        <v>103</v>
      </c>
      <c r="AB68" s="141">
        <f>COUNTIFS(Tabell7141520[[1]:[18]],5)</f>
        <v>6</v>
      </c>
      <c r="AD68" s="73" t="s">
        <v>165</v>
      </c>
      <c r="AE68" s="142">
        <f>AB68/AB69</f>
        <v>4.1666666666666664E-2</v>
      </c>
      <c r="AL68" s="72">
        <v>12</v>
      </c>
      <c r="AM68" s="164">
        <v>12</v>
      </c>
      <c r="AN68" s="164"/>
      <c r="AO68" s="164" t="s">
        <v>165</v>
      </c>
      <c r="AP68" s="165">
        <v>8.3333333333333329E-2</v>
      </c>
      <c r="AQ68" s="164"/>
      <c r="AR68" s="164">
        <v>3</v>
      </c>
      <c r="AS68" s="164"/>
      <c r="AT68" s="164" t="s">
        <v>165</v>
      </c>
      <c r="AU68" s="164">
        <v>2.0833333333333332E-2</v>
      </c>
      <c r="AV68" s="307">
        <v>9</v>
      </c>
      <c r="AW68" s="307"/>
      <c r="AX68" s="307" t="s">
        <v>165</v>
      </c>
      <c r="AY68" s="307">
        <v>6.25E-2</v>
      </c>
      <c r="AZ68" s="307"/>
    </row>
    <row r="69" spans="2:52">
      <c r="B69" s="93" t="s">
        <v>32</v>
      </c>
      <c r="C69" s="94" t="s">
        <v>33</v>
      </c>
      <c r="D69" s="20">
        <v>10</v>
      </c>
      <c r="E69" s="20">
        <v>10</v>
      </c>
      <c r="F69" s="20">
        <v>10</v>
      </c>
      <c r="G69" s="20">
        <v>10</v>
      </c>
      <c r="H69" s="20">
        <v>10</v>
      </c>
      <c r="I69" s="20">
        <v>10</v>
      </c>
      <c r="J69" s="20">
        <v>10</v>
      </c>
      <c r="K69" s="20">
        <v>10</v>
      </c>
      <c r="L69" s="20">
        <v>10</v>
      </c>
      <c r="M69" s="20">
        <v>10</v>
      </c>
      <c r="N69" s="20">
        <v>10</v>
      </c>
      <c r="O69" s="20">
        <v>10</v>
      </c>
      <c r="P69" s="20">
        <v>10</v>
      </c>
      <c r="Q69" s="20">
        <v>10</v>
      </c>
      <c r="R69" s="20">
        <v>10</v>
      </c>
      <c r="S69" s="20">
        <v>10</v>
      </c>
      <c r="T69" s="20">
        <v>10</v>
      </c>
      <c r="U69" s="20">
        <v>10</v>
      </c>
      <c r="V69" s="79">
        <f t="shared" si="5"/>
        <v>180</v>
      </c>
      <c r="X69" s="33">
        <f>72+V69</f>
        <v>252</v>
      </c>
      <c r="AB69" s="83">
        <f>SUM(AB62:AB68)</f>
        <v>144</v>
      </c>
      <c r="AL69" s="72">
        <v>144</v>
      </c>
      <c r="AM69" s="164">
        <v>144</v>
      </c>
      <c r="AN69" s="164"/>
      <c r="AO69" s="164"/>
      <c r="AP69" s="164"/>
      <c r="AQ69" s="164"/>
      <c r="AR69" s="164">
        <v>144</v>
      </c>
      <c r="AS69" s="164"/>
      <c r="AT69" s="164"/>
      <c r="AU69" s="164"/>
      <c r="AV69" s="307">
        <v>144</v>
      </c>
      <c r="AW69" s="307"/>
      <c r="AX69" s="307"/>
      <c r="AY69" s="307"/>
      <c r="AZ69" s="307"/>
    </row>
    <row r="70" spans="2:52">
      <c r="B70" s="93" t="s">
        <v>32</v>
      </c>
      <c r="C70" s="94" t="s">
        <v>33</v>
      </c>
      <c r="D70" s="20">
        <v>2</v>
      </c>
      <c r="E70" s="20">
        <v>1</v>
      </c>
      <c r="F70" s="20">
        <v>4</v>
      </c>
      <c r="G70" s="20">
        <v>1</v>
      </c>
      <c r="H70" s="20">
        <v>3</v>
      </c>
      <c r="I70" s="20">
        <v>1</v>
      </c>
      <c r="J70" s="20">
        <v>0</v>
      </c>
      <c r="K70" s="20">
        <v>1</v>
      </c>
      <c r="L70" s="20">
        <v>5</v>
      </c>
      <c r="M70" s="20">
        <v>2</v>
      </c>
      <c r="N70" s="20">
        <v>1</v>
      </c>
      <c r="O70" s="20">
        <v>1</v>
      </c>
      <c r="P70" s="20">
        <v>3</v>
      </c>
      <c r="Q70" s="20">
        <v>2</v>
      </c>
      <c r="R70" s="20">
        <v>2</v>
      </c>
      <c r="S70" s="20">
        <v>1</v>
      </c>
      <c r="T70" s="20">
        <v>3</v>
      </c>
      <c r="U70" s="20">
        <v>0</v>
      </c>
      <c r="V70" s="79">
        <f t="shared" si="5"/>
        <v>33</v>
      </c>
      <c r="X70" s="33">
        <f>72+V70</f>
        <v>105</v>
      </c>
      <c r="AM70" s="164"/>
      <c r="AN70" s="164"/>
      <c r="AO70" s="164"/>
      <c r="AP70" s="164"/>
      <c r="AQ70" s="164"/>
      <c r="AR70" s="164"/>
      <c r="AS70" s="164"/>
      <c r="AT70" s="164"/>
      <c r="AU70" s="164"/>
      <c r="AV70" s="307"/>
      <c r="AW70" s="307"/>
      <c r="AX70" s="307"/>
      <c r="AY70" s="307"/>
      <c r="AZ70" s="307"/>
    </row>
    <row r="71" spans="2:52">
      <c r="B71" s="93" t="s">
        <v>32</v>
      </c>
      <c r="C71" s="94" t="s">
        <v>33</v>
      </c>
      <c r="D71" s="20">
        <v>2</v>
      </c>
      <c r="E71" s="20">
        <v>3</v>
      </c>
      <c r="F71" s="20">
        <v>4</v>
      </c>
      <c r="G71" s="20">
        <v>3</v>
      </c>
      <c r="H71" s="20">
        <v>5</v>
      </c>
      <c r="I71" s="20">
        <v>2</v>
      </c>
      <c r="J71" s="20">
        <v>2</v>
      </c>
      <c r="K71" s="20">
        <v>3</v>
      </c>
      <c r="L71" s="20">
        <v>4</v>
      </c>
      <c r="M71" s="20">
        <v>2</v>
      </c>
      <c r="N71" s="20">
        <v>1</v>
      </c>
      <c r="O71" s="20">
        <v>0</v>
      </c>
      <c r="P71" s="20">
        <v>3</v>
      </c>
      <c r="Q71" s="20">
        <v>1</v>
      </c>
      <c r="R71" s="20">
        <v>3</v>
      </c>
      <c r="S71" s="20">
        <v>4</v>
      </c>
      <c r="T71" s="20">
        <v>1</v>
      </c>
      <c r="U71" s="20">
        <v>1</v>
      </c>
      <c r="V71" s="79">
        <f t="shared" si="5"/>
        <v>44</v>
      </c>
      <c r="X71" s="34">
        <f>71+V71</f>
        <v>115</v>
      </c>
      <c r="AM71" s="164"/>
      <c r="AN71" s="164"/>
      <c r="AO71" s="164"/>
      <c r="AP71" s="164"/>
      <c r="AQ71" s="164"/>
      <c r="AR71" s="164"/>
      <c r="AS71" s="164"/>
      <c r="AT71" s="164"/>
      <c r="AU71" s="164"/>
      <c r="AV71" s="307"/>
      <c r="AW71" s="307"/>
      <c r="AX71" s="307"/>
      <c r="AY71" s="307"/>
      <c r="AZ71" s="307"/>
    </row>
    <row r="72" spans="2:52">
      <c r="B72" s="93" t="s">
        <v>32</v>
      </c>
      <c r="C72" s="94" t="s">
        <v>33</v>
      </c>
      <c r="D72" s="20">
        <v>10</v>
      </c>
      <c r="E72" s="20">
        <v>10</v>
      </c>
      <c r="F72" s="20">
        <v>10</v>
      </c>
      <c r="G72" s="20">
        <v>10</v>
      </c>
      <c r="H72" s="20">
        <v>10</v>
      </c>
      <c r="I72" s="20">
        <v>10</v>
      </c>
      <c r="J72" s="20">
        <v>10</v>
      </c>
      <c r="K72" s="20">
        <v>10</v>
      </c>
      <c r="L72" s="20">
        <v>10</v>
      </c>
      <c r="M72" s="20">
        <v>10</v>
      </c>
      <c r="N72" s="20">
        <v>10</v>
      </c>
      <c r="O72" s="20">
        <v>10</v>
      </c>
      <c r="P72" s="20">
        <v>10</v>
      </c>
      <c r="Q72" s="20">
        <v>10</v>
      </c>
      <c r="R72" s="20">
        <v>10</v>
      </c>
      <c r="S72" s="20">
        <v>10</v>
      </c>
      <c r="T72" s="20">
        <v>10</v>
      </c>
      <c r="U72" s="20">
        <v>10</v>
      </c>
      <c r="V72" s="80">
        <f t="shared" si="5"/>
        <v>180</v>
      </c>
      <c r="X72" s="34">
        <f>74+V72</f>
        <v>254</v>
      </c>
      <c r="AM72" s="164"/>
      <c r="AN72" s="164"/>
      <c r="AO72" s="164"/>
      <c r="AP72" s="164"/>
      <c r="AQ72" s="164"/>
      <c r="AR72" s="164"/>
      <c r="AS72" s="164"/>
      <c r="AT72" s="164"/>
      <c r="AU72" s="164"/>
      <c r="AV72" s="307"/>
      <c r="AW72" s="307"/>
      <c r="AX72" s="307"/>
      <c r="AY72" s="307"/>
      <c r="AZ72" s="307"/>
    </row>
    <row r="73" spans="2:52">
      <c r="AM73" s="164"/>
      <c r="AN73" s="164"/>
      <c r="AO73" s="164"/>
      <c r="AP73" s="164"/>
      <c r="AQ73" s="164"/>
      <c r="AR73" s="164"/>
      <c r="AS73" s="164"/>
      <c r="AT73" s="164"/>
      <c r="AU73" s="164"/>
      <c r="AV73" s="307"/>
      <c r="AW73" s="307"/>
      <c r="AX73" s="307"/>
      <c r="AY73" s="307"/>
      <c r="AZ73" s="307"/>
    </row>
    <row r="74" spans="2:52">
      <c r="B74" s="9" t="s">
        <v>2</v>
      </c>
      <c r="C74" s="10" t="s">
        <v>3</v>
      </c>
      <c r="D74" s="26" t="s">
        <v>4</v>
      </c>
      <c r="E74" s="26" t="s">
        <v>5</v>
      </c>
      <c r="F74" s="26" t="s">
        <v>6</v>
      </c>
      <c r="G74" s="26" t="s">
        <v>7</v>
      </c>
      <c r="H74" s="26" t="s">
        <v>8</v>
      </c>
      <c r="I74" s="26" t="s">
        <v>9</v>
      </c>
      <c r="J74" s="26" t="s">
        <v>10</v>
      </c>
      <c r="K74" s="26" t="s">
        <v>11</v>
      </c>
      <c r="L74" s="26" t="s">
        <v>15</v>
      </c>
      <c r="M74" s="26" t="s">
        <v>13</v>
      </c>
      <c r="N74" s="26" t="s">
        <v>138</v>
      </c>
      <c r="O74" s="26" t="s">
        <v>139</v>
      </c>
      <c r="P74" s="26" t="s">
        <v>159</v>
      </c>
      <c r="Q74" s="26" t="s">
        <v>160</v>
      </c>
      <c r="R74" s="26" t="s">
        <v>142</v>
      </c>
      <c r="S74" s="26" t="s">
        <v>143</v>
      </c>
      <c r="T74" s="26" t="s">
        <v>144</v>
      </c>
      <c r="U74" s="26" t="s">
        <v>145</v>
      </c>
      <c r="V74" s="78" t="s">
        <v>58</v>
      </c>
      <c r="X74" s="32" t="s">
        <v>146</v>
      </c>
      <c r="AB74" s="141">
        <f>COUNTIFS(Tabell714152021[[1]:[18]],-1)</f>
        <v>0</v>
      </c>
      <c r="AD74" s="73" t="s">
        <v>54</v>
      </c>
      <c r="AE74" s="142">
        <f>AB74/AB81</f>
        <v>0</v>
      </c>
      <c r="AL74" s="72">
        <v>1</v>
      </c>
      <c r="AM74" s="164">
        <v>1</v>
      </c>
      <c r="AN74" s="164"/>
      <c r="AO74" s="164" t="s">
        <v>54</v>
      </c>
      <c r="AP74" s="165">
        <v>1.1111111111111112E-2</v>
      </c>
      <c r="AQ74" s="164"/>
      <c r="AR74" s="164">
        <v>1</v>
      </c>
      <c r="AS74" s="164"/>
      <c r="AT74" s="164" t="s">
        <v>54</v>
      </c>
      <c r="AU74" s="164">
        <v>6.1728395061728392E-3</v>
      </c>
      <c r="AV74" s="307">
        <v>0</v>
      </c>
      <c r="AW74" s="307"/>
      <c r="AX74" s="307" t="s">
        <v>54</v>
      </c>
      <c r="AY74" s="307">
        <v>0</v>
      </c>
      <c r="AZ74" s="307"/>
    </row>
    <row r="75" spans="2:52">
      <c r="B75" s="93" t="s">
        <v>37</v>
      </c>
      <c r="C75" s="94" t="s">
        <v>38</v>
      </c>
      <c r="D75" s="20">
        <v>1</v>
      </c>
      <c r="E75" s="20">
        <v>2</v>
      </c>
      <c r="F75" s="20">
        <v>3</v>
      </c>
      <c r="G75" s="20">
        <v>1</v>
      </c>
      <c r="H75" s="20">
        <v>1</v>
      </c>
      <c r="I75" s="20">
        <v>3</v>
      </c>
      <c r="J75" s="20">
        <v>2</v>
      </c>
      <c r="K75" s="20">
        <v>2</v>
      </c>
      <c r="L75" s="20">
        <v>2</v>
      </c>
      <c r="M75" s="20">
        <v>1</v>
      </c>
      <c r="N75" s="20">
        <v>4</v>
      </c>
      <c r="O75" s="20">
        <v>0</v>
      </c>
      <c r="P75" s="20">
        <v>2</v>
      </c>
      <c r="Q75" s="20">
        <v>1</v>
      </c>
      <c r="R75" s="20">
        <v>4</v>
      </c>
      <c r="S75" s="20">
        <v>3</v>
      </c>
      <c r="T75" s="20">
        <v>4</v>
      </c>
      <c r="U75" s="20">
        <v>1</v>
      </c>
      <c r="V75" s="79">
        <f t="shared" ref="V75:V84" si="6">SUM(D75:U75)</f>
        <v>37</v>
      </c>
      <c r="X75" s="33">
        <f>72+V75</f>
        <v>109</v>
      </c>
      <c r="AB75" s="141">
        <f>COUNTIFS(Tabell714152021[[1]:[18]],0)</f>
        <v>1</v>
      </c>
      <c r="AD75" s="73" t="s">
        <v>137</v>
      </c>
      <c r="AE75" s="142">
        <f>AB75/AB81</f>
        <v>1.8518518518518517E-2</v>
      </c>
      <c r="AL75" s="72">
        <v>11</v>
      </c>
      <c r="AM75" s="164">
        <v>11</v>
      </c>
      <c r="AN75" s="164"/>
      <c r="AO75" s="164" t="s">
        <v>137</v>
      </c>
      <c r="AP75" s="165">
        <v>0.12222222222222222</v>
      </c>
      <c r="AQ75" s="164"/>
      <c r="AR75" s="164">
        <v>16</v>
      </c>
      <c r="AS75" s="164"/>
      <c r="AT75" s="164" t="s">
        <v>137</v>
      </c>
      <c r="AU75" s="164">
        <v>9.8765432098765427E-2</v>
      </c>
      <c r="AV75" s="307">
        <v>16</v>
      </c>
      <c r="AW75" s="307"/>
      <c r="AX75" s="307" t="s">
        <v>137</v>
      </c>
      <c r="AY75" s="307">
        <v>0.1111111111111111</v>
      </c>
      <c r="AZ75" s="307"/>
    </row>
    <row r="76" spans="2:52">
      <c r="B76" s="93" t="s">
        <v>37</v>
      </c>
      <c r="C76" s="94" t="s">
        <v>38</v>
      </c>
      <c r="D76" s="20">
        <v>10</v>
      </c>
      <c r="E76" s="20">
        <v>10</v>
      </c>
      <c r="F76" s="20">
        <v>10</v>
      </c>
      <c r="G76" s="20">
        <v>10</v>
      </c>
      <c r="H76" s="20">
        <v>10</v>
      </c>
      <c r="I76" s="20">
        <v>10</v>
      </c>
      <c r="J76" s="20">
        <v>10</v>
      </c>
      <c r="K76" s="20">
        <v>10</v>
      </c>
      <c r="L76" s="20">
        <v>10</v>
      </c>
      <c r="M76" s="20">
        <v>10</v>
      </c>
      <c r="N76" s="20">
        <v>10</v>
      </c>
      <c r="O76" s="20">
        <v>10</v>
      </c>
      <c r="P76" s="20">
        <v>10</v>
      </c>
      <c r="Q76" s="20">
        <v>10</v>
      </c>
      <c r="R76" s="20">
        <v>10</v>
      </c>
      <c r="S76" s="20">
        <v>10</v>
      </c>
      <c r="T76" s="20">
        <v>10</v>
      </c>
      <c r="U76" s="20">
        <v>10</v>
      </c>
      <c r="V76" s="79">
        <f t="shared" si="6"/>
        <v>180</v>
      </c>
      <c r="X76" s="33">
        <f>70+V76</f>
        <v>250</v>
      </c>
      <c r="AB76" s="141">
        <f>COUNTIFS(Tabell714152021[[1]:[18]],1)</f>
        <v>16</v>
      </c>
      <c r="AD76" s="73" t="s">
        <v>161</v>
      </c>
      <c r="AE76" s="142">
        <f>AB76/AB81</f>
        <v>0.29629629629629628</v>
      </c>
      <c r="AL76" s="72">
        <v>32</v>
      </c>
      <c r="AM76" s="164">
        <v>32</v>
      </c>
      <c r="AN76" s="164"/>
      <c r="AO76" s="164" t="s">
        <v>161</v>
      </c>
      <c r="AP76" s="165">
        <v>0.35555555555555557</v>
      </c>
      <c r="AQ76" s="164"/>
      <c r="AR76" s="164">
        <v>38</v>
      </c>
      <c r="AS76" s="164"/>
      <c r="AT76" s="164" t="s">
        <v>161</v>
      </c>
      <c r="AU76" s="164">
        <v>0.23456790123456789</v>
      </c>
      <c r="AV76" s="307">
        <v>48</v>
      </c>
      <c r="AW76" s="307"/>
      <c r="AX76" s="307" t="s">
        <v>161</v>
      </c>
      <c r="AY76" s="307">
        <v>0.33333333333333331</v>
      </c>
      <c r="AZ76" s="307"/>
    </row>
    <row r="77" spans="2:52">
      <c r="B77" s="93" t="s">
        <v>37</v>
      </c>
      <c r="C77" s="94" t="s">
        <v>38</v>
      </c>
      <c r="D77" s="20">
        <v>10</v>
      </c>
      <c r="E77" s="20">
        <v>10</v>
      </c>
      <c r="F77" s="20">
        <v>10</v>
      </c>
      <c r="G77" s="20">
        <v>10</v>
      </c>
      <c r="H77" s="20">
        <v>10</v>
      </c>
      <c r="I77" s="20">
        <v>10</v>
      </c>
      <c r="J77" s="20">
        <v>10</v>
      </c>
      <c r="K77" s="20">
        <v>10</v>
      </c>
      <c r="L77" s="20">
        <v>10</v>
      </c>
      <c r="M77" s="20">
        <v>10</v>
      </c>
      <c r="N77" s="20">
        <v>10</v>
      </c>
      <c r="O77" s="20">
        <v>10</v>
      </c>
      <c r="P77" s="20">
        <v>10</v>
      </c>
      <c r="Q77" s="20">
        <v>10</v>
      </c>
      <c r="R77" s="20">
        <v>10</v>
      </c>
      <c r="S77" s="20">
        <v>10</v>
      </c>
      <c r="T77" s="20">
        <v>10</v>
      </c>
      <c r="U77" s="20">
        <v>10</v>
      </c>
      <c r="V77" s="79">
        <f t="shared" si="6"/>
        <v>180</v>
      </c>
      <c r="X77" s="33">
        <f>72+V77</f>
        <v>252</v>
      </c>
      <c r="AB77" s="141">
        <f>COUNTIFS(Tabell714152021[[1]:[18]],2)</f>
        <v>14</v>
      </c>
      <c r="AD77" s="73" t="s">
        <v>162</v>
      </c>
      <c r="AE77" s="142">
        <f>AB77/AB81</f>
        <v>0.25925925925925924</v>
      </c>
      <c r="AL77" s="72">
        <v>21</v>
      </c>
      <c r="AM77" s="164">
        <v>21</v>
      </c>
      <c r="AN77" s="164"/>
      <c r="AO77" s="164" t="s">
        <v>162</v>
      </c>
      <c r="AP77" s="165">
        <v>0.23333333333333334</v>
      </c>
      <c r="AQ77" s="164"/>
      <c r="AR77" s="164">
        <v>57</v>
      </c>
      <c r="AS77" s="164"/>
      <c r="AT77" s="164" t="s">
        <v>162</v>
      </c>
      <c r="AU77" s="164">
        <v>0.35185185185185186</v>
      </c>
      <c r="AV77" s="307">
        <v>42</v>
      </c>
      <c r="AW77" s="307"/>
      <c r="AX77" s="307" t="s">
        <v>162</v>
      </c>
      <c r="AY77" s="307">
        <v>0.29166666666666669</v>
      </c>
      <c r="AZ77" s="307"/>
    </row>
    <row r="78" spans="2:52">
      <c r="B78" s="93" t="s">
        <v>37</v>
      </c>
      <c r="C78" s="94" t="s">
        <v>38</v>
      </c>
      <c r="D78" s="20">
        <v>10</v>
      </c>
      <c r="E78" s="20">
        <v>10</v>
      </c>
      <c r="F78" s="20">
        <v>10</v>
      </c>
      <c r="G78" s="20">
        <v>10</v>
      </c>
      <c r="H78" s="20">
        <v>10</v>
      </c>
      <c r="I78" s="20">
        <v>10</v>
      </c>
      <c r="J78" s="20">
        <v>10</v>
      </c>
      <c r="K78" s="20">
        <v>10</v>
      </c>
      <c r="L78" s="20">
        <v>10</v>
      </c>
      <c r="M78" s="20">
        <v>10</v>
      </c>
      <c r="N78" s="20">
        <v>10</v>
      </c>
      <c r="O78" s="20">
        <v>10</v>
      </c>
      <c r="P78" s="20">
        <v>10</v>
      </c>
      <c r="Q78" s="20">
        <v>10</v>
      </c>
      <c r="R78" s="20">
        <v>10</v>
      </c>
      <c r="S78" s="20">
        <v>10</v>
      </c>
      <c r="T78" s="20">
        <v>10</v>
      </c>
      <c r="U78" s="20">
        <v>10</v>
      </c>
      <c r="V78" s="79">
        <f t="shared" si="6"/>
        <v>180</v>
      </c>
      <c r="X78" s="33">
        <f>72+V78</f>
        <v>252</v>
      </c>
      <c r="AB78" s="141">
        <f>COUNTIFS(Tabell714152021[[1]:[18]],3)</f>
        <v>12</v>
      </c>
      <c r="AD78" s="73" t="s">
        <v>163</v>
      </c>
      <c r="AE78" s="142">
        <f>AB78/AB81</f>
        <v>0.22222222222222221</v>
      </c>
      <c r="AL78" s="72">
        <v>20</v>
      </c>
      <c r="AM78" s="164">
        <v>20</v>
      </c>
      <c r="AN78" s="164"/>
      <c r="AO78" s="164" t="s">
        <v>163</v>
      </c>
      <c r="AP78" s="165">
        <v>0.22222222222222221</v>
      </c>
      <c r="AQ78" s="164"/>
      <c r="AR78" s="164">
        <v>23</v>
      </c>
      <c r="AS78" s="164"/>
      <c r="AT78" s="164" t="s">
        <v>163</v>
      </c>
      <c r="AU78" s="164">
        <v>0.1419753086419753</v>
      </c>
      <c r="AV78" s="307">
        <v>22</v>
      </c>
      <c r="AW78" s="307"/>
      <c r="AX78" s="307" t="s">
        <v>163</v>
      </c>
      <c r="AY78" s="307">
        <v>0.15277777777777779</v>
      </c>
      <c r="AZ78" s="307"/>
    </row>
    <row r="79" spans="2:52">
      <c r="B79" s="93" t="s">
        <v>37</v>
      </c>
      <c r="C79" s="94" t="s">
        <v>38</v>
      </c>
      <c r="D79" s="20">
        <v>1</v>
      </c>
      <c r="E79" s="20">
        <v>2</v>
      </c>
      <c r="F79" s="20">
        <v>2</v>
      </c>
      <c r="G79" s="20">
        <v>2</v>
      </c>
      <c r="H79" s="20">
        <v>5</v>
      </c>
      <c r="I79" s="20">
        <v>2</v>
      </c>
      <c r="J79" s="20">
        <v>4</v>
      </c>
      <c r="K79" s="20">
        <v>1</v>
      </c>
      <c r="L79" s="20">
        <v>3</v>
      </c>
      <c r="M79" s="20">
        <v>2</v>
      </c>
      <c r="N79" s="20">
        <v>3</v>
      </c>
      <c r="O79" s="20">
        <v>3</v>
      </c>
      <c r="P79" s="20">
        <v>4</v>
      </c>
      <c r="Q79" s="20">
        <v>1</v>
      </c>
      <c r="R79" s="20">
        <v>2</v>
      </c>
      <c r="S79" s="20">
        <v>3</v>
      </c>
      <c r="T79" s="20">
        <v>1</v>
      </c>
      <c r="U79" s="20">
        <v>3</v>
      </c>
      <c r="V79" s="79">
        <f t="shared" si="6"/>
        <v>44</v>
      </c>
      <c r="X79" s="33">
        <f>71+V79</f>
        <v>115</v>
      </c>
      <c r="AB79" s="141">
        <f>COUNTIFS(Tabell714152021[[1]:[18]],4)</f>
        <v>8</v>
      </c>
      <c r="AD79" s="73" t="s">
        <v>164</v>
      </c>
      <c r="AE79" s="142">
        <f>AB79/AB81</f>
        <v>0.14814814814814814</v>
      </c>
      <c r="AL79" s="72">
        <v>1</v>
      </c>
      <c r="AM79" s="164">
        <v>1</v>
      </c>
      <c r="AN79" s="164"/>
      <c r="AO79" s="164" t="s">
        <v>164</v>
      </c>
      <c r="AP79" s="165">
        <v>1.1111111111111112E-2</v>
      </c>
      <c r="AQ79" s="164"/>
      <c r="AR79" s="164">
        <v>16</v>
      </c>
      <c r="AS79" s="164"/>
      <c r="AT79" s="164" t="s">
        <v>164</v>
      </c>
      <c r="AU79" s="164">
        <v>9.8765432098765427E-2</v>
      </c>
      <c r="AV79" s="307">
        <v>11</v>
      </c>
      <c r="AW79" s="307"/>
      <c r="AX79" s="307" t="s">
        <v>164</v>
      </c>
      <c r="AY79" s="307">
        <v>7.6388888888888895E-2</v>
      </c>
      <c r="AZ79" s="307"/>
    </row>
    <row r="80" spans="2:52">
      <c r="B80" s="93" t="s">
        <v>37</v>
      </c>
      <c r="C80" s="94" t="s">
        <v>38</v>
      </c>
      <c r="D80" s="20">
        <v>10</v>
      </c>
      <c r="E80" s="20">
        <v>10</v>
      </c>
      <c r="F80" s="20">
        <v>10</v>
      </c>
      <c r="G80" s="20">
        <v>10</v>
      </c>
      <c r="H80" s="20">
        <v>10</v>
      </c>
      <c r="I80" s="20">
        <v>10</v>
      </c>
      <c r="J80" s="20">
        <v>10</v>
      </c>
      <c r="K80" s="20">
        <v>10</v>
      </c>
      <c r="L80" s="20">
        <v>10</v>
      </c>
      <c r="M80" s="20">
        <v>10</v>
      </c>
      <c r="N80" s="20">
        <v>10</v>
      </c>
      <c r="O80" s="20">
        <v>10</v>
      </c>
      <c r="P80" s="20">
        <v>10</v>
      </c>
      <c r="Q80" s="20">
        <v>10</v>
      </c>
      <c r="R80" s="20">
        <v>10</v>
      </c>
      <c r="S80" s="20">
        <v>10</v>
      </c>
      <c r="T80" s="20">
        <v>10</v>
      </c>
      <c r="U80" s="20">
        <v>10</v>
      </c>
      <c r="V80" s="79">
        <f t="shared" si="6"/>
        <v>180</v>
      </c>
      <c r="X80" s="33">
        <f>70+V80</f>
        <v>250</v>
      </c>
      <c r="AB80" s="141">
        <f>COUNTIFS(Tabell714152021[[1]:[18]],5)</f>
        <v>3</v>
      </c>
      <c r="AD80" s="73" t="s">
        <v>165</v>
      </c>
      <c r="AE80" s="142">
        <f>AB80/AB81</f>
        <v>5.5555555555555552E-2</v>
      </c>
      <c r="AL80" s="72">
        <v>4</v>
      </c>
      <c r="AM80" s="164">
        <v>4</v>
      </c>
      <c r="AN80" s="164"/>
      <c r="AO80" s="164" t="s">
        <v>165</v>
      </c>
      <c r="AP80" s="165">
        <v>4.4444444444444446E-2</v>
      </c>
      <c r="AQ80" s="164"/>
      <c r="AR80" s="164">
        <v>11</v>
      </c>
      <c r="AS80" s="164"/>
      <c r="AT80" s="164" t="s">
        <v>165</v>
      </c>
      <c r="AU80" s="164">
        <v>6.7901234567901231E-2</v>
      </c>
      <c r="AV80" s="307">
        <v>5</v>
      </c>
      <c r="AW80" s="307"/>
      <c r="AX80" s="307" t="s">
        <v>165</v>
      </c>
      <c r="AY80" s="307">
        <v>3.4722222222222224E-2</v>
      </c>
      <c r="AZ80" s="307"/>
    </row>
    <row r="81" spans="2:52">
      <c r="B81" s="93" t="s">
        <v>37</v>
      </c>
      <c r="C81" s="94" t="s">
        <v>38</v>
      </c>
      <c r="D81" s="20">
        <v>1</v>
      </c>
      <c r="E81" s="20">
        <v>4</v>
      </c>
      <c r="F81" s="20">
        <v>5</v>
      </c>
      <c r="G81" s="20">
        <v>4</v>
      </c>
      <c r="H81" s="20">
        <v>1</v>
      </c>
      <c r="I81" s="20">
        <v>3</v>
      </c>
      <c r="J81" s="20">
        <v>2</v>
      </c>
      <c r="K81" s="20">
        <v>5</v>
      </c>
      <c r="L81" s="20">
        <v>1</v>
      </c>
      <c r="M81" s="20">
        <v>1</v>
      </c>
      <c r="N81" s="20">
        <v>1</v>
      </c>
      <c r="O81" s="20">
        <v>3</v>
      </c>
      <c r="P81" s="20">
        <v>1</v>
      </c>
      <c r="Q81" s="20">
        <v>2</v>
      </c>
      <c r="R81" s="20">
        <v>2</v>
      </c>
      <c r="S81" s="20">
        <v>4</v>
      </c>
      <c r="T81" s="20">
        <v>3</v>
      </c>
      <c r="U81" s="20">
        <v>3</v>
      </c>
      <c r="V81" s="79">
        <f t="shared" si="6"/>
        <v>46</v>
      </c>
      <c r="X81" s="33">
        <f>72+V81</f>
        <v>118</v>
      </c>
      <c r="AB81" s="83">
        <f>SUM(AB74:AB80)</f>
        <v>54</v>
      </c>
      <c r="AL81" s="72">
        <v>90</v>
      </c>
      <c r="AM81" s="164">
        <v>90</v>
      </c>
      <c r="AN81" s="164"/>
      <c r="AO81" s="164"/>
      <c r="AP81" s="164"/>
      <c r="AQ81" s="164"/>
      <c r="AR81" s="164">
        <v>162</v>
      </c>
      <c r="AS81" s="164"/>
      <c r="AT81" s="164"/>
      <c r="AU81" s="164"/>
      <c r="AV81" s="307">
        <v>144</v>
      </c>
      <c r="AW81" s="307"/>
      <c r="AX81" s="307"/>
      <c r="AY81" s="307"/>
      <c r="AZ81" s="307"/>
    </row>
    <row r="82" spans="2:52">
      <c r="B82" s="93" t="s">
        <v>37</v>
      </c>
      <c r="C82" s="94" t="s">
        <v>38</v>
      </c>
      <c r="D82" s="20">
        <v>10</v>
      </c>
      <c r="E82" s="20">
        <v>10</v>
      </c>
      <c r="F82" s="20">
        <v>10</v>
      </c>
      <c r="G82" s="20">
        <v>10</v>
      </c>
      <c r="H82" s="20">
        <v>10</v>
      </c>
      <c r="I82" s="20">
        <v>10</v>
      </c>
      <c r="J82" s="20">
        <v>10</v>
      </c>
      <c r="K82" s="20">
        <v>10</v>
      </c>
      <c r="L82" s="20">
        <v>10</v>
      </c>
      <c r="M82" s="20">
        <v>10</v>
      </c>
      <c r="N82" s="20">
        <v>10</v>
      </c>
      <c r="O82" s="20">
        <v>10</v>
      </c>
      <c r="P82" s="20">
        <v>10</v>
      </c>
      <c r="Q82" s="20">
        <v>10</v>
      </c>
      <c r="R82" s="20">
        <v>10</v>
      </c>
      <c r="S82" s="20">
        <v>10</v>
      </c>
      <c r="T82" s="20">
        <v>10</v>
      </c>
      <c r="U82" s="20">
        <v>10</v>
      </c>
      <c r="V82" s="79">
        <f t="shared" si="6"/>
        <v>180</v>
      </c>
      <c r="X82" s="33">
        <f>72+V82</f>
        <v>252</v>
      </c>
      <c r="AM82" s="164"/>
      <c r="AN82" s="164"/>
      <c r="AO82" s="164"/>
      <c r="AP82" s="164"/>
      <c r="AQ82" s="164"/>
      <c r="AR82" s="164"/>
      <c r="AS82" s="164"/>
      <c r="AT82" s="164"/>
      <c r="AU82" s="164"/>
      <c r="AV82" s="307"/>
      <c r="AW82" s="307"/>
      <c r="AX82" s="307"/>
      <c r="AY82" s="307"/>
      <c r="AZ82" s="307"/>
    </row>
    <row r="83" spans="2:52">
      <c r="B83" s="93" t="s">
        <v>37</v>
      </c>
      <c r="C83" s="94" t="s">
        <v>38</v>
      </c>
      <c r="D83" s="20">
        <v>10</v>
      </c>
      <c r="E83" s="20">
        <v>10</v>
      </c>
      <c r="F83" s="20">
        <v>10</v>
      </c>
      <c r="G83" s="20">
        <v>10</v>
      </c>
      <c r="H83" s="20">
        <v>10</v>
      </c>
      <c r="I83" s="20">
        <v>10</v>
      </c>
      <c r="J83" s="20">
        <v>10</v>
      </c>
      <c r="K83" s="20">
        <v>10</v>
      </c>
      <c r="L83" s="20">
        <v>10</v>
      </c>
      <c r="M83" s="20">
        <v>10</v>
      </c>
      <c r="N83" s="20">
        <v>10</v>
      </c>
      <c r="O83" s="20">
        <v>10</v>
      </c>
      <c r="P83" s="20">
        <v>10</v>
      </c>
      <c r="Q83" s="20">
        <v>10</v>
      </c>
      <c r="R83" s="20">
        <v>10</v>
      </c>
      <c r="S83" s="20">
        <v>10</v>
      </c>
      <c r="T83" s="20">
        <v>10</v>
      </c>
      <c r="U83" s="20">
        <v>10</v>
      </c>
      <c r="V83" s="79">
        <f t="shared" si="6"/>
        <v>180</v>
      </c>
      <c r="X83" s="33">
        <f>72+V83</f>
        <v>252</v>
      </c>
      <c r="AM83" s="164"/>
      <c r="AN83" s="164"/>
      <c r="AO83" s="164"/>
      <c r="AP83" s="164"/>
      <c r="AQ83" s="164"/>
      <c r="AR83" s="164"/>
      <c r="AS83" s="164"/>
      <c r="AT83" s="164"/>
      <c r="AU83" s="164"/>
      <c r="AV83" s="307"/>
      <c r="AW83" s="307"/>
      <c r="AX83" s="307"/>
      <c r="AY83" s="307"/>
      <c r="AZ83" s="307"/>
    </row>
    <row r="84" spans="2:52">
      <c r="B84" s="93" t="s">
        <v>37</v>
      </c>
      <c r="C84" s="94" t="s">
        <v>38</v>
      </c>
      <c r="D84" s="20">
        <v>10</v>
      </c>
      <c r="E84" s="20">
        <v>10</v>
      </c>
      <c r="F84" s="20">
        <v>10</v>
      </c>
      <c r="G84" s="20">
        <v>10</v>
      </c>
      <c r="H84" s="20">
        <v>10</v>
      </c>
      <c r="I84" s="20">
        <v>10</v>
      </c>
      <c r="J84" s="20">
        <v>10</v>
      </c>
      <c r="K84" s="20">
        <v>10</v>
      </c>
      <c r="L84" s="20">
        <v>10</v>
      </c>
      <c r="M84" s="20">
        <v>10</v>
      </c>
      <c r="N84" s="20">
        <v>10</v>
      </c>
      <c r="O84" s="20">
        <v>10</v>
      </c>
      <c r="P84" s="20">
        <v>10</v>
      </c>
      <c r="Q84" s="20">
        <v>10</v>
      </c>
      <c r="R84" s="20">
        <v>10</v>
      </c>
      <c r="S84" s="20">
        <v>10</v>
      </c>
      <c r="T84" s="20">
        <v>10</v>
      </c>
      <c r="U84" s="20">
        <v>10</v>
      </c>
      <c r="V84" s="80">
        <f t="shared" si="6"/>
        <v>180</v>
      </c>
      <c r="X84" s="34">
        <f>71+V84</f>
        <v>251</v>
      </c>
      <c r="AM84" s="164"/>
      <c r="AN84" s="164"/>
      <c r="AO84" s="164"/>
      <c r="AP84" s="164"/>
      <c r="AQ84" s="164"/>
      <c r="AR84" s="164"/>
      <c r="AS84" s="164"/>
      <c r="AT84" s="164"/>
      <c r="AU84" s="164"/>
      <c r="AV84" s="307"/>
      <c r="AW84" s="307"/>
      <c r="AX84" s="307"/>
      <c r="AY84" s="307"/>
      <c r="AZ84" s="307"/>
    </row>
    <row r="85" spans="2:52">
      <c r="AM85" s="164"/>
      <c r="AN85" s="164"/>
      <c r="AO85" s="164"/>
      <c r="AP85" s="164"/>
      <c r="AQ85" s="164"/>
      <c r="AR85" s="164"/>
      <c r="AS85" s="164"/>
      <c r="AT85" s="164"/>
      <c r="AU85" s="164"/>
      <c r="AV85" s="307"/>
      <c r="AW85" s="307"/>
      <c r="AX85" s="307"/>
      <c r="AY85" s="307"/>
      <c r="AZ85" s="307"/>
    </row>
    <row r="86" spans="2:52">
      <c r="B86" s="9" t="s">
        <v>2</v>
      </c>
      <c r="C86" s="10" t="s">
        <v>3</v>
      </c>
      <c r="D86" s="26" t="s">
        <v>4</v>
      </c>
      <c r="E86" s="26" t="s">
        <v>5</v>
      </c>
      <c r="F86" s="26" t="s">
        <v>6</v>
      </c>
      <c r="G86" s="26" t="s">
        <v>7</v>
      </c>
      <c r="H86" s="26" t="s">
        <v>8</v>
      </c>
      <c r="I86" s="26" t="s">
        <v>9</v>
      </c>
      <c r="J86" s="26" t="s">
        <v>10</v>
      </c>
      <c r="K86" s="26" t="s">
        <v>11</v>
      </c>
      <c r="L86" s="26" t="s">
        <v>15</v>
      </c>
      <c r="M86" s="26" t="s">
        <v>13</v>
      </c>
      <c r="N86" s="26" t="s">
        <v>138</v>
      </c>
      <c r="O86" s="26" t="s">
        <v>139</v>
      </c>
      <c r="P86" s="26" t="s">
        <v>159</v>
      </c>
      <c r="Q86" s="26" t="s">
        <v>160</v>
      </c>
      <c r="R86" s="26" t="s">
        <v>142</v>
      </c>
      <c r="S86" s="26" t="s">
        <v>143</v>
      </c>
      <c r="T86" s="26" t="s">
        <v>144</v>
      </c>
      <c r="U86" s="26" t="s">
        <v>145</v>
      </c>
      <c r="V86" s="78" t="s">
        <v>58</v>
      </c>
      <c r="X86" s="32" t="s">
        <v>146</v>
      </c>
      <c r="AB86" s="141">
        <f>COUNTIFS(Tabell71415202134[[1]:[18]],-1)</f>
        <v>1</v>
      </c>
      <c r="AD86" s="73" t="s">
        <v>54</v>
      </c>
      <c r="AE86" s="142">
        <f>AB86/AB93</f>
        <v>9.2592592592592587E-3</v>
      </c>
      <c r="AL86" s="72">
        <v>2</v>
      </c>
      <c r="AM86" s="164">
        <v>2</v>
      </c>
      <c r="AN86" s="164"/>
      <c r="AO86" s="164" t="s">
        <v>54</v>
      </c>
      <c r="AP86" s="165">
        <v>1.3888888888888888E-2</v>
      </c>
      <c r="AQ86" s="164"/>
      <c r="AR86" s="164">
        <v>0</v>
      </c>
      <c r="AS86" s="164"/>
      <c r="AT86" s="164" t="s">
        <v>54</v>
      </c>
      <c r="AU86" s="164">
        <v>0</v>
      </c>
      <c r="AV86" s="307">
        <v>0</v>
      </c>
      <c r="AW86" s="307"/>
      <c r="AX86" s="307" t="s">
        <v>54</v>
      </c>
      <c r="AY86" s="307">
        <v>0</v>
      </c>
      <c r="AZ86" s="307"/>
    </row>
    <row r="87" spans="2:52">
      <c r="B87" s="93" t="s">
        <v>42</v>
      </c>
      <c r="C87" s="94" t="s">
        <v>27</v>
      </c>
      <c r="D87" s="20">
        <v>2</v>
      </c>
      <c r="E87" s="20">
        <v>2</v>
      </c>
      <c r="F87" s="20">
        <v>5</v>
      </c>
      <c r="G87" s="20">
        <v>2</v>
      </c>
      <c r="H87" s="20">
        <v>2</v>
      </c>
      <c r="I87" s="20">
        <v>2</v>
      </c>
      <c r="J87" s="20">
        <v>3</v>
      </c>
      <c r="K87" s="20">
        <v>2</v>
      </c>
      <c r="L87" s="20">
        <v>1</v>
      </c>
      <c r="M87" s="20">
        <v>2</v>
      </c>
      <c r="N87" s="20">
        <v>1</v>
      </c>
      <c r="O87" s="20">
        <v>2</v>
      </c>
      <c r="P87" s="20">
        <v>3</v>
      </c>
      <c r="Q87" s="20">
        <v>1</v>
      </c>
      <c r="R87" s="20">
        <v>2</v>
      </c>
      <c r="S87" s="20">
        <v>1</v>
      </c>
      <c r="T87" s="20">
        <v>3</v>
      </c>
      <c r="U87" s="20">
        <v>3</v>
      </c>
      <c r="V87" s="79">
        <f t="shared" ref="V87:V96" si="7">SUM(D87:U87)</f>
        <v>39</v>
      </c>
      <c r="X87" s="33">
        <f>72+V87</f>
        <v>111</v>
      </c>
      <c r="AB87" s="141">
        <f>COUNTIFS(Tabell71415202134[[1]:[18]],0)</f>
        <v>5</v>
      </c>
      <c r="AD87" s="73" t="s">
        <v>137</v>
      </c>
      <c r="AE87" s="142">
        <f>AB87/AB93</f>
        <v>4.6296296296296294E-2</v>
      </c>
      <c r="AL87" s="72">
        <v>8</v>
      </c>
      <c r="AM87" s="164">
        <v>8</v>
      </c>
      <c r="AN87" s="164"/>
      <c r="AO87" s="164" t="s">
        <v>137</v>
      </c>
      <c r="AP87" s="165">
        <v>5.5555555555555552E-2</v>
      </c>
      <c r="AQ87" s="164"/>
      <c r="AR87" s="164">
        <v>18</v>
      </c>
      <c r="AS87" s="164"/>
      <c r="AT87" s="164" t="s">
        <v>137</v>
      </c>
      <c r="AU87" s="164">
        <v>0.1111111111111111</v>
      </c>
      <c r="AV87" s="307">
        <v>15</v>
      </c>
      <c r="AW87" s="307"/>
      <c r="AX87" s="307" t="s">
        <v>137</v>
      </c>
      <c r="AY87" s="307">
        <v>0.10416666666666667</v>
      </c>
      <c r="AZ87" s="307"/>
    </row>
    <row r="88" spans="2:52">
      <c r="B88" s="93" t="s">
        <v>42</v>
      </c>
      <c r="C88" s="94" t="s">
        <v>27</v>
      </c>
      <c r="D88" s="20">
        <v>1</v>
      </c>
      <c r="E88" s="20">
        <v>1</v>
      </c>
      <c r="F88" s="20">
        <v>3</v>
      </c>
      <c r="G88" s="20">
        <v>4</v>
      </c>
      <c r="H88" s="20">
        <v>3</v>
      </c>
      <c r="I88" s="20">
        <v>1</v>
      </c>
      <c r="J88" s="20">
        <v>1</v>
      </c>
      <c r="K88" s="20">
        <v>3</v>
      </c>
      <c r="L88" s="20">
        <v>2</v>
      </c>
      <c r="M88" s="20">
        <v>0</v>
      </c>
      <c r="N88" s="20">
        <v>2</v>
      </c>
      <c r="O88" s="20">
        <v>1</v>
      </c>
      <c r="P88" s="20">
        <v>2</v>
      </c>
      <c r="Q88" s="20">
        <v>5</v>
      </c>
      <c r="R88" s="20">
        <v>1</v>
      </c>
      <c r="S88" s="20">
        <v>2</v>
      </c>
      <c r="T88" s="20">
        <v>5</v>
      </c>
      <c r="U88" s="20">
        <v>2</v>
      </c>
      <c r="V88" s="79">
        <f t="shared" si="7"/>
        <v>39</v>
      </c>
      <c r="X88" s="33">
        <f>71+V88</f>
        <v>110</v>
      </c>
      <c r="AB88" s="141">
        <f>COUNTIFS(Tabell71415202134[[1]:[18]],1)</f>
        <v>32</v>
      </c>
      <c r="AD88" s="73" t="s">
        <v>161</v>
      </c>
      <c r="AE88" s="142">
        <f>AB88/AB93</f>
        <v>0.29629629629629628</v>
      </c>
      <c r="AL88" s="72">
        <v>37</v>
      </c>
      <c r="AM88" s="164">
        <v>37</v>
      </c>
      <c r="AN88" s="164"/>
      <c r="AO88" s="164" t="s">
        <v>161</v>
      </c>
      <c r="AP88" s="165">
        <v>0.25694444444444442</v>
      </c>
      <c r="AQ88" s="164"/>
      <c r="AR88" s="164">
        <v>54</v>
      </c>
      <c r="AS88" s="164"/>
      <c r="AT88" s="164" t="s">
        <v>161</v>
      </c>
      <c r="AU88" s="164">
        <v>0.33333333333333331</v>
      </c>
      <c r="AV88" s="307">
        <v>45</v>
      </c>
      <c r="AW88" s="307"/>
      <c r="AX88" s="307" t="s">
        <v>161</v>
      </c>
      <c r="AY88" s="307">
        <v>0.3125</v>
      </c>
      <c r="AZ88" s="307"/>
    </row>
    <row r="89" spans="2:52">
      <c r="B89" s="93" t="s">
        <v>42</v>
      </c>
      <c r="C89" s="94" t="s">
        <v>27</v>
      </c>
      <c r="D89" s="20">
        <v>10</v>
      </c>
      <c r="E89" s="20">
        <v>10</v>
      </c>
      <c r="F89" s="20">
        <v>10</v>
      </c>
      <c r="G89" s="20">
        <v>10</v>
      </c>
      <c r="H89" s="20">
        <v>10</v>
      </c>
      <c r="I89" s="20">
        <v>10</v>
      </c>
      <c r="J89" s="20">
        <v>10</v>
      </c>
      <c r="K89" s="20">
        <v>10</v>
      </c>
      <c r="L89" s="20">
        <v>10</v>
      </c>
      <c r="M89" s="20">
        <v>10</v>
      </c>
      <c r="N89" s="20">
        <v>10</v>
      </c>
      <c r="O89" s="20">
        <v>10</v>
      </c>
      <c r="P89" s="20">
        <v>10</v>
      </c>
      <c r="Q89" s="20">
        <v>10</v>
      </c>
      <c r="R89" s="20">
        <v>10</v>
      </c>
      <c r="S89" s="20">
        <v>10</v>
      </c>
      <c r="T89" s="20">
        <v>10</v>
      </c>
      <c r="U89" s="20">
        <v>10</v>
      </c>
      <c r="V89" s="79">
        <f t="shared" si="7"/>
        <v>180</v>
      </c>
      <c r="X89" s="33">
        <f>72+V89</f>
        <v>252</v>
      </c>
      <c r="AB89" s="141">
        <f>COUNTIFS(Tabell71415202134[[1]:[18]],2)</f>
        <v>39</v>
      </c>
      <c r="AD89" s="73" t="s">
        <v>162</v>
      </c>
      <c r="AE89" s="142">
        <f>AB89/AB93</f>
        <v>0.3611111111111111</v>
      </c>
      <c r="AL89" s="72">
        <v>54</v>
      </c>
      <c r="AM89" s="164">
        <v>54</v>
      </c>
      <c r="AN89" s="164"/>
      <c r="AO89" s="164" t="s">
        <v>162</v>
      </c>
      <c r="AP89" s="165">
        <v>0.375</v>
      </c>
      <c r="AQ89" s="164"/>
      <c r="AR89" s="164">
        <v>50</v>
      </c>
      <c r="AS89" s="164"/>
      <c r="AT89" s="164" t="s">
        <v>162</v>
      </c>
      <c r="AU89" s="164">
        <v>0.30864197530864196</v>
      </c>
      <c r="AV89" s="307">
        <v>44</v>
      </c>
      <c r="AW89" s="307"/>
      <c r="AX89" s="307" t="s">
        <v>162</v>
      </c>
      <c r="AY89" s="307">
        <v>0.30555555555555558</v>
      </c>
      <c r="AZ89" s="307"/>
    </row>
    <row r="90" spans="2:52">
      <c r="B90" s="93" t="s">
        <v>42</v>
      </c>
      <c r="C90" s="94" t="s">
        <v>27</v>
      </c>
      <c r="D90" s="20">
        <v>2</v>
      </c>
      <c r="E90" s="20">
        <v>2</v>
      </c>
      <c r="F90" s="20">
        <v>3</v>
      </c>
      <c r="G90" s="20">
        <v>2</v>
      </c>
      <c r="H90" s="20">
        <v>1</v>
      </c>
      <c r="I90" s="20">
        <v>1</v>
      </c>
      <c r="J90" s="20">
        <v>2</v>
      </c>
      <c r="K90" s="20">
        <v>2</v>
      </c>
      <c r="L90" s="20">
        <v>3</v>
      </c>
      <c r="M90" s="20">
        <v>1</v>
      </c>
      <c r="N90" s="20">
        <v>2</v>
      </c>
      <c r="O90" s="20">
        <v>2</v>
      </c>
      <c r="P90" s="20">
        <v>1</v>
      </c>
      <c r="Q90" s="20">
        <v>0</v>
      </c>
      <c r="R90" s="20">
        <v>2</v>
      </c>
      <c r="S90" s="20">
        <v>1</v>
      </c>
      <c r="T90" s="20">
        <v>3</v>
      </c>
      <c r="U90" s="20">
        <v>2</v>
      </c>
      <c r="V90" s="79">
        <f t="shared" si="7"/>
        <v>32</v>
      </c>
      <c r="X90" s="33">
        <f>72+V90</f>
        <v>104</v>
      </c>
      <c r="AB90" s="141">
        <f>COUNTIFS(Tabell71415202134[[1]:[18]],3)</f>
        <v>21</v>
      </c>
      <c r="AD90" s="73" t="s">
        <v>163</v>
      </c>
      <c r="AE90" s="142">
        <f>AB90/AB93</f>
        <v>0.19444444444444445</v>
      </c>
      <c r="AL90" s="72">
        <v>19</v>
      </c>
      <c r="AM90" s="164">
        <v>19</v>
      </c>
      <c r="AN90" s="164"/>
      <c r="AO90" s="164" t="s">
        <v>163</v>
      </c>
      <c r="AP90" s="165">
        <v>0.13194444444444445</v>
      </c>
      <c r="AQ90" s="164"/>
      <c r="AR90" s="164">
        <v>27</v>
      </c>
      <c r="AS90" s="164"/>
      <c r="AT90" s="164" t="s">
        <v>163</v>
      </c>
      <c r="AU90" s="164">
        <v>0.16666666666666666</v>
      </c>
      <c r="AV90" s="307">
        <v>27</v>
      </c>
      <c r="AW90" s="307"/>
      <c r="AX90" s="307" t="s">
        <v>163</v>
      </c>
      <c r="AY90" s="307">
        <v>0.1875</v>
      </c>
      <c r="AZ90" s="307"/>
    </row>
    <row r="91" spans="2:52">
      <c r="B91" s="93" t="s">
        <v>42</v>
      </c>
      <c r="C91" s="94" t="s">
        <v>27</v>
      </c>
      <c r="D91" s="20">
        <v>2</v>
      </c>
      <c r="E91" s="20">
        <v>3</v>
      </c>
      <c r="F91" s="20">
        <v>1</v>
      </c>
      <c r="G91" s="20">
        <v>2</v>
      </c>
      <c r="H91" s="20">
        <v>1</v>
      </c>
      <c r="I91" s="20">
        <v>3</v>
      </c>
      <c r="J91" s="20">
        <v>2</v>
      </c>
      <c r="K91" s="20">
        <v>3</v>
      </c>
      <c r="L91" s="20">
        <v>1</v>
      </c>
      <c r="M91" s="20">
        <v>0</v>
      </c>
      <c r="N91" s="20">
        <v>2</v>
      </c>
      <c r="O91" s="20">
        <v>4</v>
      </c>
      <c r="P91" s="20">
        <v>1</v>
      </c>
      <c r="Q91" s="20">
        <v>1</v>
      </c>
      <c r="R91" s="20">
        <v>2</v>
      </c>
      <c r="S91" s="20">
        <v>3</v>
      </c>
      <c r="T91" s="20">
        <v>2</v>
      </c>
      <c r="U91" s="20">
        <v>1</v>
      </c>
      <c r="V91" s="79">
        <f t="shared" si="7"/>
        <v>34</v>
      </c>
      <c r="X91" s="33">
        <f>72+V91</f>
        <v>106</v>
      </c>
      <c r="AB91" s="141">
        <f>COUNTIFS(Tabell71415202134[[1]:[18]],4)</f>
        <v>4</v>
      </c>
      <c r="AD91" s="73" t="s">
        <v>164</v>
      </c>
      <c r="AE91" s="142">
        <f>AB91/AB93</f>
        <v>3.7037037037037035E-2</v>
      </c>
      <c r="AL91" s="72">
        <v>12</v>
      </c>
      <c r="AM91" s="164">
        <v>12</v>
      </c>
      <c r="AN91" s="164"/>
      <c r="AO91" s="164" t="s">
        <v>164</v>
      </c>
      <c r="AP91" s="165">
        <v>8.3333333333333329E-2</v>
      </c>
      <c r="AQ91" s="164"/>
      <c r="AR91" s="164">
        <v>11</v>
      </c>
      <c r="AS91" s="164"/>
      <c r="AT91" s="164" t="s">
        <v>164</v>
      </c>
      <c r="AU91" s="164">
        <v>6.7901234567901231E-2</v>
      </c>
      <c r="AV91" s="307">
        <v>8</v>
      </c>
      <c r="AW91" s="307"/>
      <c r="AX91" s="307" t="s">
        <v>164</v>
      </c>
      <c r="AY91" s="307">
        <v>5.5555555555555552E-2</v>
      </c>
      <c r="AZ91" s="307"/>
    </row>
    <row r="92" spans="2:52">
      <c r="B92" s="93" t="s">
        <v>42</v>
      </c>
      <c r="C92" s="94" t="s">
        <v>27</v>
      </c>
      <c r="D92" s="20">
        <v>2</v>
      </c>
      <c r="E92" s="20">
        <v>3</v>
      </c>
      <c r="F92" s="20">
        <v>2</v>
      </c>
      <c r="G92" s="20">
        <v>1</v>
      </c>
      <c r="H92" s="20">
        <v>1</v>
      </c>
      <c r="I92" s="20">
        <v>4</v>
      </c>
      <c r="J92" s="20">
        <v>2</v>
      </c>
      <c r="K92" s="20">
        <v>1</v>
      </c>
      <c r="L92" s="20">
        <v>3</v>
      </c>
      <c r="M92" s="20">
        <v>2</v>
      </c>
      <c r="N92" s="20">
        <v>4</v>
      </c>
      <c r="O92" s="20">
        <v>1</v>
      </c>
      <c r="P92" s="20">
        <v>1</v>
      </c>
      <c r="Q92" s="20">
        <v>3</v>
      </c>
      <c r="R92" s="20">
        <v>5</v>
      </c>
      <c r="S92" s="20">
        <v>3</v>
      </c>
      <c r="T92" s="20">
        <v>2</v>
      </c>
      <c r="U92" s="20">
        <v>0</v>
      </c>
      <c r="V92" s="79">
        <f>SUM(D92:U92)</f>
        <v>40</v>
      </c>
      <c r="X92" s="33">
        <f>70+V92</f>
        <v>110</v>
      </c>
      <c r="AB92" s="141">
        <f>COUNTIFS(Tabell71415202134[[1]:[18]],5)</f>
        <v>6</v>
      </c>
      <c r="AD92" s="73" t="s">
        <v>165</v>
      </c>
      <c r="AE92" s="142">
        <f>AB92/AB93</f>
        <v>5.5555555555555552E-2</v>
      </c>
      <c r="AL92" s="72">
        <v>12</v>
      </c>
      <c r="AM92" s="164">
        <v>12</v>
      </c>
      <c r="AN92" s="164"/>
      <c r="AO92" s="164" t="s">
        <v>165</v>
      </c>
      <c r="AP92" s="165">
        <v>8.3333333333333329E-2</v>
      </c>
      <c r="AQ92" s="164"/>
      <c r="AR92" s="164">
        <v>2</v>
      </c>
      <c r="AS92" s="164"/>
      <c r="AT92" s="164" t="s">
        <v>165</v>
      </c>
      <c r="AU92" s="164">
        <v>1.2345679012345678E-2</v>
      </c>
      <c r="AV92" s="307">
        <v>5</v>
      </c>
      <c r="AW92" s="307"/>
      <c r="AX92" s="307" t="s">
        <v>165</v>
      </c>
      <c r="AY92" s="307">
        <v>3.4722222222222224E-2</v>
      </c>
      <c r="AZ92" s="307"/>
    </row>
    <row r="93" spans="2:52">
      <c r="B93" s="93" t="s">
        <v>42</v>
      </c>
      <c r="C93" s="94" t="s">
        <v>27</v>
      </c>
      <c r="D93" s="20">
        <v>10</v>
      </c>
      <c r="E93" s="20">
        <v>10</v>
      </c>
      <c r="F93" s="20">
        <v>10</v>
      </c>
      <c r="G93" s="20">
        <v>10</v>
      </c>
      <c r="H93" s="20">
        <v>10</v>
      </c>
      <c r="I93" s="20">
        <v>10</v>
      </c>
      <c r="J93" s="20">
        <v>10</v>
      </c>
      <c r="K93" s="20">
        <v>10</v>
      </c>
      <c r="L93" s="20">
        <v>10</v>
      </c>
      <c r="M93" s="20">
        <v>10</v>
      </c>
      <c r="N93" s="20">
        <v>10</v>
      </c>
      <c r="O93" s="20">
        <v>10</v>
      </c>
      <c r="P93" s="20">
        <v>10</v>
      </c>
      <c r="Q93" s="20">
        <v>10</v>
      </c>
      <c r="R93" s="20">
        <v>10</v>
      </c>
      <c r="S93" s="20">
        <v>10</v>
      </c>
      <c r="T93" s="20">
        <v>10</v>
      </c>
      <c r="U93" s="20">
        <v>10</v>
      </c>
      <c r="V93" s="79">
        <f>SUM(D93:U93)</f>
        <v>180</v>
      </c>
      <c r="X93" s="33">
        <f>72+V93</f>
        <v>252</v>
      </c>
      <c r="AB93" s="83">
        <f>SUM(AB86:AB92)</f>
        <v>108</v>
      </c>
      <c r="AL93" s="72">
        <v>144</v>
      </c>
      <c r="AM93" s="164">
        <v>144</v>
      </c>
      <c r="AN93" s="164"/>
      <c r="AO93" s="164"/>
      <c r="AP93" s="164"/>
      <c r="AQ93" s="164"/>
      <c r="AR93" s="164">
        <v>162</v>
      </c>
      <c r="AS93" s="164"/>
      <c r="AT93" s="164"/>
      <c r="AU93" s="164"/>
      <c r="AV93" s="307">
        <v>144</v>
      </c>
      <c r="AW93" s="307"/>
      <c r="AX93" s="307"/>
      <c r="AY93" s="307"/>
      <c r="AZ93" s="307"/>
    </row>
    <row r="94" spans="2:52">
      <c r="B94" s="93" t="s">
        <v>42</v>
      </c>
      <c r="C94" s="94" t="s">
        <v>27</v>
      </c>
      <c r="D94" s="20">
        <v>10</v>
      </c>
      <c r="E94" s="20">
        <v>10</v>
      </c>
      <c r="F94" s="20">
        <v>10</v>
      </c>
      <c r="G94" s="20">
        <v>10</v>
      </c>
      <c r="H94" s="20">
        <v>10</v>
      </c>
      <c r="I94" s="20">
        <v>10</v>
      </c>
      <c r="J94" s="20">
        <v>10</v>
      </c>
      <c r="K94" s="20">
        <v>10</v>
      </c>
      <c r="L94" s="20">
        <v>10</v>
      </c>
      <c r="M94" s="20">
        <v>10</v>
      </c>
      <c r="N94" s="20">
        <v>10</v>
      </c>
      <c r="O94" s="20">
        <v>10</v>
      </c>
      <c r="P94" s="20">
        <v>10</v>
      </c>
      <c r="Q94" s="20">
        <v>10</v>
      </c>
      <c r="R94" s="20">
        <v>10</v>
      </c>
      <c r="S94" s="20">
        <v>10</v>
      </c>
      <c r="T94" s="20">
        <v>10</v>
      </c>
      <c r="U94" s="20">
        <v>10</v>
      </c>
      <c r="V94" s="79">
        <f t="shared" si="7"/>
        <v>180</v>
      </c>
      <c r="X94" s="33">
        <f>72+V94</f>
        <v>252</v>
      </c>
      <c r="AM94" s="164"/>
      <c r="AN94" s="164"/>
      <c r="AO94" s="164"/>
      <c r="AP94" s="164"/>
      <c r="AQ94" s="164"/>
      <c r="AR94" s="164"/>
      <c r="AS94" s="164"/>
      <c r="AT94" s="164"/>
      <c r="AU94" s="164"/>
      <c r="AV94" s="307"/>
      <c r="AW94" s="307"/>
      <c r="AX94" s="307"/>
      <c r="AY94" s="307"/>
      <c r="AZ94" s="307"/>
    </row>
    <row r="95" spans="2:52">
      <c r="B95" s="93" t="s">
        <v>42</v>
      </c>
      <c r="C95" s="94" t="s">
        <v>27</v>
      </c>
      <c r="D95" s="20">
        <v>1</v>
      </c>
      <c r="E95" s="20">
        <v>1</v>
      </c>
      <c r="F95" s="20">
        <v>1</v>
      </c>
      <c r="G95" s="20">
        <v>1</v>
      </c>
      <c r="H95" s="20">
        <v>2</v>
      </c>
      <c r="I95" s="20">
        <v>2</v>
      </c>
      <c r="J95" s="20">
        <v>2</v>
      </c>
      <c r="K95" s="20">
        <v>-1</v>
      </c>
      <c r="L95" s="20">
        <v>5</v>
      </c>
      <c r="M95" s="20">
        <v>3</v>
      </c>
      <c r="N95" s="20">
        <v>0</v>
      </c>
      <c r="O95" s="20">
        <v>2</v>
      </c>
      <c r="P95" s="20">
        <v>2</v>
      </c>
      <c r="Q95" s="20">
        <v>1</v>
      </c>
      <c r="R95" s="20">
        <v>3</v>
      </c>
      <c r="S95" s="20">
        <v>5</v>
      </c>
      <c r="T95" s="20">
        <v>1</v>
      </c>
      <c r="U95" s="20">
        <v>3</v>
      </c>
      <c r="V95" s="79">
        <f t="shared" si="7"/>
        <v>34</v>
      </c>
      <c r="X95" s="33">
        <f>72+V95</f>
        <v>106</v>
      </c>
      <c r="AM95" s="164"/>
      <c r="AN95" s="164"/>
      <c r="AO95" s="164"/>
      <c r="AP95" s="164"/>
      <c r="AQ95" s="164"/>
      <c r="AR95" s="164"/>
      <c r="AS95" s="164"/>
      <c r="AT95" s="164"/>
      <c r="AU95" s="164"/>
      <c r="AV95" s="307"/>
      <c r="AW95" s="307"/>
      <c r="AX95" s="307"/>
      <c r="AY95" s="307"/>
      <c r="AZ95" s="307"/>
    </row>
    <row r="96" spans="2:52">
      <c r="B96" s="93" t="s">
        <v>42</v>
      </c>
      <c r="C96" s="94" t="s">
        <v>27</v>
      </c>
      <c r="D96" s="20">
        <v>10</v>
      </c>
      <c r="E96" s="20">
        <v>10</v>
      </c>
      <c r="F96" s="20">
        <v>10</v>
      </c>
      <c r="G96" s="20">
        <v>10</v>
      </c>
      <c r="H96" s="20">
        <v>10</v>
      </c>
      <c r="I96" s="20">
        <v>10</v>
      </c>
      <c r="J96" s="20">
        <v>10</v>
      </c>
      <c r="K96" s="20">
        <v>10</v>
      </c>
      <c r="L96" s="20">
        <v>10</v>
      </c>
      <c r="M96" s="20">
        <v>10</v>
      </c>
      <c r="N96" s="20">
        <v>10</v>
      </c>
      <c r="O96" s="20">
        <v>10</v>
      </c>
      <c r="P96" s="20">
        <v>10</v>
      </c>
      <c r="Q96" s="20">
        <v>10</v>
      </c>
      <c r="R96" s="20">
        <v>10</v>
      </c>
      <c r="S96" s="20">
        <v>10</v>
      </c>
      <c r="T96" s="20">
        <v>10</v>
      </c>
      <c r="U96" s="20">
        <v>10</v>
      </c>
      <c r="V96" s="80">
        <f t="shared" si="7"/>
        <v>180</v>
      </c>
      <c r="X96" s="34">
        <f>71+V96</f>
        <v>251</v>
      </c>
      <c r="AM96" s="164"/>
      <c r="AN96" s="164"/>
      <c r="AO96" s="164"/>
      <c r="AP96" s="164"/>
      <c r="AQ96" s="164"/>
      <c r="AR96" s="164"/>
      <c r="AS96" s="164"/>
      <c r="AT96" s="164"/>
      <c r="AU96" s="164"/>
      <c r="AV96" s="307"/>
      <c r="AW96" s="307"/>
      <c r="AX96" s="307"/>
      <c r="AY96" s="307"/>
      <c r="AZ96" s="307"/>
    </row>
    <row r="97" spans="2:52">
      <c r="AM97" s="164"/>
      <c r="AN97" s="164"/>
      <c r="AO97" s="164"/>
      <c r="AP97" s="164"/>
      <c r="AQ97" s="164"/>
      <c r="AR97" s="164"/>
      <c r="AS97" s="164"/>
      <c r="AT97" s="164"/>
      <c r="AU97" s="164"/>
      <c r="AV97" s="307"/>
      <c r="AW97" s="307"/>
      <c r="AX97" s="307"/>
      <c r="AY97" s="307"/>
      <c r="AZ97" s="307"/>
    </row>
    <row r="98" spans="2:52">
      <c r="B98" s="9" t="s">
        <v>2</v>
      </c>
      <c r="C98" s="10" t="s">
        <v>3</v>
      </c>
      <c r="D98" s="26" t="s">
        <v>4</v>
      </c>
      <c r="E98" s="26" t="s">
        <v>5</v>
      </c>
      <c r="F98" s="26" t="s">
        <v>6</v>
      </c>
      <c r="G98" s="26" t="s">
        <v>7</v>
      </c>
      <c r="H98" s="26" t="s">
        <v>8</v>
      </c>
      <c r="I98" s="26" t="s">
        <v>9</v>
      </c>
      <c r="J98" s="26" t="s">
        <v>10</v>
      </c>
      <c r="K98" s="26" t="s">
        <v>11</v>
      </c>
      <c r="L98" s="26" t="s">
        <v>15</v>
      </c>
      <c r="M98" s="26" t="s">
        <v>13</v>
      </c>
      <c r="N98" s="26" t="s">
        <v>138</v>
      </c>
      <c r="O98" s="26" t="s">
        <v>139</v>
      </c>
      <c r="P98" s="26" t="s">
        <v>159</v>
      </c>
      <c r="Q98" s="26" t="s">
        <v>160</v>
      </c>
      <c r="R98" s="26" t="s">
        <v>142</v>
      </c>
      <c r="S98" s="26" t="s">
        <v>143</v>
      </c>
      <c r="T98" s="26" t="s">
        <v>144</v>
      </c>
      <c r="U98" s="26" t="s">
        <v>145</v>
      </c>
      <c r="V98" s="78" t="s">
        <v>58</v>
      </c>
      <c r="X98" s="32" t="s">
        <v>146</v>
      </c>
      <c r="AB98" s="141">
        <f>COUNTIFS(Tabell7141520213435[[1]:[18]],-1)</f>
        <v>0</v>
      </c>
      <c r="AD98" s="73" t="s">
        <v>54</v>
      </c>
      <c r="AE98" s="142">
        <f>AB98/AB105</f>
        <v>0</v>
      </c>
      <c r="AL98" s="72">
        <v>3</v>
      </c>
      <c r="AM98" s="164">
        <v>3</v>
      </c>
      <c r="AN98" s="164"/>
      <c r="AO98" s="164" t="s">
        <v>54</v>
      </c>
      <c r="AP98" s="165">
        <v>1.8518518518518517E-2</v>
      </c>
      <c r="AQ98" s="164"/>
      <c r="AR98" s="164">
        <v>4</v>
      </c>
      <c r="AS98" s="164"/>
      <c r="AT98" s="164" t="s">
        <v>54</v>
      </c>
      <c r="AU98" s="164">
        <v>2.7972027972027972E-2</v>
      </c>
      <c r="AV98" s="307">
        <v>4</v>
      </c>
      <c r="AW98" s="307"/>
      <c r="AX98" s="307" t="s">
        <v>54</v>
      </c>
      <c r="AY98" s="307">
        <v>2.4691358024691357E-2</v>
      </c>
      <c r="AZ98" s="307"/>
    </row>
    <row r="99" spans="2:52">
      <c r="B99" s="93" t="s">
        <v>22</v>
      </c>
      <c r="C99" s="94" t="s">
        <v>23</v>
      </c>
      <c r="D99" s="20">
        <v>1</v>
      </c>
      <c r="E99" s="20">
        <v>0</v>
      </c>
      <c r="F99" s="20">
        <v>1</v>
      </c>
      <c r="G99" s="20">
        <v>1</v>
      </c>
      <c r="H99" s="20">
        <v>0</v>
      </c>
      <c r="I99" s="20">
        <v>1</v>
      </c>
      <c r="J99" s="20">
        <v>3</v>
      </c>
      <c r="K99" s="20">
        <v>1</v>
      </c>
      <c r="L99" s="20">
        <v>2</v>
      </c>
      <c r="M99" s="20">
        <v>0</v>
      </c>
      <c r="N99" s="20">
        <v>1</v>
      </c>
      <c r="O99" s="20">
        <v>2</v>
      </c>
      <c r="P99" s="20">
        <v>4</v>
      </c>
      <c r="Q99" s="20">
        <v>1</v>
      </c>
      <c r="R99" s="20">
        <v>2</v>
      </c>
      <c r="S99" s="20">
        <v>3</v>
      </c>
      <c r="T99" s="20">
        <v>2</v>
      </c>
      <c r="U99" s="20">
        <v>1</v>
      </c>
      <c r="V99" s="79">
        <f t="shared" ref="V99:V108" si="8">SUM(D99:U99)</f>
        <v>26</v>
      </c>
      <c r="X99" s="33">
        <f>72+V99</f>
        <v>98</v>
      </c>
      <c r="AB99" s="141">
        <f>COUNTIFS(Tabell7141520213435[[1]:[18]],0)</f>
        <v>25</v>
      </c>
      <c r="AD99" s="73" t="s">
        <v>137</v>
      </c>
      <c r="AE99" s="142">
        <f>AB99/AB105</f>
        <v>0.1736111111111111</v>
      </c>
      <c r="AL99" s="72">
        <v>36</v>
      </c>
      <c r="AM99" s="164">
        <v>36</v>
      </c>
      <c r="AN99" s="164"/>
      <c r="AO99" s="164" t="s">
        <v>137</v>
      </c>
      <c r="AP99" s="165">
        <v>0.22222222222222221</v>
      </c>
      <c r="AQ99" s="164"/>
      <c r="AR99" s="164">
        <v>31</v>
      </c>
      <c r="AS99" s="164"/>
      <c r="AT99" s="164" t="s">
        <v>137</v>
      </c>
      <c r="AU99" s="164">
        <v>0.21678321678321677</v>
      </c>
      <c r="AV99" s="307">
        <v>30</v>
      </c>
      <c r="AW99" s="307"/>
      <c r="AX99" s="307" t="s">
        <v>137</v>
      </c>
      <c r="AY99" s="307">
        <v>0.18518518518518517</v>
      </c>
      <c r="AZ99" s="307"/>
    </row>
    <row r="100" spans="2:52">
      <c r="B100" s="93" t="s">
        <v>22</v>
      </c>
      <c r="C100" s="94" t="s">
        <v>23</v>
      </c>
      <c r="D100" s="20">
        <v>10</v>
      </c>
      <c r="E100" s="20">
        <v>10</v>
      </c>
      <c r="F100" s="20">
        <v>10</v>
      </c>
      <c r="G100" s="20">
        <v>10</v>
      </c>
      <c r="H100" s="20">
        <v>10</v>
      </c>
      <c r="I100" s="20">
        <v>10</v>
      </c>
      <c r="J100" s="20">
        <v>10</v>
      </c>
      <c r="K100" s="20">
        <v>10</v>
      </c>
      <c r="L100" s="20">
        <v>10</v>
      </c>
      <c r="M100" s="20">
        <v>10</v>
      </c>
      <c r="N100" s="20">
        <v>10</v>
      </c>
      <c r="O100" s="20">
        <v>10</v>
      </c>
      <c r="P100" s="20">
        <v>10</v>
      </c>
      <c r="Q100" s="20">
        <v>10</v>
      </c>
      <c r="R100" s="20">
        <v>10</v>
      </c>
      <c r="S100" s="20">
        <v>10</v>
      </c>
      <c r="T100" s="20">
        <v>10</v>
      </c>
      <c r="U100" s="20">
        <v>10</v>
      </c>
      <c r="V100" s="79">
        <v>5</v>
      </c>
      <c r="X100" s="33">
        <f>71+V100</f>
        <v>76</v>
      </c>
      <c r="AB100" s="141">
        <f>COUNTIFS(Tabell7141520213435[[1]:[18]],1)</f>
        <v>66</v>
      </c>
      <c r="AD100" s="73" t="s">
        <v>161</v>
      </c>
      <c r="AE100" s="142">
        <f>AB100/AB105</f>
        <v>0.45833333333333331</v>
      </c>
      <c r="AL100" s="72">
        <v>65</v>
      </c>
      <c r="AM100" s="164">
        <v>65</v>
      </c>
      <c r="AN100" s="164"/>
      <c r="AO100" s="164" t="s">
        <v>161</v>
      </c>
      <c r="AP100" s="165">
        <v>0.40123456790123457</v>
      </c>
      <c r="AQ100" s="164"/>
      <c r="AR100" s="164">
        <v>50</v>
      </c>
      <c r="AS100" s="164"/>
      <c r="AT100" s="164" t="s">
        <v>161</v>
      </c>
      <c r="AU100" s="164">
        <v>0.34965034965034963</v>
      </c>
      <c r="AV100" s="307">
        <v>71</v>
      </c>
      <c r="AW100" s="307"/>
      <c r="AX100" s="307" t="s">
        <v>161</v>
      </c>
      <c r="AY100" s="307">
        <v>0.43827160493827161</v>
      </c>
      <c r="AZ100" s="307"/>
    </row>
    <row r="101" spans="2:52">
      <c r="B101" s="93" t="s">
        <v>22</v>
      </c>
      <c r="C101" s="94" t="s">
        <v>23</v>
      </c>
      <c r="D101" s="20">
        <v>2</v>
      </c>
      <c r="E101" s="20">
        <v>0</v>
      </c>
      <c r="F101" s="20">
        <v>3</v>
      </c>
      <c r="G101" s="20">
        <v>0</v>
      </c>
      <c r="H101" s="20">
        <v>1</v>
      </c>
      <c r="I101" s="20">
        <v>1</v>
      </c>
      <c r="J101" s="20">
        <v>1</v>
      </c>
      <c r="K101" s="20">
        <v>0</v>
      </c>
      <c r="L101" s="20">
        <v>2</v>
      </c>
      <c r="M101" s="20">
        <v>1</v>
      </c>
      <c r="N101" s="20">
        <v>1</v>
      </c>
      <c r="O101" s="20">
        <v>1</v>
      </c>
      <c r="P101" s="20">
        <v>0</v>
      </c>
      <c r="Q101" s="20">
        <v>1</v>
      </c>
      <c r="R101" s="20">
        <v>1</v>
      </c>
      <c r="S101" s="20">
        <v>1</v>
      </c>
      <c r="T101" s="20">
        <v>1</v>
      </c>
      <c r="U101" s="20">
        <v>2</v>
      </c>
      <c r="V101" s="79">
        <f t="shared" si="8"/>
        <v>19</v>
      </c>
      <c r="X101" s="33">
        <f>72+V101</f>
        <v>91</v>
      </c>
      <c r="AB101" s="141">
        <f>COUNTIFS(Tabell7141520213435[[1]:[18]],2)</f>
        <v>37</v>
      </c>
      <c r="AD101" s="73" t="s">
        <v>162</v>
      </c>
      <c r="AE101" s="142">
        <f>AB101/AB105</f>
        <v>0.25694444444444442</v>
      </c>
      <c r="AL101" s="72">
        <v>40</v>
      </c>
      <c r="AM101" s="164">
        <v>40</v>
      </c>
      <c r="AN101" s="164"/>
      <c r="AO101" s="164" t="s">
        <v>162</v>
      </c>
      <c r="AP101" s="165">
        <v>0.24691358024691357</v>
      </c>
      <c r="AQ101" s="164"/>
      <c r="AR101" s="164">
        <v>35</v>
      </c>
      <c r="AS101" s="164"/>
      <c r="AT101" s="164" t="s">
        <v>162</v>
      </c>
      <c r="AU101" s="164">
        <v>0.24475524475524477</v>
      </c>
      <c r="AV101" s="307">
        <v>39</v>
      </c>
      <c r="AW101" s="307"/>
      <c r="AX101" s="307" t="s">
        <v>162</v>
      </c>
      <c r="AY101" s="307">
        <v>0.24074074074074073</v>
      </c>
      <c r="AZ101" s="307"/>
    </row>
    <row r="102" spans="2:52">
      <c r="B102" s="93" t="s">
        <v>22</v>
      </c>
      <c r="C102" s="94" t="s">
        <v>23</v>
      </c>
      <c r="D102" s="20">
        <v>3</v>
      </c>
      <c r="E102" s="20">
        <v>1</v>
      </c>
      <c r="F102" s="20">
        <v>2</v>
      </c>
      <c r="G102" s="20">
        <v>2</v>
      </c>
      <c r="H102" s="20">
        <v>1</v>
      </c>
      <c r="I102" s="20">
        <v>0</v>
      </c>
      <c r="J102" s="20">
        <v>0</v>
      </c>
      <c r="K102" s="20">
        <v>1</v>
      </c>
      <c r="L102" s="20">
        <v>1</v>
      </c>
      <c r="M102" s="20">
        <v>1</v>
      </c>
      <c r="N102" s="20">
        <v>0</v>
      </c>
      <c r="O102" s="20">
        <v>1</v>
      </c>
      <c r="P102" s="20">
        <v>2</v>
      </c>
      <c r="Q102" s="20">
        <v>1</v>
      </c>
      <c r="R102" s="20">
        <v>1</v>
      </c>
      <c r="S102" s="20">
        <v>1</v>
      </c>
      <c r="T102" s="20">
        <v>2</v>
      </c>
      <c r="U102" s="20">
        <v>1</v>
      </c>
      <c r="V102" s="79">
        <f>SUM(D102:U102)</f>
        <v>21</v>
      </c>
      <c r="X102" s="33">
        <f>72+V102</f>
        <v>93</v>
      </c>
      <c r="AB102" s="141">
        <f>COUNTIFS(Tabell7141520213435[[1]:[18]],3)</f>
        <v>14</v>
      </c>
      <c r="AD102" s="73" t="s">
        <v>163</v>
      </c>
      <c r="AE102" s="142">
        <f>AB102/AB105</f>
        <v>9.7222222222222224E-2</v>
      </c>
      <c r="AL102" s="72">
        <v>11</v>
      </c>
      <c r="AM102" s="164">
        <v>11</v>
      </c>
      <c r="AN102" s="164"/>
      <c r="AO102" s="164" t="s">
        <v>163</v>
      </c>
      <c r="AP102" s="165">
        <v>6.7901234567901231E-2</v>
      </c>
      <c r="AQ102" s="164"/>
      <c r="AR102" s="164">
        <v>19</v>
      </c>
      <c r="AS102" s="164"/>
      <c r="AT102" s="164" t="s">
        <v>163</v>
      </c>
      <c r="AU102" s="164">
        <v>0.13286713286713286</v>
      </c>
      <c r="AV102" s="307">
        <v>12</v>
      </c>
      <c r="AW102" s="307"/>
      <c r="AX102" s="307" t="s">
        <v>163</v>
      </c>
      <c r="AY102" s="307">
        <v>7.407407407407407E-2</v>
      </c>
      <c r="AZ102" s="307"/>
    </row>
    <row r="103" spans="2:52">
      <c r="B103" s="93" t="s">
        <v>22</v>
      </c>
      <c r="C103" s="94" t="s">
        <v>23</v>
      </c>
      <c r="D103" s="20">
        <v>1</v>
      </c>
      <c r="E103" s="20">
        <v>0</v>
      </c>
      <c r="F103" s="20">
        <v>0</v>
      </c>
      <c r="G103" s="20">
        <v>2</v>
      </c>
      <c r="H103" s="20">
        <v>1</v>
      </c>
      <c r="I103" s="20">
        <v>1</v>
      </c>
      <c r="J103" s="20">
        <v>2</v>
      </c>
      <c r="K103" s="20">
        <v>1</v>
      </c>
      <c r="L103" s="20">
        <v>2</v>
      </c>
      <c r="M103" s="20">
        <v>3</v>
      </c>
      <c r="N103" s="20">
        <v>0</v>
      </c>
      <c r="O103" s="20">
        <v>2</v>
      </c>
      <c r="P103" s="20">
        <v>2</v>
      </c>
      <c r="Q103" s="20">
        <v>1</v>
      </c>
      <c r="R103" s="20">
        <v>1</v>
      </c>
      <c r="S103" s="20">
        <v>2</v>
      </c>
      <c r="T103" s="20">
        <v>0</v>
      </c>
      <c r="U103" s="20">
        <v>2</v>
      </c>
      <c r="V103" s="79">
        <f t="shared" si="8"/>
        <v>23</v>
      </c>
      <c r="X103" s="33">
        <f>71+V103</f>
        <v>94</v>
      </c>
      <c r="AB103" s="141">
        <f>COUNTIFS(Tabell7141520213435[[1]:[18]],4)</f>
        <v>2</v>
      </c>
      <c r="AD103" s="73" t="s">
        <v>164</v>
      </c>
      <c r="AE103" s="142">
        <f>AB103/AB105</f>
        <v>1.3888888888888888E-2</v>
      </c>
      <c r="AL103" s="72">
        <v>5</v>
      </c>
      <c r="AM103" s="164">
        <v>5</v>
      </c>
      <c r="AN103" s="164"/>
      <c r="AO103" s="164" t="s">
        <v>164</v>
      </c>
      <c r="AP103" s="165">
        <v>3.0864197530864196E-2</v>
      </c>
      <c r="AQ103" s="164"/>
      <c r="AR103" s="164">
        <v>2</v>
      </c>
      <c r="AS103" s="164"/>
      <c r="AT103" s="164" t="s">
        <v>164</v>
      </c>
      <c r="AU103" s="164">
        <v>1.3986013986013986E-2</v>
      </c>
      <c r="AV103" s="307">
        <v>4</v>
      </c>
      <c r="AW103" s="307"/>
      <c r="AX103" s="307" t="s">
        <v>164</v>
      </c>
      <c r="AY103" s="307">
        <v>2.4691358024691357E-2</v>
      </c>
      <c r="AZ103" s="307"/>
    </row>
    <row r="104" spans="2:52">
      <c r="B104" s="93" t="s">
        <v>22</v>
      </c>
      <c r="C104" s="94" t="s">
        <v>23</v>
      </c>
      <c r="D104" s="20">
        <v>1</v>
      </c>
      <c r="E104" s="20">
        <v>3</v>
      </c>
      <c r="F104" s="20">
        <v>2</v>
      </c>
      <c r="G104" s="20">
        <v>2</v>
      </c>
      <c r="H104" s="20">
        <v>1</v>
      </c>
      <c r="I104" s="20">
        <v>1</v>
      </c>
      <c r="J104" s="20">
        <v>1</v>
      </c>
      <c r="K104" s="20">
        <v>0</v>
      </c>
      <c r="L104" s="20">
        <v>0</v>
      </c>
      <c r="M104" s="20">
        <v>1</v>
      </c>
      <c r="N104" s="20">
        <v>1</v>
      </c>
      <c r="O104" s="20">
        <v>1</v>
      </c>
      <c r="P104" s="20">
        <v>2</v>
      </c>
      <c r="Q104" s="20">
        <v>3</v>
      </c>
      <c r="R104" s="20">
        <v>1</v>
      </c>
      <c r="S104" s="20">
        <v>1</v>
      </c>
      <c r="T104" s="20">
        <v>2</v>
      </c>
      <c r="U104" s="20">
        <v>2</v>
      </c>
      <c r="V104" s="79">
        <f t="shared" si="8"/>
        <v>25</v>
      </c>
      <c r="X104" s="33">
        <f>70+V104</f>
        <v>95</v>
      </c>
      <c r="AB104" s="141">
        <f>COUNTIFS(Tabell7141520213435[[1]:[18]],5)</f>
        <v>0</v>
      </c>
      <c r="AD104" s="73" t="s">
        <v>165</v>
      </c>
      <c r="AE104" s="142">
        <f>AB104/AB105</f>
        <v>0</v>
      </c>
      <c r="AL104" s="72">
        <v>2</v>
      </c>
      <c r="AM104" s="164">
        <v>2</v>
      </c>
      <c r="AN104" s="164"/>
      <c r="AO104" s="164" t="s">
        <v>165</v>
      </c>
      <c r="AP104" s="165">
        <v>1.2345679012345678E-2</v>
      </c>
      <c r="AQ104" s="164"/>
      <c r="AR104" s="164">
        <v>2</v>
      </c>
      <c r="AS104" s="164"/>
      <c r="AT104" s="164" t="s">
        <v>165</v>
      </c>
      <c r="AU104" s="164">
        <v>1.3986013986013986E-2</v>
      </c>
      <c r="AV104" s="307">
        <v>2</v>
      </c>
      <c r="AW104" s="307"/>
      <c r="AX104" s="307" t="s">
        <v>165</v>
      </c>
      <c r="AY104" s="307">
        <v>1.2345679012345678E-2</v>
      </c>
      <c r="AZ104" s="307"/>
    </row>
    <row r="105" spans="2:52">
      <c r="B105" s="93" t="s">
        <v>22</v>
      </c>
      <c r="C105" s="94" t="s">
        <v>23</v>
      </c>
      <c r="D105" s="20">
        <v>1</v>
      </c>
      <c r="E105" s="20">
        <v>3</v>
      </c>
      <c r="F105" s="20">
        <v>1</v>
      </c>
      <c r="G105" s="20">
        <v>2</v>
      </c>
      <c r="H105" s="20">
        <v>0</v>
      </c>
      <c r="I105" s="20">
        <v>1</v>
      </c>
      <c r="J105" s="20">
        <v>1</v>
      </c>
      <c r="K105" s="20">
        <v>1</v>
      </c>
      <c r="L105" s="20">
        <v>2</v>
      </c>
      <c r="M105" s="20">
        <v>1</v>
      </c>
      <c r="N105" s="20">
        <v>1</v>
      </c>
      <c r="O105" s="20">
        <v>2</v>
      </c>
      <c r="P105" s="20">
        <v>2</v>
      </c>
      <c r="Q105" s="20">
        <v>1</v>
      </c>
      <c r="R105" s="20">
        <v>3</v>
      </c>
      <c r="S105" s="20">
        <v>1</v>
      </c>
      <c r="T105" s="20">
        <v>1</v>
      </c>
      <c r="U105" s="20">
        <v>0</v>
      </c>
      <c r="V105" s="79">
        <f>SUM(D105:U105)</f>
        <v>24</v>
      </c>
      <c r="X105" s="33">
        <f>72+V105</f>
        <v>96</v>
      </c>
      <c r="AB105" s="83">
        <f>SUM(AB98:AB104)</f>
        <v>144</v>
      </c>
      <c r="AL105" s="72">
        <v>162</v>
      </c>
      <c r="AM105" s="164">
        <v>162</v>
      </c>
      <c r="AN105" s="164"/>
      <c r="AO105" s="164"/>
      <c r="AP105" s="164"/>
      <c r="AQ105" s="164"/>
      <c r="AR105" s="164">
        <v>143</v>
      </c>
      <c r="AS105" s="164"/>
      <c r="AT105" s="164"/>
      <c r="AU105" s="164"/>
      <c r="AV105" s="307">
        <v>162</v>
      </c>
      <c r="AW105" s="307"/>
      <c r="AX105" s="307"/>
      <c r="AY105" s="307"/>
      <c r="AZ105" s="307"/>
    </row>
    <row r="106" spans="2:52">
      <c r="B106" s="93" t="s">
        <v>22</v>
      </c>
      <c r="C106" s="94" t="s">
        <v>23</v>
      </c>
      <c r="D106" s="20">
        <v>1</v>
      </c>
      <c r="E106" s="20">
        <v>2</v>
      </c>
      <c r="F106" s="20">
        <v>2</v>
      </c>
      <c r="G106" s="20">
        <v>4</v>
      </c>
      <c r="H106" s="20">
        <v>1</v>
      </c>
      <c r="I106" s="20">
        <v>0</v>
      </c>
      <c r="J106" s="20">
        <v>2</v>
      </c>
      <c r="K106" s="20">
        <v>2</v>
      </c>
      <c r="L106" s="20">
        <v>2</v>
      </c>
      <c r="M106" s="20">
        <v>1</v>
      </c>
      <c r="N106" s="20">
        <v>0</v>
      </c>
      <c r="O106" s="20">
        <v>3</v>
      </c>
      <c r="P106" s="20">
        <v>0</v>
      </c>
      <c r="Q106" s="20">
        <v>1</v>
      </c>
      <c r="R106" s="20">
        <v>3</v>
      </c>
      <c r="S106" s="20">
        <v>1</v>
      </c>
      <c r="T106" s="20">
        <v>0</v>
      </c>
      <c r="U106" s="20">
        <v>2</v>
      </c>
      <c r="V106" s="79">
        <f t="shared" si="8"/>
        <v>27</v>
      </c>
      <c r="X106" s="33">
        <f>72+V106</f>
        <v>99</v>
      </c>
      <c r="AM106" s="164"/>
      <c r="AN106" s="164"/>
      <c r="AO106" s="164"/>
      <c r="AP106" s="164"/>
      <c r="AQ106" s="164"/>
      <c r="AR106" s="164"/>
      <c r="AS106" s="164"/>
      <c r="AT106" s="164"/>
      <c r="AU106" s="164"/>
      <c r="AV106" s="307"/>
      <c r="AW106" s="307"/>
      <c r="AX106" s="307"/>
      <c r="AY106" s="307"/>
      <c r="AZ106" s="307"/>
    </row>
    <row r="107" spans="2:52">
      <c r="B107" s="93" t="s">
        <v>22</v>
      </c>
      <c r="C107" s="94" t="s">
        <v>23</v>
      </c>
      <c r="D107" s="20">
        <v>2</v>
      </c>
      <c r="E107" s="20">
        <v>3</v>
      </c>
      <c r="F107" s="20">
        <v>1</v>
      </c>
      <c r="G107" s="20">
        <v>0</v>
      </c>
      <c r="H107" s="20">
        <v>1</v>
      </c>
      <c r="I107" s="20">
        <v>1</v>
      </c>
      <c r="J107" s="20">
        <v>3</v>
      </c>
      <c r="K107" s="20">
        <v>0</v>
      </c>
      <c r="L107" s="20">
        <v>3</v>
      </c>
      <c r="M107" s="20">
        <v>1</v>
      </c>
      <c r="N107" s="20">
        <v>1</v>
      </c>
      <c r="O107" s="20">
        <v>1</v>
      </c>
      <c r="P107" s="20">
        <v>0</v>
      </c>
      <c r="Q107" s="20">
        <v>2</v>
      </c>
      <c r="R107" s="20">
        <v>2</v>
      </c>
      <c r="S107" s="20">
        <v>2</v>
      </c>
      <c r="T107" s="20">
        <v>1</v>
      </c>
      <c r="U107" s="20">
        <v>1</v>
      </c>
      <c r="V107" s="79">
        <f t="shared" si="8"/>
        <v>25</v>
      </c>
      <c r="X107" s="33">
        <f>72+V107</f>
        <v>97</v>
      </c>
      <c r="AM107" s="164"/>
      <c r="AN107" s="164"/>
      <c r="AO107" s="164"/>
      <c r="AP107" s="164"/>
      <c r="AQ107" s="164"/>
      <c r="AR107" s="164"/>
      <c r="AS107" s="164"/>
      <c r="AT107" s="164"/>
      <c r="AU107" s="164"/>
      <c r="AV107" s="307"/>
      <c r="AW107" s="307"/>
      <c r="AX107" s="307"/>
      <c r="AY107" s="307"/>
      <c r="AZ107" s="307"/>
    </row>
    <row r="108" spans="2:52">
      <c r="B108" s="93" t="s">
        <v>22</v>
      </c>
      <c r="C108" s="94" t="s">
        <v>23</v>
      </c>
      <c r="D108" s="20">
        <v>10</v>
      </c>
      <c r="E108" s="20">
        <v>10</v>
      </c>
      <c r="F108" s="20">
        <v>10</v>
      </c>
      <c r="G108" s="20">
        <v>10</v>
      </c>
      <c r="H108" s="20">
        <v>10</v>
      </c>
      <c r="I108" s="20">
        <v>10</v>
      </c>
      <c r="J108" s="20">
        <v>10</v>
      </c>
      <c r="K108" s="20">
        <v>10</v>
      </c>
      <c r="L108" s="20">
        <v>10</v>
      </c>
      <c r="M108" s="20">
        <v>10</v>
      </c>
      <c r="N108" s="20">
        <v>10</v>
      </c>
      <c r="O108" s="20">
        <v>10</v>
      </c>
      <c r="P108" s="20">
        <v>10</v>
      </c>
      <c r="Q108" s="20">
        <v>10</v>
      </c>
      <c r="R108" s="20">
        <v>10</v>
      </c>
      <c r="S108" s="20">
        <v>10</v>
      </c>
      <c r="T108" s="20">
        <v>10</v>
      </c>
      <c r="U108" s="20">
        <v>10</v>
      </c>
      <c r="V108" s="80">
        <f t="shared" si="8"/>
        <v>180</v>
      </c>
      <c r="X108" s="34">
        <f>71+V108</f>
        <v>251</v>
      </c>
      <c r="AM108" s="164"/>
      <c r="AN108" s="164"/>
      <c r="AO108" s="164"/>
      <c r="AP108" s="164"/>
      <c r="AQ108" s="164"/>
      <c r="AR108" s="164"/>
      <c r="AS108" s="164"/>
      <c r="AT108" s="164"/>
      <c r="AU108" s="164"/>
      <c r="AV108" s="307"/>
      <c r="AW108" s="307"/>
      <c r="AX108" s="307"/>
      <c r="AY108" s="307"/>
      <c r="AZ108" s="307"/>
    </row>
    <row r="109" spans="2:52">
      <c r="AM109" s="164"/>
      <c r="AN109" s="164"/>
      <c r="AO109" s="164"/>
      <c r="AP109" s="164"/>
      <c r="AQ109" s="164"/>
      <c r="AR109" s="164"/>
      <c r="AS109" s="164"/>
      <c r="AT109" s="164"/>
      <c r="AU109" s="164"/>
      <c r="AV109" s="307"/>
      <c r="AW109" s="307"/>
      <c r="AX109" s="307"/>
      <c r="AY109" s="307"/>
      <c r="AZ109" s="307"/>
    </row>
    <row r="110" spans="2:52">
      <c r="B110" s="9" t="s">
        <v>2</v>
      </c>
      <c r="C110" s="10" t="s">
        <v>3</v>
      </c>
      <c r="D110" s="26" t="s">
        <v>4</v>
      </c>
      <c r="E110" s="26" t="s">
        <v>5</v>
      </c>
      <c r="F110" s="26" t="s">
        <v>6</v>
      </c>
      <c r="G110" s="26" t="s">
        <v>7</v>
      </c>
      <c r="H110" s="26" t="s">
        <v>8</v>
      </c>
      <c r="I110" s="26" t="s">
        <v>9</v>
      </c>
      <c r="J110" s="26" t="s">
        <v>10</v>
      </c>
      <c r="K110" s="26" t="s">
        <v>11</v>
      </c>
      <c r="L110" s="26" t="s">
        <v>15</v>
      </c>
      <c r="M110" s="26" t="s">
        <v>13</v>
      </c>
      <c r="N110" s="26" t="s">
        <v>138</v>
      </c>
      <c r="O110" s="26" t="s">
        <v>139</v>
      </c>
      <c r="P110" s="26" t="s">
        <v>159</v>
      </c>
      <c r="Q110" s="26" t="s">
        <v>160</v>
      </c>
      <c r="R110" s="26" t="s">
        <v>142</v>
      </c>
      <c r="S110" s="26" t="s">
        <v>143</v>
      </c>
      <c r="T110" s="26" t="s">
        <v>144</v>
      </c>
      <c r="U110" s="26" t="s">
        <v>145</v>
      </c>
      <c r="V110" s="78" t="s">
        <v>58</v>
      </c>
      <c r="X110" s="32" t="s">
        <v>146</v>
      </c>
      <c r="AB110" s="141">
        <f>COUNTIFS(Tabell714152021343536[[1]:[18]],-1)</f>
        <v>0</v>
      </c>
      <c r="AD110" s="73" t="s">
        <v>54</v>
      </c>
      <c r="AE110" s="142">
        <f>AB110/AB117</f>
        <v>0</v>
      </c>
      <c r="AL110" s="72">
        <v>1</v>
      </c>
      <c r="AM110" s="164">
        <v>1</v>
      </c>
      <c r="AN110" s="164"/>
      <c r="AO110" s="164" t="s">
        <v>54</v>
      </c>
      <c r="AP110" s="165">
        <v>6.9444444444444441E-3</v>
      </c>
      <c r="AQ110" s="164"/>
      <c r="AR110" s="164">
        <v>0</v>
      </c>
      <c r="AS110" s="164"/>
      <c r="AT110" s="164" t="s">
        <v>54</v>
      </c>
      <c r="AU110" s="165">
        <v>0</v>
      </c>
      <c r="AV110" s="307">
        <v>0</v>
      </c>
      <c r="AW110" s="307"/>
      <c r="AX110" s="307" t="s">
        <v>54</v>
      </c>
      <c r="AY110" s="307">
        <v>0</v>
      </c>
      <c r="AZ110" s="307"/>
    </row>
    <row r="111" spans="2:52">
      <c r="B111" s="93" t="s">
        <v>24</v>
      </c>
      <c r="C111" s="94" t="s">
        <v>25</v>
      </c>
      <c r="D111" s="20">
        <v>3</v>
      </c>
      <c r="E111" s="20">
        <v>1</v>
      </c>
      <c r="F111" s="20">
        <v>2</v>
      </c>
      <c r="G111" s="20">
        <v>2</v>
      </c>
      <c r="H111" s="20">
        <v>1</v>
      </c>
      <c r="I111" s="20">
        <v>1</v>
      </c>
      <c r="J111" s="20">
        <v>2</v>
      </c>
      <c r="K111" s="20">
        <v>0</v>
      </c>
      <c r="L111" s="20">
        <v>1</v>
      </c>
      <c r="M111" s="20">
        <v>1</v>
      </c>
      <c r="N111" s="20">
        <v>2</v>
      </c>
      <c r="O111" s="20">
        <v>2</v>
      </c>
      <c r="P111" s="20">
        <v>5</v>
      </c>
      <c r="Q111" s="20">
        <v>2</v>
      </c>
      <c r="R111" s="20">
        <v>2</v>
      </c>
      <c r="S111" s="20">
        <v>2</v>
      </c>
      <c r="T111" s="20">
        <v>5</v>
      </c>
      <c r="U111" s="20">
        <v>1</v>
      </c>
      <c r="V111" s="79">
        <f t="shared" ref="V111:V120" si="9">SUM(D111:U111)</f>
        <v>35</v>
      </c>
      <c r="X111" s="33">
        <f>72+V111</f>
        <v>107</v>
      </c>
      <c r="AB111" s="141">
        <f>COUNTIFS(Tabell714152021343536[[1]:[18]],0)</f>
        <v>3</v>
      </c>
      <c r="AD111" s="73" t="s">
        <v>137</v>
      </c>
      <c r="AE111" s="142">
        <f>AB111/AB117</f>
        <v>0.1111111111111111</v>
      </c>
      <c r="AL111" s="72">
        <v>24</v>
      </c>
      <c r="AM111" s="164">
        <v>24</v>
      </c>
      <c r="AN111" s="164"/>
      <c r="AO111" s="164" t="s">
        <v>137</v>
      </c>
      <c r="AP111" s="165">
        <v>0.16666666666666666</v>
      </c>
      <c r="AQ111" s="164"/>
      <c r="AR111" s="164">
        <v>17</v>
      </c>
      <c r="AS111" s="164"/>
      <c r="AT111" s="164" t="s">
        <v>137</v>
      </c>
      <c r="AU111" s="165">
        <v>0.10493827160493827</v>
      </c>
      <c r="AV111" s="307">
        <v>11</v>
      </c>
      <c r="AW111" s="307"/>
      <c r="AX111" s="307" t="s">
        <v>137</v>
      </c>
      <c r="AY111" s="307">
        <v>6.7901234567901231E-2</v>
      </c>
      <c r="AZ111" s="307"/>
    </row>
    <row r="112" spans="2:52">
      <c r="B112" s="93" t="s">
        <v>24</v>
      </c>
      <c r="C112" s="94" t="s">
        <v>25</v>
      </c>
      <c r="D112" s="20">
        <v>10</v>
      </c>
      <c r="E112" s="20">
        <v>10</v>
      </c>
      <c r="F112" s="20">
        <v>10</v>
      </c>
      <c r="G112" s="20">
        <v>10</v>
      </c>
      <c r="H112" s="20">
        <v>10</v>
      </c>
      <c r="I112" s="20">
        <v>10</v>
      </c>
      <c r="J112" s="20">
        <v>10</v>
      </c>
      <c r="K112" s="20">
        <v>10</v>
      </c>
      <c r="L112" s="20">
        <v>10</v>
      </c>
      <c r="M112" s="20">
        <v>10</v>
      </c>
      <c r="N112" s="20">
        <v>10</v>
      </c>
      <c r="O112" s="20">
        <v>10</v>
      </c>
      <c r="P112" s="20">
        <v>10</v>
      </c>
      <c r="Q112" s="20">
        <v>10</v>
      </c>
      <c r="R112" s="20">
        <v>10</v>
      </c>
      <c r="S112" s="20">
        <v>10</v>
      </c>
      <c r="T112" s="20">
        <v>10</v>
      </c>
      <c r="U112" s="20">
        <v>10</v>
      </c>
      <c r="V112" s="79">
        <f t="shared" si="9"/>
        <v>180</v>
      </c>
      <c r="X112" s="33">
        <f>70+V112</f>
        <v>250</v>
      </c>
      <c r="AB112" s="141">
        <f>COUNTIFS(Tabell714152021343536[[1]:[18]],1)</f>
        <v>7</v>
      </c>
      <c r="AD112" s="73" t="s">
        <v>161</v>
      </c>
      <c r="AE112" s="142">
        <f>AB112/AB117</f>
        <v>0.25925925925925924</v>
      </c>
      <c r="AL112" s="72">
        <v>43</v>
      </c>
      <c r="AM112" s="164">
        <v>43</v>
      </c>
      <c r="AN112" s="164"/>
      <c r="AO112" s="164" t="s">
        <v>161</v>
      </c>
      <c r="AP112" s="165">
        <v>0.2986111111111111</v>
      </c>
      <c r="AQ112" s="164"/>
      <c r="AR112" s="164">
        <v>61</v>
      </c>
      <c r="AS112" s="164"/>
      <c r="AT112" s="164" t="s">
        <v>161</v>
      </c>
      <c r="AU112" s="165">
        <v>0.37654320987654322</v>
      </c>
      <c r="AV112" s="307">
        <v>65</v>
      </c>
      <c r="AW112" s="307"/>
      <c r="AX112" s="307" t="s">
        <v>161</v>
      </c>
      <c r="AY112" s="307">
        <v>0.40123456790123457</v>
      </c>
      <c r="AZ112" s="307"/>
    </row>
    <row r="113" spans="2:52">
      <c r="B113" s="93" t="s">
        <v>24</v>
      </c>
      <c r="C113" s="94" t="s">
        <v>25</v>
      </c>
      <c r="D113" s="20">
        <v>10</v>
      </c>
      <c r="E113" s="20">
        <v>10</v>
      </c>
      <c r="F113" s="20">
        <v>10</v>
      </c>
      <c r="G113" s="20">
        <v>10</v>
      </c>
      <c r="H113" s="20">
        <v>10</v>
      </c>
      <c r="I113" s="20">
        <v>10</v>
      </c>
      <c r="J113" s="20">
        <v>10</v>
      </c>
      <c r="K113" s="20">
        <v>10</v>
      </c>
      <c r="L113" s="20">
        <v>10</v>
      </c>
      <c r="M113" s="20">
        <v>10</v>
      </c>
      <c r="N113" s="20">
        <v>10</v>
      </c>
      <c r="O113" s="20">
        <v>10</v>
      </c>
      <c r="P113" s="20">
        <v>10</v>
      </c>
      <c r="Q113" s="20">
        <v>10</v>
      </c>
      <c r="R113" s="20">
        <v>10</v>
      </c>
      <c r="S113" s="20">
        <v>10</v>
      </c>
      <c r="T113" s="20">
        <v>10</v>
      </c>
      <c r="U113" s="20">
        <v>10</v>
      </c>
      <c r="V113" s="79">
        <f t="shared" si="9"/>
        <v>180</v>
      </c>
      <c r="X113" s="33">
        <f>72+V113</f>
        <v>252</v>
      </c>
      <c r="AB113" s="141">
        <f>COUNTIFS(Tabell714152021343536[[1]:[18]],2)</f>
        <v>11</v>
      </c>
      <c r="AD113" s="73" t="s">
        <v>162</v>
      </c>
      <c r="AE113" s="142">
        <f>AB113/AB117</f>
        <v>0.40740740740740738</v>
      </c>
      <c r="AL113" s="72">
        <v>39</v>
      </c>
      <c r="AM113" s="164">
        <v>39</v>
      </c>
      <c r="AN113" s="164"/>
      <c r="AO113" s="164" t="s">
        <v>162</v>
      </c>
      <c r="AP113" s="165">
        <v>0.27083333333333331</v>
      </c>
      <c r="AQ113" s="164"/>
      <c r="AR113" s="164">
        <v>54</v>
      </c>
      <c r="AS113" s="164"/>
      <c r="AT113" s="164" t="s">
        <v>162</v>
      </c>
      <c r="AU113" s="165">
        <v>0.33333333333333331</v>
      </c>
      <c r="AV113" s="307">
        <v>46</v>
      </c>
      <c r="AW113" s="307"/>
      <c r="AX113" s="307" t="s">
        <v>162</v>
      </c>
      <c r="AY113" s="307">
        <v>0.2839506172839506</v>
      </c>
      <c r="AZ113" s="307"/>
    </row>
    <row r="114" spans="2:52">
      <c r="B114" s="93" t="s">
        <v>24</v>
      </c>
      <c r="C114" s="94" t="s">
        <v>25</v>
      </c>
      <c r="D114" s="20">
        <v>10</v>
      </c>
      <c r="E114" s="20">
        <v>10</v>
      </c>
      <c r="F114" s="20">
        <v>10</v>
      </c>
      <c r="G114" s="20">
        <v>10</v>
      </c>
      <c r="H114" s="20">
        <v>10</v>
      </c>
      <c r="I114" s="20">
        <v>10</v>
      </c>
      <c r="J114" s="20">
        <v>10</v>
      </c>
      <c r="K114" s="20">
        <v>10</v>
      </c>
      <c r="L114" s="20">
        <v>10</v>
      </c>
      <c r="M114" s="20">
        <v>10</v>
      </c>
      <c r="N114" s="20">
        <v>10</v>
      </c>
      <c r="O114" s="20">
        <v>10</v>
      </c>
      <c r="P114" s="20">
        <v>10</v>
      </c>
      <c r="Q114" s="20">
        <v>10</v>
      </c>
      <c r="R114" s="20">
        <v>10</v>
      </c>
      <c r="S114" s="20">
        <v>10</v>
      </c>
      <c r="T114" s="20">
        <v>10</v>
      </c>
      <c r="U114" s="20">
        <v>10</v>
      </c>
      <c r="V114" s="79">
        <f t="shared" si="9"/>
        <v>180</v>
      </c>
      <c r="X114" s="33">
        <f>72+V114</f>
        <v>252</v>
      </c>
      <c r="AB114" s="141">
        <f>COUNTIFS(Tabell714152021343536[[1]:[18]],3)</f>
        <v>2</v>
      </c>
      <c r="AD114" s="73" t="s">
        <v>163</v>
      </c>
      <c r="AE114" s="142">
        <f>AB114/AB117</f>
        <v>7.407407407407407E-2</v>
      </c>
      <c r="AL114" s="72">
        <v>25</v>
      </c>
      <c r="AM114" s="164">
        <v>25</v>
      </c>
      <c r="AN114" s="164"/>
      <c r="AO114" s="164" t="s">
        <v>163</v>
      </c>
      <c r="AP114" s="165">
        <v>0.1736111111111111</v>
      </c>
      <c r="AQ114" s="164"/>
      <c r="AR114" s="164">
        <v>23</v>
      </c>
      <c r="AS114" s="164"/>
      <c r="AT114" s="164" t="s">
        <v>163</v>
      </c>
      <c r="AU114" s="165">
        <v>0.1419753086419753</v>
      </c>
      <c r="AV114" s="307">
        <v>33</v>
      </c>
      <c r="AW114" s="307"/>
      <c r="AX114" s="307" t="s">
        <v>163</v>
      </c>
      <c r="AY114" s="307">
        <v>0.20370370370370369</v>
      </c>
      <c r="AZ114" s="307"/>
    </row>
    <row r="115" spans="2:52">
      <c r="B115" s="93" t="s">
        <v>24</v>
      </c>
      <c r="C115" s="94" t="s">
        <v>25</v>
      </c>
      <c r="D115" s="20">
        <v>10</v>
      </c>
      <c r="E115" s="20">
        <v>10</v>
      </c>
      <c r="F115" s="20">
        <v>10</v>
      </c>
      <c r="G115" s="20">
        <v>10</v>
      </c>
      <c r="H115" s="20">
        <v>10</v>
      </c>
      <c r="I115" s="20">
        <v>10</v>
      </c>
      <c r="J115" s="20">
        <v>10</v>
      </c>
      <c r="K115" s="20">
        <v>10</v>
      </c>
      <c r="L115" s="20">
        <v>10</v>
      </c>
      <c r="M115" s="20">
        <v>10</v>
      </c>
      <c r="N115" s="20">
        <v>10</v>
      </c>
      <c r="O115" s="20">
        <v>10</v>
      </c>
      <c r="P115" s="20">
        <v>10</v>
      </c>
      <c r="Q115" s="20">
        <v>10</v>
      </c>
      <c r="R115" s="20">
        <v>10</v>
      </c>
      <c r="S115" s="20">
        <v>10</v>
      </c>
      <c r="T115" s="20">
        <v>10</v>
      </c>
      <c r="U115" s="20">
        <v>10</v>
      </c>
      <c r="V115" s="79">
        <f t="shared" si="9"/>
        <v>180</v>
      </c>
      <c r="X115" s="33">
        <f>71+V115</f>
        <v>251</v>
      </c>
      <c r="AB115" s="141">
        <f>COUNTIFS(Tabell714152021343536[[1]:[18]],4)</f>
        <v>2</v>
      </c>
      <c r="AD115" s="73" t="s">
        <v>164</v>
      </c>
      <c r="AE115" s="142">
        <f>AB115/AB117</f>
        <v>7.407407407407407E-2</v>
      </c>
      <c r="AL115" s="72">
        <v>7</v>
      </c>
      <c r="AM115" s="164">
        <v>7</v>
      </c>
      <c r="AN115" s="164"/>
      <c r="AO115" s="164" t="s">
        <v>164</v>
      </c>
      <c r="AP115" s="165">
        <v>4.8611111111111112E-2</v>
      </c>
      <c r="AQ115" s="164"/>
      <c r="AR115" s="164">
        <v>5</v>
      </c>
      <c r="AS115" s="164"/>
      <c r="AT115" s="164" t="s">
        <v>164</v>
      </c>
      <c r="AU115" s="165">
        <v>3.0864197530864196E-2</v>
      </c>
      <c r="AV115" s="307">
        <v>6</v>
      </c>
      <c r="AW115" s="307"/>
      <c r="AX115" s="307" t="s">
        <v>164</v>
      </c>
      <c r="AY115" s="307">
        <v>3.7037037037037035E-2</v>
      </c>
      <c r="AZ115" s="307"/>
    </row>
    <row r="116" spans="2:52">
      <c r="B116" s="93" t="s">
        <v>24</v>
      </c>
      <c r="C116" s="94" t="s">
        <v>25</v>
      </c>
      <c r="D116" s="20">
        <v>10</v>
      </c>
      <c r="E116" s="20">
        <v>10</v>
      </c>
      <c r="F116" s="20">
        <v>10</v>
      </c>
      <c r="G116" s="20">
        <v>10</v>
      </c>
      <c r="H116" s="20">
        <v>10</v>
      </c>
      <c r="I116" s="20">
        <v>10</v>
      </c>
      <c r="J116" s="20">
        <v>10</v>
      </c>
      <c r="K116" s="20">
        <v>10</v>
      </c>
      <c r="L116" s="20">
        <v>10</v>
      </c>
      <c r="M116" s="20">
        <v>10</v>
      </c>
      <c r="N116" s="20">
        <v>10</v>
      </c>
      <c r="O116" s="20">
        <v>10</v>
      </c>
      <c r="P116" s="20">
        <v>10</v>
      </c>
      <c r="Q116" s="20">
        <v>10</v>
      </c>
      <c r="R116" s="20">
        <v>10</v>
      </c>
      <c r="S116" s="20">
        <v>10</v>
      </c>
      <c r="T116" s="20">
        <v>10</v>
      </c>
      <c r="U116" s="20">
        <v>10</v>
      </c>
      <c r="V116" s="79">
        <f>SUM(D116:U116)</f>
        <v>180</v>
      </c>
      <c r="X116" s="33">
        <f>70+V116</f>
        <v>250</v>
      </c>
      <c r="AB116" s="141">
        <f>COUNTIFS(Tabell714152021343536[[1]:[18]],5)</f>
        <v>2</v>
      </c>
      <c r="AD116" s="73" t="s">
        <v>165</v>
      </c>
      <c r="AE116" s="142">
        <f>AB116/AB117</f>
        <v>7.407407407407407E-2</v>
      </c>
      <c r="AL116" s="72">
        <v>5</v>
      </c>
      <c r="AM116" s="164">
        <v>5</v>
      </c>
      <c r="AN116" s="164"/>
      <c r="AO116" s="164" t="s">
        <v>165</v>
      </c>
      <c r="AP116" s="165">
        <v>3.4722222222222224E-2</v>
      </c>
      <c r="AQ116" s="164"/>
      <c r="AR116" s="164">
        <v>2</v>
      </c>
      <c r="AS116" s="164"/>
      <c r="AT116" s="164" t="s">
        <v>165</v>
      </c>
      <c r="AU116" s="165">
        <v>1.2345679012345678E-2</v>
      </c>
      <c r="AV116" s="307">
        <v>1</v>
      </c>
      <c r="AW116" s="307"/>
      <c r="AX116" s="307" t="s">
        <v>165</v>
      </c>
      <c r="AY116" s="307">
        <v>6.1728395061728392E-3</v>
      </c>
      <c r="AZ116" s="307"/>
    </row>
    <row r="117" spans="2:52">
      <c r="B117" s="93" t="s">
        <v>24</v>
      </c>
      <c r="C117" s="94" t="s">
        <v>25</v>
      </c>
      <c r="D117" s="20">
        <v>10</v>
      </c>
      <c r="E117" s="20">
        <v>10</v>
      </c>
      <c r="F117" s="20">
        <v>10</v>
      </c>
      <c r="G117" s="20">
        <v>10</v>
      </c>
      <c r="H117" s="20">
        <v>10</v>
      </c>
      <c r="I117" s="20">
        <v>10</v>
      </c>
      <c r="J117" s="20">
        <v>10</v>
      </c>
      <c r="K117" s="20">
        <v>10</v>
      </c>
      <c r="L117" s="20">
        <v>10</v>
      </c>
      <c r="M117" s="20">
        <v>10</v>
      </c>
      <c r="N117" s="20">
        <v>10</v>
      </c>
      <c r="O117" s="20">
        <v>10</v>
      </c>
      <c r="P117" s="20">
        <v>10</v>
      </c>
      <c r="Q117" s="20">
        <v>10</v>
      </c>
      <c r="R117" s="20">
        <v>10</v>
      </c>
      <c r="S117" s="20">
        <v>10</v>
      </c>
      <c r="T117" s="20">
        <v>10</v>
      </c>
      <c r="U117" s="20">
        <v>10</v>
      </c>
      <c r="V117" s="79">
        <f>SUM(D117:U117)</f>
        <v>180</v>
      </c>
      <c r="X117" s="33">
        <f>72+V117</f>
        <v>252</v>
      </c>
      <c r="AB117" s="83">
        <f>SUM(AB110:AB116)</f>
        <v>27</v>
      </c>
      <c r="AL117" s="72">
        <v>144</v>
      </c>
      <c r="AM117" s="164">
        <v>144</v>
      </c>
      <c r="AN117" s="164"/>
      <c r="AO117" s="164"/>
      <c r="AP117" s="164"/>
      <c r="AQ117" s="164"/>
      <c r="AR117" s="164">
        <v>162</v>
      </c>
      <c r="AS117" s="164"/>
      <c r="AT117" s="164"/>
      <c r="AU117" s="164"/>
      <c r="AV117" s="307">
        <v>162</v>
      </c>
      <c r="AW117" s="307"/>
      <c r="AX117" s="307"/>
      <c r="AY117" s="307"/>
      <c r="AZ117" s="307"/>
    </row>
    <row r="118" spans="2:52">
      <c r="B118" s="93" t="s">
        <v>24</v>
      </c>
      <c r="C118" s="94" t="s">
        <v>25</v>
      </c>
      <c r="D118" s="20">
        <v>10</v>
      </c>
      <c r="E118" s="20">
        <v>10</v>
      </c>
      <c r="F118" s="20">
        <v>10</v>
      </c>
      <c r="G118" s="20">
        <v>10</v>
      </c>
      <c r="H118" s="20">
        <v>10</v>
      </c>
      <c r="I118" s="20">
        <v>10</v>
      </c>
      <c r="J118" s="20">
        <v>10</v>
      </c>
      <c r="K118" s="20">
        <v>10</v>
      </c>
      <c r="L118" s="20">
        <v>10</v>
      </c>
      <c r="M118" s="20">
        <v>10</v>
      </c>
      <c r="N118" s="20">
        <v>10</v>
      </c>
      <c r="O118" s="20">
        <v>10</v>
      </c>
      <c r="P118" s="20">
        <v>10</v>
      </c>
      <c r="Q118" s="20">
        <v>10</v>
      </c>
      <c r="R118" s="20">
        <v>10</v>
      </c>
      <c r="S118" s="20">
        <v>10</v>
      </c>
      <c r="T118" s="20">
        <v>10</v>
      </c>
      <c r="U118" s="20">
        <v>10</v>
      </c>
      <c r="V118" s="79">
        <f t="shared" si="9"/>
        <v>180</v>
      </c>
      <c r="X118" s="33">
        <f>72+V118</f>
        <v>252</v>
      </c>
      <c r="AM118" s="164"/>
      <c r="AN118" s="164"/>
      <c r="AO118" s="164"/>
      <c r="AP118" s="164"/>
      <c r="AQ118" s="164"/>
      <c r="AR118" s="164"/>
      <c r="AS118" s="164"/>
      <c r="AT118" s="164"/>
      <c r="AU118" s="164"/>
      <c r="AV118" s="307"/>
      <c r="AW118" s="307"/>
      <c r="AX118" s="307"/>
      <c r="AY118" s="307"/>
      <c r="AZ118" s="307"/>
    </row>
    <row r="119" spans="2:52">
      <c r="B119" s="93" t="s">
        <v>24</v>
      </c>
      <c r="C119" s="94" t="s">
        <v>25</v>
      </c>
      <c r="D119" s="20">
        <v>4</v>
      </c>
      <c r="E119" s="20">
        <v>2</v>
      </c>
      <c r="F119" s="20">
        <v>1</v>
      </c>
      <c r="G119" s="20">
        <v>3</v>
      </c>
      <c r="H119" s="20">
        <v>4</v>
      </c>
      <c r="I119" s="20">
        <v>0</v>
      </c>
      <c r="J119" s="20">
        <v>2</v>
      </c>
      <c r="K119" s="20">
        <v>0</v>
      </c>
      <c r="L119" s="20">
        <v>2</v>
      </c>
      <c r="M119" s="20">
        <v>10</v>
      </c>
      <c r="N119" s="20">
        <v>10</v>
      </c>
      <c r="O119" s="20">
        <v>10</v>
      </c>
      <c r="P119" s="20">
        <v>10</v>
      </c>
      <c r="Q119" s="20">
        <v>10</v>
      </c>
      <c r="R119" s="20">
        <v>10</v>
      </c>
      <c r="S119" s="20">
        <v>10</v>
      </c>
      <c r="T119" s="20">
        <v>10</v>
      </c>
      <c r="U119" s="20">
        <v>10</v>
      </c>
      <c r="V119" s="79">
        <f t="shared" si="9"/>
        <v>108</v>
      </c>
      <c r="X119" s="33">
        <f>72+V119</f>
        <v>180</v>
      </c>
      <c r="AM119" s="164"/>
      <c r="AN119" s="164"/>
      <c r="AO119" s="164"/>
      <c r="AP119" s="164"/>
      <c r="AQ119" s="164"/>
      <c r="AR119" s="164"/>
      <c r="AS119" s="164"/>
      <c r="AT119" s="164"/>
      <c r="AU119" s="164"/>
      <c r="AV119" s="307"/>
      <c r="AW119" s="307"/>
      <c r="AX119" s="307"/>
      <c r="AY119" s="307"/>
      <c r="AZ119" s="307"/>
    </row>
    <row r="120" spans="2:52">
      <c r="B120" s="93" t="s">
        <v>24</v>
      </c>
      <c r="C120" s="94" t="s">
        <v>25</v>
      </c>
      <c r="D120" s="20">
        <v>10</v>
      </c>
      <c r="E120" s="20">
        <v>10</v>
      </c>
      <c r="F120" s="20">
        <v>10</v>
      </c>
      <c r="G120" s="20">
        <v>10</v>
      </c>
      <c r="H120" s="20">
        <v>10</v>
      </c>
      <c r="I120" s="20">
        <v>10</v>
      </c>
      <c r="J120" s="20">
        <v>10</v>
      </c>
      <c r="K120" s="20">
        <v>10</v>
      </c>
      <c r="L120" s="20">
        <v>10</v>
      </c>
      <c r="M120" s="20">
        <v>10</v>
      </c>
      <c r="N120" s="20">
        <v>10</v>
      </c>
      <c r="O120" s="20">
        <v>10</v>
      </c>
      <c r="P120" s="20">
        <v>10</v>
      </c>
      <c r="Q120" s="20">
        <v>10</v>
      </c>
      <c r="R120" s="20">
        <v>10</v>
      </c>
      <c r="S120" s="20">
        <v>10</v>
      </c>
      <c r="T120" s="20">
        <v>10</v>
      </c>
      <c r="U120" s="20">
        <v>10</v>
      </c>
      <c r="V120" s="80">
        <f t="shared" si="9"/>
        <v>180</v>
      </c>
      <c r="X120" s="34">
        <f>74+V120</f>
        <v>254</v>
      </c>
      <c r="AG120" s="72" t="s">
        <v>48</v>
      </c>
      <c r="AM120" s="164"/>
      <c r="AN120" s="164"/>
      <c r="AO120" s="164"/>
      <c r="AP120" s="164"/>
      <c r="AQ120" s="164"/>
      <c r="AR120" s="164"/>
      <c r="AS120" s="164"/>
      <c r="AT120" s="164"/>
      <c r="AU120" s="164"/>
      <c r="AV120" s="307"/>
      <c r="AW120" s="307"/>
      <c r="AX120" s="307"/>
      <c r="AY120" s="307"/>
      <c r="AZ120" s="307"/>
    </row>
    <row r="121" spans="2:52">
      <c r="AM121" s="164"/>
      <c r="AN121" s="164"/>
      <c r="AO121" s="164"/>
      <c r="AP121" s="164"/>
      <c r="AQ121" s="164"/>
      <c r="AR121" s="164"/>
      <c r="AS121" s="164"/>
      <c r="AT121" s="164"/>
      <c r="AU121" s="164"/>
      <c r="AV121" s="307"/>
      <c r="AW121" s="307"/>
      <c r="AX121" s="307"/>
      <c r="AY121" s="307"/>
      <c r="AZ121" s="307"/>
    </row>
    <row r="122" spans="2:52">
      <c r="B122" s="9" t="s">
        <v>2</v>
      </c>
      <c r="C122" s="10" t="s">
        <v>3</v>
      </c>
      <c r="D122" s="26" t="s">
        <v>4</v>
      </c>
      <c r="E122" s="26" t="s">
        <v>5</v>
      </c>
      <c r="F122" s="26" t="s">
        <v>6</v>
      </c>
      <c r="G122" s="26" t="s">
        <v>7</v>
      </c>
      <c r="H122" s="26" t="s">
        <v>8</v>
      </c>
      <c r="I122" s="26" t="s">
        <v>9</v>
      </c>
      <c r="J122" s="26" t="s">
        <v>10</v>
      </c>
      <c r="K122" s="26" t="s">
        <v>11</v>
      </c>
      <c r="L122" s="26" t="s">
        <v>15</v>
      </c>
      <c r="M122" s="26" t="s">
        <v>13</v>
      </c>
      <c r="N122" s="26" t="s">
        <v>138</v>
      </c>
      <c r="O122" s="26" t="s">
        <v>139</v>
      </c>
      <c r="P122" s="26" t="s">
        <v>159</v>
      </c>
      <c r="Q122" s="26" t="s">
        <v>160</v>
      </c>
      <c r="R122" s="26" t="s">
        <v>142</v>
      </c>
      <c r="S122" s="26" t="s">
        <v>143</v>
      </c>
      <c r="T122" s="26" t="s">
        <v>144</v>
      </c>
      <c r="U122" s="26" t="s">
        <v>145</v>
      </c>
      <c r="V122" s="78" t="s">
        <v>58</v>
      </c>
      <c r="X122" s="32" t="s">
        <v>146</v>
      </c>
      <c r="AB122" s="141">
        <f>COUNTIFS(Tabell71415202134353637[[1]:[18]],-1)</f>
        <v>0</v>
      </c>
      <c r="AD122" s="73" t="s">
        <v>54</v>
      </c>
      <c r="AE122" s="142">
        <f>AB122/AB129</f>
        <v>0</v>
      </c>
      <c r="AL122" s="72">
        <v>0</v>
      </c>
      <c r="AM122" s="164">
        <v>0</v>
      </c>
      <c r="AN122" s="164"/>
      <c r="AO122" s="164" t="s">
        <v>54</v>
      </c>
      <c r="AP122" s="165">
        <v>0</v>
      </c>
      <c r="AQ122" s="164"/>
      <c r="AR122" s="164">
        <v>0</v>
      </c>
      <c r="AS122" s="164"/>
      <c r="AT122" s="164" t="s">
        <v>54</v>
      </c>
      <c r="AU122" s="165">
        <v>0</v>
      </c>
      <c r="AV122" s="307">
        <v>0</v>
      </c>
      <c r="AW122" s="307"/>
      <c r="AX122" s="307" t="s">
        <v>54</v>
      </c>
      <c r="AY122" s="307">
        <v>0</v>
      </c>
      <c r="AZ122" s="307"/>
    </row>
    <row r="123" spans="2:52">
      <c r="B123" s="93" t="s">
        <v>35</v>
      </c>
      <c r="C123" s="94" t="s">
        <v>36</v>
      </c>
      <c r="D123" s="20">
        <v>2</v>
      </c>
      <c r="E123" s="20">
        <v>0</v>
      </c>
      <c r="F123" s="20">
        <v>2</v>
      </c>
      <c r="G123" s="20">
        <v>2</v>
      </c>
      <c r="H123" s="20">
        <v>1</v>
      </c>
      <c r="I123" s="20">
        <v>2</v>
      </c>
      <c r="J123" s="20">
        <v>2</v>
      </c>
      <c r="K123" s="20">
        <v>1</v>
      </c>
      <c r="L123" s="20">
        <v>1</v>
      </c>
      <c r="M123" s="20">
        <v>2</v>
      </c>
      <c r="N123" s="20">
        <v>1</v>
      </c>
      <c r="O123" s="20">
        <v>4</v>
      </c>
      <c r="P123" s="20">
        <v>3</v>
      </c>
      <c r="Q123" s="20">
        <v>0</v>
      </c>
      <c r="R123" s="20">
        <v>2</v>
      </c>
      <c r="S123" s="20">
        <v>2</v>
      </c>
      <c r="T123" s="20">
        <v>3</v>
      </c>
      <c r="U123" s="20">
        <v>2</v>
      </c>
      <c r="V123" s="79">
        <f t="shared" ref="V123:V132" si="10">SUM(D123:U123)</f>
        <v>32</v>
      </c>
      <c r="X123" s="33">
        <f>72+V123</f>
        <v>104</v>
      </c>
      <c r="AB123" s="141">
        <f>COUNTIFS(Tabell71415202134353637[[1]:[18]],0)</f>
        <v>7</v>
      </c>
      <c r="AD123" s="73" t="s">
        <v>137</v>
      </c>
      <c r="AE123" s="142">
        <f>AB123/AB129</f>
        <v>5.5555555555555552E-2</v>
      </c>
      <c r="AL123" s="72">
        <v>11</v>
      </c>
      <c r="AM123" s="164">
        <v>11</v>
      </c>
      <c r="AN123" s="164"/>
      <c r="AO123" s="164" t="s">
        <v>137</v>
      </c>
      <c r="AP123" s="165">
        <v>0.15277777777777779</v>
      </c>
      <c r="AQ123" s="164"/>
      <c r="AR123" s="164">
        <v>13</v>
      </c>
      <c r="AS123" s="164"/>
      <c r="AT123" s="164" t="s">
        <v>137</v>
      </c>
      <c r="AU123" s="165">
        <v>8.0246913580246909E-2</v>
      </c>
      <c r="AV123" s="307">
        <v>7</v>
      </c>
      <c r="AW123" s="307"/>
      <c r="AX123" s="307" t="s">
        <v>137</v>
      </c>
      <c r="AY123" s="307">
        <v>6.4814814814814811E-2</v>
      </c>
      <c r="AZ123" s="307"/>
    </row>
    <row r="124" spans="2:52">
      <c r="B124" s="93" t="s">
        <v>35</v>
      </c>
      <c r="C124" s="94" t="s">
        <v>36</v>
      </c>
      <c r="D124" s="20">
        <v>3</v>
      </c>
      <c r="E124" s="20">
        <v>2</v>
      </c>
      <c r="F124" s="20">
        <v>1</v>
      </c>
      <c r="G124" s="20">
        <v>1</v>
      </c>
      <c r="H124" s="20">
        <v>1</v>
      </c>
      <c r="I124" s="20">
        <v>2</v>
      </c>
      <c r="J124" s="20">
        <v>3</v>
      </c>
      <c r="K124" s="20">
        <v>3</v>
      </c>
      <c r="L124" s="20">
        <v>3</v>
      </c>
      <c r="M124" s="20">
        <v>1</v>
      </c>
      <c r="N124" s="20">
        <v>2</v>
      </c>
      <c r="O124" s="20">
        <v>1</v>
      </c>
      <c r="P124" s="20">
        <v>1</v>
      </c>
      <c r="Q124" s="20">
        <v>1</v>
      </c>
      <c r="R124" s="20">
        <v>1</v>
      </c>
      <c r="S124" s="20">
        <v>2</v>
      </c>
      <c r="T124" s="20">
        <v>2</v>
      </c>
      <c r="U124" s="20">
        <v>2</v>
      </c>
      <c r="V124" s="79">
        <f t="shared" si="10"/>
        <v>32</v>
      </c>
      <c r="X124" s="33">
        <f>70+V124</f>
        <v>102</v>
      </c>
      <c r="AB124" s="141">
        <f>COUNTIFS(Tabell71415202134353637[[1]:[18]],1)</f>
        <v>35</v>
      </c>
      <c r="AD124" s="73" t="s">
        <v>161</v>
      </c>
      <c r="AE124" s="142">
        <f>AB124/AB129</f>
        <v>0.27777777777777779</v>
      </c>
      <c r="AL124" s="72">
        <v>18</v>
      </c>
      <c r="AM124" s="164">
        <v>18</v>
      </c>
      <c r="AN124" s="164"/>
      <c r="AO124" s="164" t="s">
        <v>161</v>
      </c>
      <c r="AP124" s="165">
        <v>0.25</v>
      </c>
      <c r="AQ124" s="164"/>
      <c r="AR124" s="164">
        <v>49</v>
      </c>
      <c r="AS124" s="164"/>
      <c r="AT124" s="164" t="s">
        <v>161</v>
      </c>
      <c r="AU124" s="165">
        <v>0.30246913580246915</v>
      </c>
      <c r="AV124" s="307">
        <v>27</v>
      </c>
      <c r="AW124" s="307"/>
      <c r="AX124" s="307" t="s">
        <v>161</v>
      </c>
      <c r="AY124" s="307">
        <v>0.25</v>
      </c>
      <c r="AZ124" s="307"/>
    </row>
    <row r="125" spans="2:52">
      <c r="B125" s="93" t="s">
        <v>35</v>
      </c>
      <c r="C125" s="94" t="s">
        <v>36</v>
      </c>
      <c r="D125" s="20">
        <v>1</v>
      </c>
      <c r="E125" s="20">
        <v>1</v>
      </c>
      <c r="F125" s="20">
        <v>2</v>
      </c>
      <c r="G125" s="20">
        <v>2</v>
      </c>
      <c r="H125" s="20">
        <v>1</v>
      </c>
      <c r="I125" s="20">
        <v>3</v>
      </c>
      <c r="J125" s="20">
        <v>0</v>
      </c>
      <c r="K125" s="20">
        <v>1</v>
      </c>
      <c r="L125" s="20">
        <v>3</v>
      </c>
      <c r="M125" s="20">
        <v>2</v>
      </c>
      <c r="N125" s="20">
        <v>0</v>
      </c>
      <c r="O125" s="20">
        <v>2</v>
      </c>
      <c r="P125" s="20">
        <v>2</v>
      </c>
      <c r="Q125" s="20">
        <v>2</v>
      </c>
      <c r="R125" s="20">
        <v>1</v>
      </c>
      <c r="S125" s="20">
        <v>3</v>
      </c>
      <c r="T125" s="20">
        <v>1</v>
      </c>
      <c r="U125" s="20">
        <v>1</v>
      </c>
      <c r="V125" s="79">
        <f t="shared" si="10"/>
        <v>28</v>
      </c>
      <c r="X125" s="33">
        <f>72+V125</f>
        <v>100</v>
      </c>
      <c r="AB125" s="141">
        <f>COUNTIFS(Tabell71415202134353637[[1]:[18]],2)</f>
        <v>36</v>
      </c>
      <c r="AD125" s="73" t="s">
        <v>162</v>
      </c>
      <c r="AE125" s="142">
        <f>AB125/AB129</f>
        <v>0.2857142857142857</v>
      </c>
      <c r="AL125" s="72">
        <v>13</v>
      </c>
      <c r="AM125" s="164">
        <v>13</v>
      </c>
      <c r="AN125" s="164"/>
      <c r="AO125" s="164" t="s">
        <v>162</v>
      </c>
      <c r="AP125" s="165">
        <v>0.18055555555555555</v>
      </c>
      <c r="AQ125" s="164"/>
      <c r="AR125" s="164">
        <v>50</v>
      </c>
      <c r="AS125" s="164"/>
      <c r="AT125" s="164" t="s">
        <v>162</v>
      </c>
      <c r="AU125" s="165">
        <v>0.30864197530864196</v>
      </c>
      <c r="AV125" s="307">
        <v>34</v>
      </c>
      <c r="AW125" s="307"/>
      <c r="AX125" s="307" t="s">
        <v>162</v>
      </c>
      <c r="AY125" s="307">
        <v>0.31481481481481483</v>
      </c>
      <c r="AZ125" s="307"/>
    </row>
    <row r="126" spans="2:52">
      <c r="B126" s="93" t="s">
        <v>35</v>
      </c>
      <c r="C126" s="94" t="s">
        <v>36</v>
      </c>
      <c r="D126" s="20">
        <v>5</v>
      </c>
      <c r="E126" s="20">
        <v>1</v>
      </c>
      <c r="F126" s="20">
        <v>2</v>
      </c>
      <c r="G126" s="20">
        <v>1</v>
      </c>
      <c r="H126" s="20">
        <v>1</v>
      </c>
      <c r="I126" s="20">
        <v>2</v>
      </c>
      <c r="J126" s="20">
        <v>1</v>
      </c>
      <c r="K126" s="20">
        <v>3</v>
      </c>
      <c r="L126" s="20">
        <v>1</v>
      </c>
      <c r="M126" s="20">
        <v>4</v>
      </c>
      <c r="N126" s="20">
        <v>2</v>
      </c>
      <c r="O126" s="20">
        <v>4</v>
      </c>
      <c r="P126" s="20">
        <v>3</v>
      </c>
      <c r="Q126" s="20">
        <v>4</v>
      </c>
      <c r="R126" s="20">
        <v>1</v>
      </c>
      <c r="S126" s="20">
        <v>2</v>
      </c>
      <c r="T126" s="20">
        <v>2</v>
      </c>
      <c r="U126" s="20">
        <v>3</v>
      </c>
      <c r="V126" s="79">
        <f t="shared" si="10"/>
        <v>42</v>
      </c>
      <c r="X126" s="33">
        <f>71+V126</f>
        <v>113</v>
      </c>
      <c r="AB126" s="141">
        <f>COUNTIFS(Tabell71415202134353637[[1]:[18]],3)</f>
        <v>23</v>
      </c>
      <c r="AD126" s="73" t="s">
        <v>163</v>
      </c>
      <c r="AE126" s="142">
        <f>AB126/AB129</f>
        <v>0.18253968253968253</v>
      </c>
      <c r="AL126" s="72">
        <v>16</v>
      </c>
      <c r="AM126" s="164">
        <v>16</v>
      </c>
      <c r="AN126" s="164"/>
      <c r="AO126" s="164" t="s">
        <v>163</v>
      </c>
      <c r="AP126" s="165">
        <v>0.22222222222222221</v>
      </c>
      <c r="AQ126" s="164"/>
      <c r="AR126" s="164">
        <v>28</v>
      </c>
      <c r="AS126" s="164"/>
      <c r="AT126" s="164" t="s">
        <v>163</v>
      </c>
      <c r="AU126" s="165">
        <v>0.1728395061728395</v>
      </c>
      <c r="AV126" s="307">
        <v>20</v>
      </c>
      <c r="AW126" s="307"/>
      <c r="AX126" s="307" t="s">
        <v>163</v>
      </c>
      <c r="AY126" s="307">
        <v>0.18518518518518517</v>
      </c>
      <c r="AZ126" s="307"/>
    </row>
    <row r="127" spans="2:52">
      <c r="B127" s="93" t="s">
        <v>35</v>
      </c>
      <c r="C127" s="94" t="s">
        <v>36</v>
      </c>
      <c r="D127" s="20">
        <v>10</v>
      </c>
      <c r="E127" s="20">
        <v>10</v>
      </c>
      <c r="F127" s="20">
        <v>10</v>
      </c>
      <c r="G127" s="20">
        <v>10</v>
      </c>
      <c r="H127" s="20">
        <v>10</v>
      </c>
      <c r="I127" s="20">
        <v>10</v>
      </c>
      <c r="J127" s="20">
        <v>10</v>
      </c>
      <c r="K127" s="20">
        <v>10</v>
      </c>
      <c r="L127" s="20">
        <v>10</v>
      </c>
      <c r="M127" s="20">
        <v>10</v>
      </c>
      <c r="N127" s="20">
        <v>10</v>
      </c>
      <c r="O127" s="20">
        <v>10</v>
      </c>
      <c r="P127" s="20">
        <v>10</v>
      </c>
      <c r="Q127" s="20">
        <v>10</v>
      </c>
      <c r="R127" s="20">
        <v>10</v>
      </c>
      <c r="S127" s="20">
        <v>10</v>
      </c>
      <c r="T127" s="20">
        <v>10</v>
      </c>
      <c r="U127" s="20">
        <v>10</v>
      </c>
      <c r="V127" s="79">
        <f t="shared" si="10"/>
        <v>180</v>
      </c>
      <c r="X127" s="33">
        <f>71+V127</f>
        <v>251</v>
      </c>
      <c r="AB127" s="141">
        <f>COUNTIFS(Tabell71415202134353637[[1]:[18]],4)</f>
        <v>16</v>
      </c>
      <c r="AD127" s="73" t="s">
        <v>164</v>
      </c>
      <c r="AE127" s="142">
        <f>AB127/AB129</f>
        <v>0.12698412698412698</v>
      </c>
      <c r="AL127" s="72">
        <v>8</v>
      </c>
      <c r="AM127" s="164">
        <v>8</v>
      </c>
      <c r="AN127" s="164"/>
      <c r="AO127" s="164" t="s">
        <v>164</v>
      </c>
      <c r="AP127" s="165">
        <v>0.1111111111111111</v>
      </c>
      <c r="AQ127" s="164"/>
      <c r="AR127" s="164">
        <v>17</v>
      </c>
      <c r="AS127" s="164"/>
      <c r="AT127" s="164" t="s">
        <v>164</v>
      </c>
      <c r="AU127" s="165">
        <v>0.10493827160493827</v>
      </c>
      <c r="AV127" s="307">
        <v>12</v>
      </c>
      <c r="AW127" s="307"/>
      <c r="AX127" s="307" t="s">
        <v>164</v>
      </c>
      <c r="AY127" s="307">
        <v>0.1111111111111111</v>
      </c>
      <c r="AZ127" s="307"/>
    </row>
    <row r="128" spans="2:52">
      <c r="B128" s="93" t="s">
        <v>35</v>
      </c>
      <c r="C128" s="94" t="s">
        <v>36</v>
      </c>
      <c r="D128" s="20">
        <v>3</v>
      </c>
      <c r="E128" s="20">
        <v>2</v>
      </c>
      <c r="F128" s="20">
        <v>1</v>
      </c>
      <c r="G128" s="20">
        <v>2</v>
      </c>
      <c r="H128" s="20">
        <v>1</v>
      </c>
      <c r="I128" s="20">
        <v>2</v>
      </c>
      <c r="J128" s="20">
        <v>4</v>
      </c>
      <c r="K128" s="20">
        <v>1</v>
      </c>
      <c r="L128" s="20">
        <v>3</v>
      </c>
      <c r="M128" s="20">
        <v>3</v>
      </c>
      <c r="N128" s="20">
        <v>2</v>
      </c>
      <c r="O128" s="20">
        <v>1</v>
      </c>
      <c r="P128" s="20">
        <v>4</v>
      </c>
      <c r="Q128" s="20">
        <v>5</v>
      </c>
      <c r="R128" s="20">
        <v>1</v>
      </c>
      <c r="S128" s="20">
        <v>3</v>
      </c>
      <c r="T128" s="20">
        <v>3</v>
      </c>
      <c r="U128" s="20">
        <v>1</v>
      </c>
      <c r="V128" s="79">
        <f>SUM(D128:U128)</f>
        <v>42</v>
      </c>
      <c r="X128" s="33">
        <f>71+V128</f>
        <v>113</v>
      </c>
      <c r="AB128" s="141">
        <f>COUNTIFS(Tabell71415202134353637[[1]:[18]],5)</f>
        <v>9</v>
      </c>
      <c r="AD128" s="73" t="s">
        <v>165</v>
      </c>
      <c r="AE128" s="142">
        <f>AB128/AB129</f>
        <v>7.1428571428571425E-2</v>
      </c>
      <c r="AL128" s="72">
        <v>6</v>
      </c>
      <c r="AM128" s="164">
        <v>6</v>
      </c>
      <c r="AN128" s="164"/>
      <c r="AO128" s="164" t="s">
        <v>165</v>
      </c>
      <c r="AP128" s="165">
        <v>8.3333333333333329E-2</v>
      </c>
      <c r="AQ128" s="164"/>
      <c r="AR128" s="164">
        <v>5</v>
      </c>
      <c r="AS128" s="164"/>
      <c r="AT128" s="164" t="s">
        <v>165</v>
      </c>
      <c r="AU128" s="165">
        <v>3.0864197530864196E-2</v>
      </c>
      <c r="AV128" s="307">
        <v>8</v>
      </c>
      <c r="AW128" s="307"/>
      <c r="AX128" s="307" t="s">
        <v>165</v>
      </c>
      <c r="AY128" s="307">
        <v>7.407407407407407E-2</v>
      </c>
      <c r="AZ128" s="307"/>
    </row>
    <row r="129" spans="2:52">
      <c r="B129" s="93" t="s">
        <v>35</v>
      </c>
      <c r="C129" s="94" t="s">
        <v>36</v>
      </c>
      <c r="D129" s="20">
        <v>3</v>
      </c>
      <c r="E129" s="20">
        <v>5</v>
      </c>
      <c r="F129" s="20">
        <v>5</v>
      </c>
      <c r="G129" s="20">
        <v>5</v>
      </c>
      <c r="H129" s="20">
        <v>2</v>
      </c>
      <c r="I129" s="20">
        <v>2</v>
      </c>
      <c r="J129" s="20">
        <v>4</v>
      </c>
      <c r="K129" s="20">
        <v>0</v>
      </c>
      <c r="L129" s="20">
        <v>3</v>
      </c>
      <c r="M129" s="20">
        <v>2</v>
      </c>
      <c r="N129" s="20">
        <v>5</v>
      </c>
      <c r="O129" s="20">
        <v>1</v>
      </c>
      <c r="P129" s="20">
        <v>0</v>
      </c>
      <c r="Q129" s="20">
        <v>4</v>
      </c>
      <c r="R129" s="20">
        <v>3</v>
      </c>
      <c r="S129" s="20">
        <v>2</v>
      </c>
      <c r="T129" s="20">
        <v>3</v>
      </c>
      <c r="U129" s="20">
        <v>4</v>
      </c>
      <c r="V129" s="79">
        <f t="shared" si="10"/>
        <v>53</v>
      </c>
      <c r="X129" s="33">
        <f>72+V129</f>
        <v>125</v>
      </c>
      <c r="AB129" s="83">
        <f>SUM(AB122:AB128)</f>
        <v>126</v>
      </c>
      <c r="AL129" s="72">
        <v>72</v>
      </c>
      <c r="AM129" s="164">
        <v>72</v>
      </c>
      <c r="AN129" s="164"/>
      <c r="AO129" s="164"/>
      <c r="AP129" s="164"/>
      <c r="AQ129" s="164"/>
      <c r="AR129" s="164">
        <v>162</v>
      </c>
      <c r="AS129" s="164"/>
      <c r="AT129" s="164"/>
      <c r="AU129" s="164"/>
      <c r="AV129" s="307">
        <v>108</v>
      </c>
      <c r="AW129" s="307"/>
      <c r="AX129" s="307"/>
      <c r="AY129" s="307"/>
      <c r="AZ129" s="307"/>
    </row>
    <row r="130" spans="2:52">
      <c r="B130" s="93" t="s">
        <v>35</v>
      </c>
      <c r="C130" s="94" t="s">
        <v>36</v>
      </c>
      <c r="D130" s="20">
        <v>2</v>
      </c>
      <c r="E130" s="20">
        <v>0</v>
      </c>
      <c r="F130" s="20">
        <v>3</v>
      </c>
      <c r="G130" s="20">
        <v>2</v>
      </c>
      <c r="H130" s="20">
        <v>1</v>
      </c>
      <c r="I130" s="20">
        <v>1</v>
      </c>
      <c r="J130" s="20">
        <v>1</v>
      </c>
      <c r="K130" s="20">
        <v>5</v>
      </c>
      <c r="L130" s="20">
        <v>4</v>
      </c>
      <c r="M130" s="20">
        <v>4</v>
      </c>
      <c r="N130" s="20">
        <v>3</v>
      </c>
      <c r="O130" s="20">
        <v>5</v>
      </c>
      <c r="P130" s="20">
        <v>4</v>
      </c>
      <c r="Q130" s="20">
        <v>5</v>
      </c>
      <c r="R130" s="20">
        <v>4</v>
      </c>
      <c r="S130" s="20">
        <v>4</v>
      </c>
      <c r="T130" s="20">
        <v>4</v>
      </c>
      <c r="U130" s="20">
        <v>4</v>
      </c>
      <c r="V130" s="79">
        <f t="shared" si="10"/>
        <v>56</v>
      </c>
      <c r="X130" s="33">
        <f>72+V130</f>
        <v>128</v>
      </c>
      <c r="AM130" s="164"/>
      <c r="AN130" s="164"/>
      <c r="AO130" s="164"/>
      <c r="AP130" s="164"/>
      <c r="AQ130" s="164"/>
      <c r="AR130" s="164"/>
      <c r="AS130" s="164"/>
      <c r="AT130" s="164"/>
      <c r="AU130" s="164"/>
      <c r="AV130" s="307"/>
      <c r="AW130" s="307"/>
      <c r="AX130" s="307"/>
      <c r="AY130" s="307"/>
      <c r="AZ130" s="307"/>
    </row>
    <row r="131" spans="2:52">
      <c r="B131" s="93" t="s">
        <v>35</v>
      </c>
      <c r="C131" s="94" t="s">
        <v>36</v>
      </c>
      <c r="D131" s="20">
        <v>10</v>
      </c>
      <c r="E131" s="20">
        <v>10</v>
      </c>
      <c r="F131" s="20">
        <v>10</v>
      </c>
      <c r="G131" s="20">
        <v>10</v>
      </c>
      <c r="H131" s="20">
        <v>10</v>
      </c>
      <c r="I131" s="20">
        <v>10</v>
      </c>
      <c r="J131" s="20">
        <v>10</v>
      </c>
      <c r="K131" s="20">
        <v>10</v>
      </c>
      <c r="L131" s="20">
        <v>10</v>
      </c>
      <c r="M131" s="20">
        <v>10</v>
      </c>
      <c r="N131" s="20">
        <v>10</v>
      </c>
      <c r="O131" s="20">
        <v>10</v>
      </c>
      <c r="P131" s="20">
        <v>10</v>
      </c>
      <c r="Q131" s="20">
        <v>10</v>
      </c>
      <c r="R131" s="20">
        <v>10</v>
      </c>
      <c r="S131" s="20">
        <v>10</v>
      </c>
      <c r="T131" s="20">
        <v>10</v>
      </c>
      <c r="U131" s="20">
        <v>10</v>
      </c>
      <c r="V131" s="79">
        <f t="shared" si="10"/>
        <v>180</v>
      </c>
      <c r="X131" s="33">
        <f>72+V131</f>
        <v>252</v>
      </c>
      <c r="AM131" s="164"/>
      <c r="AN131" s="164"/>
      <c r="AO131" s="164"/>
      <c r="AP131" s="164"/>
      <c r="AQ131" s="164"/>
      <c r="AR131" s="164"/>
      <c r="AS131" s="164"/>
      <c r="AT131" s="164"/>
      <c r="AU131" s="164"/>
      <c r="AV131" s="307"/>
      <c r="AW131" s="307"/>
      <c r="AX131" s="307"/>
      <c r="AY131" s="307"/>
      <c r="AZ131" s="307"/>
    </row>
    <row r="132" spans="2:52">
      <c r="B132" s="93" t="s">
        <v>35</v>
      </c>
      <c r="C132" s="94" t="s">
        <v>36</v>
      </c>
      <c r="D132" s="20">
        <v>10</v>
      </c>
      <c r="E132" s="20">
        <v>10</v>
      </c>
      <c r="F132" s="20">
        <v>10</v>
      </c>
      <c r="G132" s="20">
        <v>10</v>
      </c>
      <c r="H132" s="20">
        <v>10</v>
      </c>
      <c r="I132" s="20">
        <v>10</v>
      </c>
      <c r="J132" s="20">
        <v>10</v>
      </c>
      <c r="K132" s="20">
        <v>10</v>
      </c>
      <c r="L132" s="20">
        <v>10</v>
      </c>
      <c r="M132" s="20">
        <v>10</v>
      </c>
      <c r="N132" s="20">
        <v>10</v>
      </c>
      <c r="O132" s="20">
        <v>10</v>
      </c>
      <c r="P132" s="20">
        <v>10</v>
      </c>
      <c r="Q132" s="20">
        <v>10</v>
      </c>
      <c r="R132" s="20">
        <v>10</v>
      </c>
      <c r="S132" s="20">
        <v>10</v>
      </c>
      <c r="T132" s="20">
        <v>10</v>
      </c>
      <c r="U132" s="20">
        <v>10</v>
      </c>
      <c r="V132" s="80">
        <f t="shared" si="10"/>
        <v>180</v>
      </c>
      <c r="X132" s="34">
        <f>71+V132</f>
        <v>251</v>
      </c>
      <c r="AM132" s="164"/>
      <c r="AN132" s="164"/>
      <c r="AO132" s="164"/>
      <c r="AP132" s="164"/>
      <c r="AQ132" s="164"/>
      <c r="AR132" s="164"/>
      <c r="AS132" s="164"/>
      <c r="AT132" s="164"/>
      <c r="AU132" s="164"/>
      <c r="AV132" s="307"/>
      <c r="AW132" s="307"/>
      <c r="AX132" s="307"/>
      <c r="AY132" s="307"/>
      <c r="AZ132" s="307"/>
    </row>
    <row r="133" spans="2:52">
      <c r="AM133" s="164"/>
      <c r="AN133" s="164"/>
      <c r="AO133" s="164"/>
      <c r="AP133" s="164"/>
      <c r="AQ133" s="164"/>
      <c r="AR133" s="164"/>
      <c r="AS133" s="164"/>
      <c r="AT133" s="164"/>
      <c r="AU133" s="164"/>
      <c r="AV133" s="307"/>
      <c r="AW133" s="307"/>
      <c r="AX133" s="307"/>
      <c r="AY133" s="307"/>
      <c r="AZ133" s="307"/>
    </row>
    <row r="134" spans="2:52">
      <c r="B134" s="9" t="s">
        <v>2</v>
      </c>
      <c r="C134" s="10" t="s">
        <v>3</v>
      </c>
      <c r="D134" s="26" t="s">
        <v>4</v>
      </c>
      <c r="E134" s="26" t="s">
        <v>5</v>
      </c>
      <c r="F134" s="26" t="s">
        <v>6</v>
      </c>
      <c r="G134" s="26" t="s">
        <v>7</v>
      </c>
      <c r="H134" s="26" t="s">
        <v>8</v>
      </c>
      <c r="I134" s="26" t="s">
        <v>9</v>
      </c>
      <c r="J134" s="26" t="s">
        <v>10</v>
      </c>
      <c r="K134" s="26" t="s">
        <v>11</v>
      </c>
      <c r="L134" s="26" t="s">
        <v>15</v>
      </c>
      <c r="M134" s="26" t="s">
        <v>13</v>
      </c>
      <c r="N134" s="26" t="s">
        <v>138</v>
      </c>
      <c r="O134" s="26" t="s">
        <v>139</v>
      </c>
      <c r="P134" s="26" t="s">
        <v>159</v>
      </c>
      <c r="Q134" s="26" t="s">
        <v>160</v>
      </c>
      <c r="R134" s="26" t="s">
        <v>142</v>
      </c>
      <c r="S134" s="26" t="s">
        <v>143</v>
      </c>
      <c r="T134" s="26" t="s">
        <v>144</v>
      </c>
      <c r="U134" s="26" t="s">
        <v>145</v>
      </c>
      <c r="V134" s="78" t="s">
        <v>58</v>
      </c>
      <c r="W134" s="73"/>
      <c r="X134" s="32" t="s">
        <v>146</v>
      </c>
      <c r="AB134" s="141">
        <f>COUNTIFS(Tabell7141520213435363738[[1]:[18]],-1)</f>
        <v>0</v>
      </c>
      <c r="AD134" s="73" t="s">
        <v>54</v>
      </c>
      <c r="AE134" s="142">
        <f>AB134/AB141</f>
        <v>0</v>
      </c>
      <c r="AL134" s="72">
        <v>0</v>
      </c>
      <c r="AM134" s="164">
        <v>0</v>
      </c>
      <c r="AN134" s="164"/>
      <c r="AO134" s="164" t="s">
        <v>54</v>
      </c>
      <c r="AP134" s="165" t="e">
        <v>#DIV/0!</v>
      </c>
      <c r="AQ134" s="164"/>
      <c r="AR134" s="164">
        <v>0</v>
      </c>
      <c r="AS134" s="164"/>
      <c r="AT134" s="164" t="s">
        <v>54</v>
      </c>
      <c r="AU134" s="164">
        <v>0</v>
      </c>
      <c r="AV134" s="307">
        <v>0</v>
      </c>
      <c r="AW134" s="307"/>
      <c r="AX134" s="307" t="s">
        <v>54</v>
      </c>
      <c r="AY134" s="307">
        <v>0</v>
      </c>
      <c r="AZ134" s="307"/>
    </row>
    <row r="135" spans="2:52">
      <c r="B135" s="93" t="s">
        <v>32</v>
      </c>
      <c r="C135" s="94" t="s">
        <v>166</v>
      </c>
      <c r="D135" s="20">
        <v>1</v>
      </c>
      <c r="E135" s="20">
        <v>0</v>
      </c>
      <c r="F135" s="20">
        <v>4</v>
      </c>
      <c r="G135" s="20">
        <v>2</v>
      </c>
      <c r="H135" s="20">
        <v>3</v>
      </c>
      <c r="I135" s="20">
        <v>1</v>
      </c>
      <c r="J135" s="20">
        <v>1</v>
      </c>
      <c r="K135" s="20">
        <v>5</v>
      </c>
      <c r="L135" s="20">
        <v>1</v>
      </c>
      <c r="M135" s="20">
        <v>3</v>
      </c>
      <c r="N135" s="20">
        <v>0</v>
      </c>
      <c r="O135" s="20">
        <v>2</v>
      </c>
      <c r="P135" s="20">
        <v>2</v>
      </c>
      <c r="Q135" s="20">
        <v>2</v>
      </c>
      <c r="R135" s="20">
        <v>1</v>
      </c>
      <c r="S135" s="20">
        <v>2</v>
      </c>
      <c r="T135" s="20">
        <v>1</v>
      </c>
      <c r="U135" s="20">
        <v>3</v>
      </c>
      <c r="V135" s="79">
        <f t="shared" ref="V135:V144" si="11">SUM(D135:U135)</f>
        <v>34</v>
      </c>
      <c r="W135" s="73"/>
      <c r="X135" s="33">
        <f>72+V135</f>
        <v>106</v>
      </c>
      <c r="AB135" s="141">
        <f>COUNTIFS(D135:U145,0)</f>
        <v>8</v>
      </c>
      <c r="AD135" s="73" t="s">
        <v>137</v>
      </c>
      <c r="AE135" s="142">
        <f>AB135/AB141</f>
        <v>7.407407407407407E-2</v>
      </c>
      <c r="AL135" s="72">
        <v>0</v>
      </c>
      <c r="AM135" s="164">
        <v>0</v>
      </c>
      <c r="AN135" s="164"/>
      <c r="AO135" s="164" t="s">
        <v>137</v>
      </c>
      <c r="AP135" s="165" t="e">
        <v>#DIV/0!</v>
      </c>
      <c r="AQ135" s="164"/>
      <c r="AR135" s="164">
        <v>7</v>
      </c>
      <c r="AS135" s="164"/>
      <c r="AT135" s="164" t="s">
        <v>137</v>
      </c>
      <c r="AU135" s="164">
        <v>4.8611111111111112E-2</v>
      </c>
      <c r="AV135" s="307">
        <v>8</v>
      </c>
      <c r="AW135" s="307"/>
      <c r="AX135" s="307" t="s">
        <v>137</v>
      </c>
      <c r="AY135" s="307">
        <v>6.3492063492063489E-2</v>
      </c>
      <c r="AZ135" s="307"/>
    </row>
    <row r="136" spans="2:52">
      <c r="B136" s="93" t="s">
        <v>32</v>
      </c>
      <c r="C136" s="94" t="s">
        <v>166</v>
      </c>
      <c r="D136" s="20">
        <v>3</v>
      </c>
      <c r="E136" s="20">
        <v>1</v>
      </c>
      <c r="F136" s="20">
        <v>3</v>
      </c>
      <c r="G136" s="20">
        <v>1</v>
      </c>
      <c r="H136" s="20">
        <v>3</v>
      </c>
      <c r="I136" s="20">
        <v>4</v>
      </c>
      <c r="J136" s="20">
        <v>1</v>
      </c>
      <c r="K136" s="20">
        <v>3</v>
      </c>
      <c r="L136" s="20">
        <v>3</v>
      </c>
      <c r="M136" s="20">
        <v>2</v>
      </c>
      <c r="N136" s="20">
        <v>0</v>
      </c>
      <c r="O136" s="20">
        <v>2</v>
      </c>
      <c r="P136" s="20">
        <v>3</v>
      </c>
      <c r="Q136" s="20">
        <v>1</v>
      </c>
      <c r="R136" s="20">
        <v>1</v>
      </c>
      <c r="S136" s="20">
        <v>4</v>
      </c>
      <c r="T136" s="20">
        <v>4</v>
      </c>
      <c r="U136" s="20">
        <v>3</v>
      </c>
      <c r="V136" s="79">
        <f t="shared" si="11"/>
        <v>42</v>
      </c>
      <c r="W136" s="73"/>
      <c r="X136" s="33">
        <f>72+V136</f>
        <v>114</v>
      </c>
      <c r="AB136" s="141">
        <f>COUNTIFS(Tabell7141520213435363738[[1]:[18]],1)</f>
        <v>20</v>
      </c>
      <c r="AD136" s="73" t="s">
        <v>161</v>
      </c>
      <c r="AE136" s="142">
        <f>AB136/AB141</f>
        <v>0.18518518518518517</v>
      </c>
      <c r="AL136" s="72">
        <v>0</v>
      </c>
      <c r="AM136" s="164">
        <v>0</v>
      </c>
      <c r="AN136" s="164"/>
      <c r="AO136" s="164" t="s">
        <v>161</v>
      </c>
      <c r="AP136" s="165" t="e">
        <v>#DIV/0!</v>
      </c>
      <c r="AQ136" s="164"/>
      <c r="AR136" s="164">
        <v>33</v>
      </c>
      <c r="AS136" s="164"/>
      <c r="AT136" s="164" t="s">
        <v>161</v>
      </c>
      <c r="AU136" s="164">
        <v>0.22916666666666666</v>
      </c>
      <c r="AV136" s="307">
        <v>31</v>
      </c>
      <c r="AW136" s="307"/>
      <c r="AX136" s="307" t="s">
        <v>161</v>
      </c>
      <c r="AY136" s="307">
        <v>0.24603174603174602</v>
      </c>
      <c r="AZ136" s="307"/>
    </row>
    <row r="137" spans="2:52">
      <c r="B137" s="93" t="s">
        <v>32</v>
      </c>
      <c r="C137" s="94" t="s">
        <v>166</v>
      </c>
      <c r="D137" s="20">
        <v>2</v>
      </c>
      <c r="E137" s="20">
        <v>2</v>
      </c>
      <c r="F137" s="20">
        <v>2</v>
      </c>
      <c r="G137" s="20">
        <v>5</v>
      </c>
      <c r="H137" s="20">
        <v>0</v>
      </c>
      <c r="I137" s="20">
        <v>3</v>
      </c>
      <c r="J137" s="20">
        <v>0</v>
      </c>
      <c r="K137" s="20">
        <v>2</v>
      </c>
      <c r="L137" s="20">
        <v>3</v>
      </c>
      <c r="M137" s="20">
        <v>3</v>
      </c>
      <c r="N137" s="20">
        <v>3</v>
      </c>
      <c r="O137" s="20">
        <v>2</v>
      </c>
      <c r="P137" s="20">
        <v>3</v>
      </c>
      <c r="Q137" s="20">
        <v>3</v>
      </c>
      <c r="R137" s="20">
        <v>4</v>
      </c>
      <c r="S137" s="20">
        <v>3</v>
      </c>
      <c r="T137" s="20">
        <v>4</v>
      </c>
      <c r="U137" s="20">
        <v>1</v>
      </c>
      <c r="V137" s="79">
        <f t="shared" si="11"/>
        <v>45</v>
      </c>
      <c r="W137" s="73"/>
      <c r="X137" s="33">
        <f>72+V137</f>
        <v>117</v>
      </c>
      <c r="AB137" s="141">
        <f>COUNTIFS(Tabell7141520213435363738[[1]:[18]],2)</f>
        <v>27</v>
      </c>
      <c r="AD137" s="73" t="s">
        <v>162</v>
      </c>
      <c r="AE137" s="142">
        <f>AB137/AB141</f>
        <v>0.25</v>
      </c>
      <c r="AL137" s="72">
        <v>0</v>
      </c>
      <c r="AM137" s="164">
        <v>0</v>
      </c>
      <c r="AN137" s="164"/>
      <c r="AO137" s="164" t="s">
        <v>162</v>
      </c>
      <c r="AP137" s="165" t="e">
        <v>#DIV/0!</v>
      </c>
      <c r="AQ137" s="164"/>
      <c r="AR137" s="164">
        <v>37</v>
      </c>
      <c r="AS137" s="164"/>
      <c r="AT137" s="164" t="s">
        <v>162</v>
      </c>
      <c r="AU137" s="164">
        <v>0.25694444444444442</v>
      </c>
      <c r="AV137" s="307">
        <v>33</v>
      </c>
      <c r="AW137" s="307"/>
      <c r="AX137" s="307" t="s">
        <v>162</v>
      </c>
      <c r="AY137" s="307">
        <v>0.26190476190476192</v>
      </c>
      <c r="AZ137" s="307"/>
    </row>
    <row r="138" spans="2:52">
      <c r="B138" s="93" t="s">
        <v>32</v>
      </c>
      <c r="C138" s="94" t="s">
        <v>166</v>
      </c>
      <c r="D138" s="20">
        <v>1</v>
      </c>
      <c r="E138" s="20">
        <v>0</v>
      </c>
      <c r="F138" s="20">
        <v>4</v>
      </c>
      <c r="G138" s="20">
        <v>2</v>
      </c>
      <c r="H138" s="20">
        <v>3</v>
      </c>
      <c r="I138" s="20">
        <v>2</v>
      </c>
      <c r="J138" s="20">
        <v>4</v>
      </c>
      <c r="K138" s="20">
        <v>3</v>
      </c>
      <c r="L138" s="20">
        <v>2</v>
      </c>
      <c r="M138" s="20">
        <v>2</v>
      </c>
      <c r="N138" s="20">
        <v>2</v>
      </c>
      <c r="O138" s="20">
        <v>4</v>
      </c>
      <c r="P138" s="20">
        <v>1</v>
      </c>
      <c r="Q138" s="20">
        <v>2</v>
      </c>
      <c r="R138" s="20">
        <v>0</v>
      </c>
      <c r="S138" s="20">
        <v>4</v>
      </c>
      <c r="T138" s="20">
        <v>1</v>
      </c>
      <c r="U138" s="20">
        <v>1</v>
      </c>
      <c r="V138" s="79">
        <f t="shared" si="11"/>
        <v>38</v>
      </c>
      <c r="W138" s="73"/>
      <c r="X138" s="33">
        <f>71+V138</f>
        <v>109</v>
      </c>
      <c r="AB138" s="141">
        <f>COUNTIFS(Tabell7141520213435363738[[1]:[18]],3)</f>
        <v>32</v>
      </c>
      <c r="AD138" s="73" t="s">
        <v>163</v>
      </c>
      <c r="AE138" s="142">
        <f>AB138/AB141</f>
        <v>0.29629629629629628</v>
      </c>
      <c r="AL138" s="72">
        <v>0</v>
      </c>
      <c r="AM138" s="164">
        <v>0</v>
      </c>
      <c r="AN138" s="164"/>
      <c r="AO138" s="164" t="s">
        <v>163</v>
      </c>
      <c r="AP138" s="165" t="e">
        <v>#DIV/0!</v>
      </c>
      <c r="AQ138" s="164"/>
      <c r="AR138" s="164">
        <v>33</v>
      </c>
      <c r="AS138" s="164"/>
      <c r="AT138" s="164" t="s">
        <v>163</v>
      </c>
      <c r="AU138" s="164">
        <v>0.22916666666666666</v>
      </c>
      <c r="AV138" s="307">
        <v>27</v>
      </c>
      <c r="AW138" s="307"/>
      <c r="AX138" s="307" t="s">
        <v>163</v>
      </c>
      <c r="AY138" s="307">
        <v>0.21428571428571427</v>
      </c>
      <c r="AZ138" s="307"/>
    </row>
    <row r="139" spans="2:52">
      <c r="B139" s="93" t="s">
        <v>32</v>
      </c>
      <c r="C139" s="94" t="s">
        <v>166</v>
      </c>
      <c r="D139" s="20">
        <v>10</v>
      </c>
      <c r="E139" s="20">
        <v>10</v>
      </c>
      <c r="F139" s="20">
        <v>10</v>
      </c>
      <c r="G139" s="20">
        <v>10</v>
      </c>
      <c r="H139" s="20">
        <v>10</v>
      </c>
      <c r="I139" s="20">
        <v>10</v>
      </c>
      <c r="J139" s="20">
        <v>10</v>
      </c>
      <c r="K139" s="20">
        <v>10</v>
      </c>
      <c r="L139" s="20">
        <v>10</v>
      </c>
      <c r="M139" s="20">
        <v>10</v>
      </c>
      <c r="N139" s="20">
        <v>10</v>
      </c>
      <c r="O139" s="20">
        <v>10</v>
      </c>
      <c r="P139" s="20">
        <v>10</v>
      </c>
      <c r="Q139" s="20">
        <v>10</v>
      </c>
      <c r="R139" s="20">
        <v>10</v>
      </c>
      <c r="S139" s="20">
        <v>10</v>
      </c>
      <c r="T139" s="20">
        <v>10</v>
      </c>
      <c r="U139" s="20">
        <v>10</v>
      </c>
      <c r="V139" s="79">
        <f>SUM(D139:U139)</f>
        <v>180</v>
      </c>
      <c r="W139" s="73"/>
      <c r="X139" s="33">
        <f>71+V139</f>
        <v>251</v>
      </c>
      <c r="AB139" s="141">
        <f>COUNTIFS(Tabell7141520213435363738[[1]:[18]],4)</f>
        <v>15</v>
      </c>
      <c r="AD139" s="73" t="s">
        <v>164</v>
      </c>
      <c r="AE139" s="142">
        <f>AB139/AB141</f>
        <v>0.1388888888888889</v>
      </c>
      <c r="AL139" s="72">
        <v>0</v>
      </c>
      <c r="AM139" s="164">
        <v>0</v>
      </c>
      <c r="AN139" s="164"/>
      <c r="AO139" s="164" t="s">
        <v>164</v>
      </c>
      <c r="AP139" s="165" t="e">
        <v>#DIV/0!</v>
      </c>
      <c r="AQ139" s="164"/>
      <c r="AR139" s="164">
        <v>14</v>
      </c>
      <c r="AS139" s="164"/>
      <c r="AT139" s="164" t="s">
        <v>164</v>
      </c>
      <c r="AU139" s="164">
        <v>9.7222222222222224E-2</v>
      </c>
      <c r="AV139" s="307">
        <v>16</v>
      </c>
      <c r="AW139" s="307"/>
      <c r="AX139" s="307" t="s">
        <v>164</v>
      </c>
      <c r="AY139" s="307">
        <v>0.12698412698412698</v>
      </c>
      <c r="AZ139" s="307"/>
    </row>
    <row r="140" spans="2:52">
      <c r="B140" s="93" t="s">
        <v>32</v>
      </c>
      <c r="C140" s="94" t="s">
        <v>166</v>
      </c>
      <c r="D140" s="20">
        <v>10</v>
      </c>
      <c r="E140" s="20">
        <v>10</v>
      </c>
      <c r="F140" s="20">
        <v>10</v>
      </c>
      <c r="G140" s="20">
        <v>10</v>
      </c>
      <c r="H140" s="20">
        <v>10</v>
      </c>
      <c r="I140" s="20">
        <v>10</v>
      </c>
      <c r="J140" s="20">
        <v>10</v>
      </c>
      <c r="K140" s="20">
        <v>10</v>
      </c>
      <c r="L140" s="20">
        <v>10</v>
      </c>
      <c r="M140" s="20">
        <v>10</v>
      </c>
      <c r="N140" s="20">
        <v>10</v>
      </c>
      <c r="O140" s="20">
        <v>10</v>
      </c>
      <c r="P140" s="20">
        <v>10</v>
      </c>
      <c r="Q140" s="20">
        <v>10</v>
      </c>
      <c r="R140" s="20">
        <v>10</v>
      </c>
      <c r="S140" s="20">
        <v>10</v>
      </c>
      <c r="T140" s="20">
        <v>10</v>
      </c>
      <c r="U140" s="20">
        <v>10</v>
      </c>
      <c r="V140" s="79">
        <f t="shared" si="11"/>
        <v>180</v>
      </c>
      <c r="W140" s="73"/>
      <c r="X140" s="33">
        <f>70+V140</f>
        <v>250</v>
      </c>
      <c r="AB140" s="141">
        <f>COUNTIFS(Tabell7141520213435363738[[1]:[18]],5)</f>
        <v>6</v>
      </c>
      <c r="AD140" s="73" t="s">
        <v>165</v>
      </c>
      <c r="AE140" s="142">
        <f>AB140/AB141</f>
        <v>5.5555555555555552E-2</v>
      </c>
      <c r="AL140" s="72">
        <v>0</v>
      </c>
      <c r="AM140" s="164">
        <v>0</v>
      </c>
      <c r="AN140" s="164"/>
      <c r="AO140" s="164" t="s">
        <v>165</v>
      </c>
      <c r="AP140" s="165" t="e">
        <v>#DIV/0!</v>
      </c>
      <c r="AQ140" s="164"/>
      <c r="AR140" s="164">
        <v>20</v>
      </c>
      <c r="AS140" s="164"/>
      <c r="AT140" s="164" t="s">
        <v>165</v>
      </c>
      <c r="AU140" s="164">
        <v>0.1388888888888889</v>
      </c>
      <c r="AV140" s="307">
        <v>11</v>
      </c>
      <c r="AW140" s="307"/>
      <c r="AX140" s="307" t="s">
        <v>165</v>
      </c>
      <c r="AY140" s="307">
        <v>8.7301587301587297E-2</v>
      </c>
      <c r="AZ140" s="307"/>
    </row>
    <row r="141" spans="2:52">
      <c r="B141" s="93" t="s">
        <v>32</v>
      </c>
      <c r="C141" s="94" t="s">
        <v>166</v>
      </c>
      <c r="D141" s="20">
        <v>4</v>
      </c>
      <c r="E141" s="20">
        <v>3</v>
      </c>
      <c r="F141" s="20">
        <v>3</v>
      </c>
      <c r="G141" s="20">
        <v>2</v>
      </c>
      <c r="H141" s="20">
        <v>1</v>
      </c>
      <c r="I141" s="20">
        <v>0</v>
      </c>
      <c r="J141" s="20">
        <v>4</v>
      </c>
      <c r="K141" s="20">
        <v>1</v>
      </c>
      <c r="L141" s="20">
        <v>5</v>
      </c>
      <c r="M141" s="20">
        <v>2</v>
      </c>
      <c r="N141" s="20">
        <v>3</v>
      </c>
      <c r="O141" s="20">
        <v>3</v>
      </c>
      <c r="P141" s="20">
        <v>2</v>
      </c>
      <c r="Q141" s="20">
        <v>3</v>
      </c>
      <c r="R141" s="20">
        <v>3</v>
      </c>
      <c r="S141" s="20">
        <v>1</v>
      </c>
      <c r="T141" s="20">
        <v>2</v>
      </c>
      <c r="U141" s="20">
        <v>2</v>
      </c>
      <c r="V141" s="79">
        <f t="shared" si="11"/>
        <v>44</v>
      </c>
      <c r="W141" s="73"/>
      <c r="X141" s="33">
        <f>72+V141</f>
        <v>116</v>
      </c>
      <c r="AB141" s="83">
        <f>SUM(AB134:AB140)</f>
        <v>108</v>
      </c>
      <c r="AL141" s="72">
        <v>0</v>
      </c>
      <c r="AM141" s="164">
        <v>0</v>
      </c>
      <c r="AN141" s="164"/>
      <c r="AO141" s="164"/>
      <c r="AP141" s="164"/>
      <c r="AQ141" s="164"/>
      <c r="AR141" s="164">
        <v>144</v>
      </c>
      <c r="AS141" s="164"/>
      <c r="AT141" s="164"/>
      <c r="AU141" s="164"/>
      <c r="AV141" s="307">
        <v>126</v>
      </c>
      <c r="AW141" s="307"/>
      <c r="AX141" s="307"/>
      <c r="AY141" s="307"/>
      <c r="AZ141" s="307"/>
    </row>
    <row r="142" spans="2:52">
      <c r="B142" s="93" t="s">
        <v>32</v>
      </c>
      <c r="C142" s="94" t="s">
        <v>166</v>
      </c>
      <c r="D142" s="20">
        <v>3</v>
      </c>
      <c r="E142" s="20">
        <v>3</v>
      </c>
      <c r="F142" s="20">
        <v>5</v>
      </c>
      <c r="G142" s="20">
        <v>1</v>
      </c>
      <c r="H142" s="20">
        <v>5</v>
      </c>
      <c r="I142" s="20">
        <v>2</v>
      </c>
      <c r="J142" s="20">
        <v>2</v>
      </c>
      <c r="K142" s="20">
        <v>3</v>
      </c>
      <c r="L142" s="20">
        <v>4</v>
      </c>
      <c r="M142" s="20">
        <v>2</v>
      </c>
      <c r="N142" s="20">
        <v>3</v>
      </c>
      <c r="O142" s="20">
        <v>3</v>
      </c>
      <c r="P142" s="20">
        <v>3</v>
      </c>
      <c r="Q142" s="20">
        <v>3</v>
      </c>
      <c r="R142" s="20">
        <v>4</v>
      </c>
      <c r="S142" s="20">
        <v>5</v>
      </c>
      <c r="T142" s="20">
        <v>2</v>
      </c>
      <c r="U142" s="20">
        <v>4</v>
      </c>
      <c r="V142" s="79">
        <f t="shared" si="11"/>
        <v>57</v>
      </c>
      <c r="W142" s="73"/>
      <c r="X142" s="33">
        <f>72+V142</f>
        <v>129</v>
      </c>
      <c r="AM142" s="164"/>
      <c r="AN142" s="164"/>
      <c r="AO142" s="164"/>
      <c r="AP142" s="164"/>
      <c r="AQ142" s="164"/>
      <c r="AR142" s="164"/>
      <c r="AS142" s="164"/>
      <c r="AT142" s="164"/>
      <c r="AU142" s="164"/>
      <c r="AV142" s="307"/>
      <c r="AW142" s="307"/>
      <c r="AX142" s="307"/>
      <c r="AY142" s="307"/>
      <c r="AZ142" s="307"/>
    </row>
    <row r="143" spans="2:52">
      <c r="B143" s="93" t="s">
        <v>32</v>
      </c>
      <c r="C143" s="94" t="s">
        <v>166</v>
      </c>
      <c r="D143" s="20">
        <v>10</v>
      </c>
      <c r="E143" s="20">
        <v>10</v>
      </c>
      <c r="F143" s="20">
        <v>10</v>
      </c>
      <c r="G143" s="20">
        <v>10</v>
      </c>
      <c r="H143" s="20">
        <v>10</v>
      </c>
      <c r="I143" s="20">
        <v>10</v>
      </c>
      <c r="J143" s="20">
        <v>10</v>
      </c>
      <c r="K143" s="20">
        <v>10</v>
      </c>
      <c r="L143" s="20">
        <v>10</v>
      </c>
      <c r="M143" s="20">
        <v>10</v>
      </c>
      <c r="N143" s="20">
        <v>10</v>
      </c>
      <c r="O143" s="20">
        <v>10</v>
      </c>
      <c r="P143" s="20">
        <v>10</v>
      </c>
      <c r="Q143" s="20">
        <v>10</v>
      </c>
      <c r="R143" s="20">
        <v>10</v>
      </c>
      <c r="S143" s="20">
        <v>10</v>
      </c>
      <c r="T143" s="20">
        <v>10</v>
      </c>
      <c r="U143" s="20">
        <v>10</v>
      </c>
      <c r="V143" s="79">
        <f t="shared" si="11"/>
        <v>180</v>
      </c>
      <c r="W143" s="73"/>
      <c r="X143" s="33">
        <f>72+V143</f>
        <v>252</v>
      </c>
      <c r="AM143" s="164"/>
      <c r="AN143" s="164"/>
      <c r="AO143" s="164"/>
      <c r="AP143" s="164"/>
      <c r="AQ143" s="164"/>
      <c r="AR143" s="164"/>
      <c r="AS143" s="164"/>
      <c r="AT143" s="164"/>
      <c r="AU143" s="164"/>
      <c r="AV143" s="307"/>
      <c r="AW143" s="307"/>
      <c r="AX143" s="307"/>
      <c r="AY143" s="307"/>
      <c r="AZ143" s="307"/>
    </row>
    <row r="144" spans="2:52">
      <c r="B144" s="93" t="s">
        <v>32</v>
      </c>
      <c r="C144" s="94" t="s">
        <v>166</v>
      </c>
      <c r="D144" s="319">
        <v>10</v>
      </c>
      <c r="E144" s="20">
        <v>10</v>
      </c>
      <c r="F144" s="20">
        <v>10</v>
      </c>
      <c r="G144" s="20">
        <v>10</v>
      </c>
      <c r="H144" s="20">
        <v>10</v>
      </c>
      <c r="I144" s="20">
        <v>10</v>
      </c>
      <c r="J144" s="20">
        <v>10</v>
      </c>
      <c r="K144" s="20">
        <v>10</v>
      </c>
      <c r="L144" s="20">
        <v>10</v>
      </c>
      <c r="M144" s="20">
        <v>10</v>
      </c>
      <c r="N144" s="20">
        <v>10</v>
      </c>
      <c r="O144" s="20">
        <v>10</v>
      </c>
      <c r="P144" s="20">
        <v>10</v>
      </c>
      <c r="Q144" s="20">
        <v>10</v>
      </c>
      <c r="R144" s="20">
        <v>10</v>
      </c>
      <c r="S144" s="20">
        <v>10</v>
      </c>
      <c r="T144" s="20">
        <v>10</v>
      </c>
      <c r="U144" s="20">
        <v>10</v>
      </c>
      <c r="V144" s="80">
        <f t="shared" si="11"/>
        <v>180</v>
      </c>
      <c r="X144" s="34">
        <f>71+V144</f>
        <v>251</v>
      </c>
      <c r="AM144" s="164"/>
      <c r="AN144" s="164"/>
      <c r="AO144" s="164"/>
      <c r="AP144" s="164"/>
      <c r="AQ144" s="164"/>
      <c r="AR144" s="164"/>
      <c r="AS144" s="164"/>
      <c r="AT144" s="164"/>
      <c r="AU144" s="164"/>
      <c r="AV144" s="307"/>
      <c r="AW144" s="307"/>
      <c r="AX144" s="307"/>
      <c r="AY144" s="307"/>
      <c r="AZ144" s="307"/>
    </row>
    <row r="145" spans="2:52">
      <c r="B145" s="320"/>
      <c r="C145" s="321"/>
      <c r="D145" s="319"/>
      <c r="E145" s="319"/>
      <c r="F145" s="319"/>
      <c r="G145" s="319"/>
      <c r="H145" s="319"/>
      <c r="I145" s="319"/>
      <c r="J145" s="319"/>
      <c r="K145" s="319"/>
      <c r="L145" s="319"/>
      <c r="M145" s="319"/>
      <c r="N145" s="319"/>
      <c r="O145" s="319"/>
      <c r="P145" s="319"/>
      <c r="Q145" s="319"/>
      <c r="R145" s="319"/>
      <c r="S145" s="319"/>
      <c r="T145" s="319"/>
      <c r="U145" s="319"/>
      <c r="V145" s="322">
        <f>SUM(D145:U145)</f>
        <v>0</v>
      </c>
      <c r="W145" s="73"/>
      <c r="AM145" s="164"/>
      <c r="AN145" s="164"/>
      <c r="AO145" s="164"/>
      <c r="AP145" s="164"/>
      <c r="AQ145" s="164"/>
      <c r="AR145" s="164"/>
      <c r="AS145" s="164"/>
      <c r="AT145" s="164"/>
      <c r="AU145" s="164"/>
      <c r="AV145" s="307"/>
      <c r="AW145" s="307"/>
      <c r="AX145" s="307"/>
      <c r="AY145" s="307"/>
      <c r="AZ145" s="307"/>
    </row>
    <row r="146" spans="2:52">
      <c r="B146" s="9" t="s">
        <v>2</v>
      </c>
      <c r="C146" s="10" t="s">
        <v>3</v>
      </c>
      <c r="D146" s="26" t="s">
        <v>4</v>
      </c>
      <c r="E146" s="26" t="s">
        <v>5</v>
      </c>
      <c r="F146" s="26" t="s">
        <v>6</v>
      </c>
      <c r="G146" s="26" t="s">
        <v>7</v>
      </c>
      <c r="H146" s="26" t="s">
        <v>8</v>
      </c>
      <c r="I146" s="26" t="s">
        <v>9</v>
      </c>
      <c r="J146" s="26" t="s">
        <v>10</v>
      </c>
      <c r="K146" s="26" t="s">
        <v>11</v>
      </c>
      <c r="L146" s="26" t="s">
        <v>15</v>
      </c>
      <c r="M146" s="26" t="s">
        <v>13</v>
      </c>
      <c r="N146" s="26" t="s">
        <v>138</v>
      </c>
      <c r="O146" s="26" t="s">
        <v>139</v>
      </c>
      <c r="P146" s="26" t="s">
        <v>159</v>
      </c>
      <c r="Q146" s="26" t="s">
        <v>160</v>
      </c>
      <c r="R146" s="26" t="s">
        <v>142</v>
      </c>
      <c r="S146" s="26" t="s">
        <v>143</v>
      </c>
      <c r="T146" s="26" t="s">
        <v>144</v>
      </c>
      <c r="U146" s="26" t="s">
        <v>145</v>
      </c>
      <c r="V146" s="78" t="s">
        <v>58</v>
      </c>
      <c r="W146" s="73"/>
      <c r="X146" s="95" t="s">
        <v>146</v>
      </c>
      <c r="AB146" s="141">
        <f>COUNTIFS(Tabell714152021343536373839[[1]:[18]],-1)</f>
        <v>0</v>
      </c>
      <c r="AD146" s="73" t="s">
        <v>54</v>
      </c>
      <c r="AE146" s="142">
        <f>AB146/AB153</f>
        <v>0</v>
      </c>
      <c r="AL146" s="72">
        <v>0</v>
      </c>
      <c r="AM146" s="164">
        <v>0</v>
      </c>
      <c r="AN146" s="164"/>
      <c r="AO146" s="164" t="s">
        <v>54</v>
      </c>
      <c r="AP146" s="165" t="e">
        <v>#DIV/0!</v>
      </c>
      <c r="AQ146" s="164"/>
      <c r="AR146" s="164">
        <v>0</v>
      </c>
      <c r="AS146" s="164"/>
      <c r="AT146" s="164" t="s">
        <v>54</v>
      </c>
      <c r="AU146" s="164">
        <v>0</v>
      </c>
      <c r="AV146" s="307">
        <v>0</v>
      </c>
      <c r="AW146" s="307"/>
      <c r="AX146" s="307" t="s">
        <v>54</v>
      </c>
      <c r="AY146" s="307">
        <v>0</v>
      </c>
      <c r="AZ146" s="307"/>
    </row>
    <row r="147" spans="2:52">
      <c r="B147" s="93" t="s">
        <v>47</v>
      </c>
      <c r="C147" s="94" t="s">
        <v>27</v>
      </c>
      <c r="D147" s="20">
        <v>3</v>
      </c>
      <c r="E147" s="20">
        <v>4</v>
      </c>
      <c r="F147" s="20">
        <v>3</v>
      </c>
      <c r="G147" s="20">
        <v>3</v>
      </c>
      <c r="H147" s="20">
        <v>1</v>
      </c>
      <c r="I147" s="20">
        <v>4</v>
      </c>
      <c r="J147" s="20">
        <v>1</v>
      </c>
      <c r="K147" s="20">
        <v>5</v>
      </c>
      <c r="L147" s="20">
        <v>3</v>
      </c>
      <c r="M147" s="20">
        <v>3</v>
      </c>
      <c r="N147" s="20">
        <v>2</v>
      </c>
      <c r="O147" s="20">
        <v>2</v>
      </c>
      <c r="P147" s="20">
        <v>3</v>
      </c>
      <c r="Q147" s="20">
        <v>1</v>
      </c>
      <c r="R147" s="20">
        <v>4</v>
      </c>
      <c r="S147" s="20">
        <v>2</v>
      </c>
      <c r="T147" s="20">
        <v>4</v>
      </c>
      <c r="U147" s="20">
        <v>2</v>
      </c>
      <c r="V147" s="96">
        <f t="shared" ref="V147:V156" si="12">SUM(D147:U147)</f>
        <v>50</v>
      </c>
      <c r="W147" s="73"/>
      <c r="X147" s="97">
        <f>72+V147</f>
        <v>122</v>
      </c>
      <c r="AB147" s="141">
        <f>COUNTIFS(Tabell714152021343536373839[[1]:[18]],0)</f>
        <v>10</v>
      </c>
      <c r="AD147" s="73" t="s">
        <v>137</v>
      </c>
      <c r="AE147" s="142">
        <f>AB147/AB153</f>
        <v>6.1728395061728392E-2</v>
      </c>
      <c r="AL147" s="72">
        <v>0</v>
      </c>
      <c r="AM147" s="164">
        <v>0</v>
      </c>
      <c r="AN147" s="164"/>
      <c r="AO147" s="164" t="s">
        <v>137</v>
      </c>
      <c r="AP147" s="165" t="e">
        <v>#DIV/0!</v>
      </c>
      <c r="AQ147" s="164"/>
      <c r="AR147" s="164">
        <v>3</v>
      </c>
      <c r="AS147" s="164"/>
      <c r="AT147" s="164" t="s">
        <v>137</v>
      </c>
      <c r="AU147" s="164">
        <v>1.8633540372670808E-2</v>
      </c>
      <c r="AV147" s="307">
        <v>5</v>
      </c>
      <c r="AW147" s="307"/>
      <c r="AX147" s="307" t="s">
        <v>137</v>
      </c>
      <c r="AY147" s="307">
        <v>3.0864197530864196E-2</v>
      </c>
      <c r="AZ147" s="307"/>
    </row>
    <row r="148" spans="2:52">
      <c r="B148" s="93" t="s">
        <v>47</v>
      </c>
      <c r="C148" s="94" t="s">
        <v>27</v>
      </c>
      <c r="D148" s="20">
        <v>2</v>
      </c>
      <c r="E148" s="20">
        <v>1</v>
      </c>
      <c r="F148" s="20">
        <v>3</v>
      </c>
      <c r="G148" s="20">
        <v>1</v>
      </c>
      <c r="H148" s="20">
        <v>2</v>
      </c>
      <c r="I148" s="20">
        <v>1</v>
      </c>
      <c r="J148" s="20">
        <v>3</v>
      </c>
      <c r="K148" s="20">
        <v>2</v>
      </c>
      <c r="L148" s="20">
        <v>4</v>
      </c>
      <c r="M148" s="20">
        <v>2</v>
      </c>
      <c r="N148" s="20">
        <v>1</v>
      </c>
      <c r="O148" s="20">
        <v>1</v>
      </c>
      <c r="P148" s="20">
        <v>2</v>
      </c>
      <c r="Q148" s="20">
        <v>1</v>
      </c>
      <c r="R148" s="20">
        <v>2</v>
      </c>
      <c r="S148" s="20">
        <v>1</v>
      </c>
      <c r="T148" s="20">
        <v>1</v>
      </c>
      <c r="U148" s="20">
        <v>1</v>
      </c>
      <c r="V148" s="96">
        <f t="shared" si="12"/>
        <v>31</v>
      </c>
      <c r="W148" s="73"/>
      <c r="X148" s="97">
        <f>71+V148</f>
        <v>102</v>
      </c>
      <c r="AB148" s="141">
        <f>COUNTIFS(Tabell714152021343536373839[[1]:[18]],1)</f>
        <v>38</v>
      </c>
      <c r="AD148" s="73" t="s">
        <v>161</v>
      </c>
      <c r="AE148" s="142">
        <f>AB148/AB153</f>
        <v>0.23456790123456789</v>
      </c>
      <c r="AL148" s="72">
        <v>0</v>
      </c>
      <c r="AM148" s="164">
        <v>0</v>
      </c>
      <c r="AN148" s="164"/>
      <c r="AO148" s="164" t="s">
        <v>161</v>
      </c>
      <c r="AP148" s="165" t="e">
        <v>#DIV/0!</v>
      </c>
      <c r="AQ148" s="164"/>
      <c r="AR148" s="164">
        <v>32</v>
      </c>
      <c r="AS148" s="164"/>
      <c r="AT148" s="164" t="s">
        <v>161</v>
      </c>
      <c r="AU148" s="164">
        <v>0.19875776397515527</v>
      </c>
      <c r="AV148" s="307">
        <v>39</v>
      </c>
      <c r="AW148" s="307"/>
      <c r="AX148" s="307" t="s">
        <v>161</v>
      </c>
      <c r="AY148" s="307">
        <v>0.24074074074074073</v>
      </c>
      <c r="AZ148" s="307"/>
    </row>
    <row r="149" spans="2:52">
      <c r="B149" s="93" t="s">
        <v>47</v>
      </c>
      <c r="C149" s="94" t="s">
        <v>27</v>
      </c>
      <c r="D149" s="20">
        <v>4</v>
      </c>
      <c r="E149" s="20">
        <v>0</v>
      </c>
      <c r="F149" s="20">
        <v>3</v>
      </c>
      <c r="G149" s="20">
        <v>5</v>
      </c>
      <c r="H149" s="20">
        <v>0</v>
      </c>
      <c r="I149" s="20">
        <v>3</v>
      </c>
      <c r="J149" s="20">
        <v>1</v>
      </c>
      <c r="K149" s="20">
        <v>1</v>
      </c>
      <c r="L149" s="20">
        <v>5</v>
      </c>
      <c r="M149" s="20">
        <v>4</v>
      </c>
      <c r="N149" s="20">
        <v>1</v>
      </c>
      <c r="O149" s="20">
        <v>1</v>
      </c>
      <c r="P149" s="20">
        <v>3</v>
      </c>
      <c r="Q149" s="20">
        <v>2</v>
      </c>
      <c r="R149" s="20">
        <v>0</v>
      </c>
      <c r="S149" s="20">
        <v>1</v>
      </c>
      <c r="T149" s="20">
        <v>2</v>
      </c>
      <c r="U149" s="20">
        <v>1</v>
      </c>
      <c r="V149" s="96">
        <f t="shared" si="12"/>
        <v>37</v>
      </c>
      <c r="W149" s="73"/>
      <c r="X149" s="97">
        <f>72+V149</f>
        <v>109</v>
      </c>
      <c r="AB149" s="141">
        <f>COUNTIFS(Tabell714152021343536373839[[1]:[18]],2)</f>
        <v>40</v>
      </c>
      <c r="AD149" s="73" t="s">
        <v>162</v>
      </c>
      <c r="AE149" s="142">
        <f>AB149/AB153</f>
        <v>0.24691358024691357</v>
      </c>
      <c r="AL149" s="72">
        <v>0</v>
      </c>
      <c r="AM149" s="164">
        <v>0</v>
      </c>
      <c r="AN149" s="164"/>
      <c r="AO149" s="164" t="s">
        <v>162</v>
      </c>
      <c r="AP149" s="165" t="e">
        <v>#DIV/0!</v>
      </c>
      <c r="AQ149" s="164"/>
      <c r="AR149" s="164">
        <v>45</v>
      </c>
      <c r="AS149" s="164"/>
      <c r="AT149" s="164" t="s">
        <v>162</v>
      </c>
      <c r="AU149" s="164">
        <v>0.27950310559006208</v>
      </c>
      <c r="AV149" s="307">
        <v>49</v>
      </c>
      <c r="AW149" s="307"/>
      <c r="AX149" s="307" t="s">
        <v>162</v>
      </c>
      <c r="AY149" s="307">
        <v>0.30246913580246915</v>
      </c>
      <c r="AZ149" s="307"/>
    </row>
    <row r="150" spans="2:52">
      <c r="B150" s="93" t="s">
        <v>47</v>
      </c>
      <c r="C150" s="94" t="s">
        <v>27</v>
      </c>
      <c r="D150" s="20">
        <v>4</v>
      </c>
      <c r="E150" s="20">
        <v>1</v>
      </c>
      <c r="F150" s="20">
        <v>2</v>
      </c>
      <c r="G150" s="20">
        <v>3</v>
      </c>
      <c r="H150" s="20">
        <v>2</v>
      </c>
      <c r="I150" s="20">
        <v>1</v>
      </c>
      <c r="J150" s="20">
        <v>1</v>
      </c>
      <c r="K150" s="20">
        <v>2</v>
      </c>
      <c r="L150" s="20">
        <v>3</v>
      </c>
      <c r="M150" s="20">
        <v>5</v>
      </c>
      <c r="N150" s="20">
        <v>3</v>
      </c>
      <c r="O150" s="20">
        <v>5</v>
      </c>
      <c r="P150" s="20">
        <v>1</v>
      </c>
      <c r="Q150" s="20">
        <v>4</v>
      </c>
      <c r="R150" s="20">
        <v>3</v>
      </c>
      <c r="S150" s="20">
        <v>2</v>
      </c>
      <c r="T150" s="20">
        <v>4</v>
      </c>
      <c r="U150" s="20">
        <v>3</v>
      </c>
      <c r="V150" s="96">
        <f t="shared" si="12"/>
        <v>49</v>
      </c>
      <c r="W150" s="73"/>
      <c r="X150" s="97">
        <f>72+V150</f>
        <v>121</v>
      </c>
      <c r="AB150" s="141">
        <f>COUNTIFS(Tabell714152021343536373839[[1]:[18]],3)</f>
        <v>34</v>
      </c>
      <c r="AD150" s="73" t="s">
        <v>163</v>
      </c>
      <c r="AE150" s="142">
        <f>AB150/AB153</f>
        <v>0.20987654320987653</v>
      </c>
      <c r="AL150" s="72">
        <v>0</v>
      </c>
      <c r="AM150" s="164">
        <v>0</v>
      </c>
      <c r="AN150" s="164"/>
      <c r="AO150" s="164" t="s">
        <v>163</v>
      </c>
      <c r="AP150" s="165" t="e">
        <v>#DIV/0!</v>
      </c>
      <c r="AQ150" s="164"/>
      <c r="AR150" s="164">
        <v>38</v>
      </c>
      <c r="AS150" s="164"/>
      <c r="AT150" s="164" t="s">
        <v>163</v>
      </c>
      <c r="AU150" s="164">
        <v>0.2360248447204969</v>
      </c>
      <c r="AV150" s="307">
        <v>27</v>
      </c>
      <c r="AW150" s="307"/>
      <c r="AX150" s="307" t="s">
        <v>163</v>
      </c>
      <c r="AY150" s="307">
        <v>0.16666666666666666</v>
      </c>
      <c r="AZ150" s="307"/>
    </row>
    <row r="151" spans="2:52">
      <c r="B151" s="93" t="s">
        <v>47</v>
      </c>
      <c r="C151" s="94" t="s">
        <v>27</v>
      </c>
      <c r="D151" s="20">
        <v>2</v>
      </c>
      <c r="E151" s="20">
        <v>2</v>
      </c>
      <c r="F151" s="20">
        <v>2</v>
      </c>
      <c r="G151" s="20">
        <v>2</v>
      </c>
      <c r="H151" s="20">
        <v>4</v>
      </c>
      <c r="I151" s="20">
        <v>4</v>
      </c>
      <c r="J151" s="20">
        <v>4</v>
      </c>
      <c r="K151" s="20">
        <v>2</v>
      </c>
      <c r="L151" s="20">
        <v>1</v>
      </c>
      <c r="M151" s="20">
        <v>4</v>
      </c>
      <c r="N151" s="20">
        <v>3</v>
      </c>
      <c r="O151" s="20">
        <v>4</v>
      </c>
      <c r="P151" s="20">
        <v>1</v>
      </c>
      <c r="Q151" s="20">
        <v>2</v>
      </c>
      <c r="R151" s="20">
        <v>0</v>
      </c>
      <c r="S151" s="20">
        <v>2</v>
      </c>
      <c r="T151" s="20">
        <v>2</v>
      </c>
      <c r="U151" s="20">
        <v>4</v>
      </c>
      <c r="V151" s="96">
        <f t="shared" si="12"/>
        <v>45</v>
      </c>
      <c r="W151" s="73"/>
      <c r="X151" s="97">
        <f>70+V151</f>
        <v>115</v>
      </c>
      <c r="AB151" s="141">
        <f>COUNTIFS(Tabell714152021343536373839[[1]:[18]],4)</f>
        <v>25</v>
      </c>
      <c r="AD151" s="73" t="s">
        <v>164</v>
      </c>
      <c r="AE151" s="142">
        <f>AB151/AB153</f>
        <v>0.15432098765432098</v>
      </c>
      <c r="AL151" s="72">
        <v>0</v>
      </c>
      <c r="AM151" s="164">
        <v>0</v>
      </c>
      <c r="AN151" s="164"/>
      <c r="AO151" s="164" t="s">
        <v>164</v>
      </c>
      <c r="AP151" s="165" t="e">
        <v>#DIV/0!</v>
      </c>
      <c r="AQ151" s="164"/>
      <c r="AR151" s="164">
        <v>18</v>
      </c>
      <c r="AS151" s="164"/>
      <c r="AT151" s="164" t="s">
        <v>164</v>
      </c>
      <c r="AU151" s="164">
        <v>0.11180124223602485</v>
      </c>
      <c r="AV151" s="307">
        <v>23</v>
      </c>
      <c r="AW151" s="307"/>
      <c r="AX151" s="307" t="s">
        <v>164</v>
      </c>
      <c r="AY151" s="307">
        <v>0.1419753086419753</v>
      </c>
      <c r="AZ151" s="307"/>
    </row>
    <row r="152" spans="2:52">
      <c r="B152" s="93" t="s">
        <v>47</v>
      </c>
      <c r="C152" s="94" t="s">
        <v>27</v>
      </c>
      <c r="D152" s="20">
        <v>0</v>
      </c>
      <c r="E152" s="20">
        <v>3</v>
      </c>
      <c r="F152" s="20">
        <v>1</v>
      </c>
      <c r="G152" s="20">
        <v>2</v>
      </c>
      <c r="H152" s="20">
        <v>0</v>
      </c>
      <c r="I152" s="20">
        <v>1</v>
      </c>
      <c r="J152" s="20">
        <v>2</v>
      </c>
      <c r="K152" s="20">
        <v>0</v>
      </c>
      <c r="L152" s="20">
        <v>3</v>
      </c>
      <c r="M152" s="20">
        <v>2</v>
      </c>
      <c r="N152" s="20">
        <v>4</v>
      </c>
      <c r="O152" s="20">
        <v>5</v>
      </c>
      <c r="P152" s="20">
        <v>2</v>
      </c>
      <c r="Q152" s="20">
        <v>2</v>
      </c>
      <c r="R152" s="20">
        <v>3</v>
      </c>
      <c r="S152" s="20">
        <v>2</v>
      </c>
      <c r="T152" s="20">
        <v>5</v>
      </c>
      <c r="U152" s="20">
        <v>4</v>
      </c>
      <c r="V152" s="96">
        <f t="shared" si="12"/>
        <v>41</v>
      </c>
      <c r="W152" s="73"/>
      <c r="X152" s="97">
        <f>72+V152</f>
        <v>113</v>
      </c>
      <c r="AB152" s="141">
        <f>COUNTIFS(Tabell714152021343536373839[[1]:[18]],5)</f>
        <v>15</v>
      </c>
      <c r="AD152" s="73" t="s">
        <v>165</v>
      </c>
      <c r="AE152" s="142">
        <f>AB152/AB153</f>
        <v>9.2592592592592587E-2</v>
      </c>
      <c r="AL152" s="72">
        <v>0</v>
      </c>
      <c r="AM152" s="164">
        <v>0</v>
      </c>
      <c r="AN152" s="164"/>
      <c r="AO152" s="164" t="s">
        <v>165</v>
      </c>
      <c r="AP152" s="165" t="e">
        <v>#DIV/0!</v>
      </c>
      <c r="AQ152" s="164"/>
      <c r="AR152" s="164">
        <v>25</v>
      </c>
      <c r="AS152" s="164"/>
      <c r="AT152" s="164" t="s">
        <v>165</v>
      </c>
      <c r="AU152" s="164">
        <v>0.15527950310559005</v>
      </c>
      <c r="AV152" s="307">
        <v>19</v>
      </c>
      <c r="AW152" s="307"/>
      <c r="AX152" s="307" t="s">
        <v>165</v>
      </c>
      <c r="AY152" s="307">
        <v>0.11728395061728394</v>
      </c>
      <c r="AZ152" s="307"/>
    </row>
    <row r="153" spans="2:52">
      <c r="B153" s="93" t="s">
        <v>47</v>
      </c>
      <c r="C153" s="94" t="s">
        <v>27</v>
      </c>
      <c r="D153" s="20">
        <v>1</v>
      </c>
      <c r="E153" s="20">
        <v>3</v>
      </c>
      <c r="F153" s="20">
        <v>1</v>
      </c>
      <c r="G153" s="20">
        <v>2</v>
      </c>
      <c r="H153" s="20">
        <v>0</v>
      </c>
      <c r="I153" s="20">
        <v>5</v>
      </c>
      <c r="J153" s="20">
        <v>4</v>
      </c>
      <c r="K153" s="20">
        <v>1</v>
      </c>
      <c r="L153" s="20">
        <v>3</v>
      </c>
      <c r="M153" s="20">
        <v>1</v>
      </c>
      <c r="N153" s="20">
        <v>4</v>
      </c>
      <c r="O153" s="20">
        <v>2</v>
      </c>
      <c r="P153" s="20">
        <v>2</v>
      </c>
      <c r="Q153" s="20">
        <v>4</v>
      </c>
      <c r="R153" s="20">
        <v>3</v>
      </c>
      <c r="S153" s="20">
        <v>1</v>
      </c>
      <c r="T153" s="20">
        <v>3</v>
      </c>
      <c r="U153" s="20">
        <v>3</v>
      </c>
      <c r="V153" s="96">
        <f t="shared" si="12"/>
        <v>43</v>
      </c>
      <c r="W153" s="73"/>
      <c r="X153" s="97">
        <f>72+V153</f>
        <v>115</v>
      </c>
      <c r="AB153" s="83">
        <f>SUM(AB146:AB152)</f>
        <v>162</v>
      </c>
      <c r="AL153" s="72">
        <v>0</v>
      </c>
      <c r="AM153" s="164">
        <v>0</v>
      </c>
      <c r="AN153" s="164"/>
      <c r="AO153" s="164"/>
      <c r="AP153" s="164"/>
      <c r="AQ153" s="164"/>
      <c r="AR153" s="164">
        <v>161</v>
      </c>
      <c r="AS153" s="164"/>
      <c r="AT153" s="164"/>
      <c r="AU153" s="164"/>
      <c r="AV153" s="307">
        <v>162</v>
      </c>
      <c r="AW153" s="307"/>
      <c r="AX153" s="307"/>
      <c r="AY153" s="307"/>
      <c r="AZ153" s="307"/>
    </row>
    <row r="154" spans="2:52">
      <c r="B154" s="93" t="s">
        <v>47</v>
      </c>
      <c r="C154" s="94" t="s">
        <v>27</v>
      </c>
      <c r="D154" s="20">
        <v>4</v>
      </c>
      <c r="E154" s="20">
        <v>0</v>
      </c>
      <c r="F154" s="20">
        <v>5</v>
      </c>
      <c r="G154" s="20">
        <v>2</v>
      </c>
      <c r="H154" s="20">
        <v>2</v>
      </c>
      <c r="I154" s="20">
        <v>3</v>
      </c>
      <c r="J154" s="20">
        <v>1</v>
      </c>
      <c r="K154" s="20">
        <v>2</v>
      </c>
      <c r="L154" s="20">
        <v>5</v>
      </c>
      <c r="M154" s="20">
        <v>3</v>
      </c>
      <c r="N154" s="20">
        <v>2</v>
      </c>
      <c r="O154" s="20">
        <v>5</v>
      </c>
      <c r="P154" s="20">
        <v>4</v>
      </c>
      <c r="Q154" s="20">
        <v>3</v>
      </c>
      <c r="R154" s="20">
        <v>5</v>
      </c>
      <c r="S154" s="20">
        <v>5</v>
      </c>
      <c r="T154" s="20">
        <v>3</v>
      </c>
      <c r="U154" s="20">
        <v>3</v>
      </c>
      <c r="V154" s="96">
        <f t="shared" si="12"/>
        <v>57</v>
      </c>
      <c r="W154" s="73"/>
      <c r="X154" s="97">
        <f>70+V154</f>
        <v>127</v>
      </c>
      <c r="AM154" s="164"/>
      <c r="AN154" s="164"/>
      <c r="AO154" s="164"/>
      <c r="AP154" s="164"/>
      <c r="AQ154" s="164"/>
      <c r="AR154" s="164"/>
      <c r="AS154" s="164"/>
      <c r="AT154" s="164"/>
      <c r="AU154" s="164"/>
      <c r="AV154" s="307"/>
      <c r="AW154" s="307"/>
      <c r="AX154" s="307"/>
      <c r="AY154" s="307"/>
      <c r="AZ154" s="307"/>
    </row>
    <row r="155" spans="2:52">
      <c r="B155" s="93" t="s">
        <v>47</v>
      </c>
      <c r="C155" s="94" t="s">
        <v>27</v>
      </c>
      <c r="D155" s="20">
        <v>2</v>
      </c>
      <c r="E155" s="20">
        <v>3</v>
      </c>
      <c r="F155" s="20">
        <v>1</v>
      </c>
      <c r="G155" s="20">
        <v>1</v>
      </c>
      <c r="H155" s="20">
        <v>4</v>
      </c>
      <c r="I155" s="20">
        <v>1</v>
      </c>
      <c r="J155" s="20">
        <v>5</v>
      </c>
      <c r="K155" s="20">
        <v>1</v>
      </c>
      <c r="L155" s="20">
        <v>3</v>
      </c>
      <c r="M155" s="20">
        <v>5</v>
      </c>
      <c r="N155" s="20">
        <v>2</v>
      </c>
      <c r="O155" s="20">
        <v>1</v>
      </c>
      <c r="P155" s="20">
        <v>1</v>
      </c>
      <c r="Q155" s="20">
        <v>2</v>
      </c>
      <c r="R155" s="20">
        <v>3</v>
      </c>
      <c r="S155" s="20">
        <v>3</v>
      </c>
      <c r="T155" s="20">
        <v>4</v>
      </c>
      <c r="U155" s="20">
        <v>0</v>
      </c>
      <c r="V155" s="96">
        <f t="shared" si="12"/>
        <v>42</v>
      </c>
      <c r="X155" s="97">
        <f>74+V155</f>
        <v>116</v>
      </c>
      <c r="AM155" s="164"/>
      <c r="AN155" s="164"/>
      <c r="AO155" s="164"/>
      <c r="AP155" s="164"/>
      <c r="AQ155" s="164"/>
      <c r="AR155" s="164"/>
      <c r="AS155" s="164"/>
      <c r="AT155" s="164"/>
      <c r="AU155" s="164"/>
      <c r="AV155" s="307"/>
      <c r="AW155" s="307"/>
      <c r="AX155" s="307"/>
      <c r="AY155" s="307"/>
      <c r="AZ155" s="307"/>
    </row>
    <row r="156" spans="2:52">
      <c r="B156" s="93" t="s">
        <v>47</v>
      </c>
      <c r="C156" s="94" t="s">
        <v>27</v>
      </c>
      <c r="D156" s="20">
        <v>10</v>
      </c>
      <c r="E156" s="20">
        <v>10</v>
      </c>
      <c r="F156" s="20">
        <v>10</v>
      </c>
      <c r="G156" s="20">
        <v>10</v>
      </c>
      <c r="H156" s="20">
        <v>10</v>
      </c>
      <c r="I156" s="20">
        <v>10</v>
      </c>
      <c r="J156" s="20">
        <v>10</v>
      </c>
      <c r="K156" s="20">
        <v>10</v>
      </c>
      <c r="L156" s="20">
        <v>10</v>
      </c>
      <c r="M156" s="20">
        <v>10</v>
      </c>
      <c r="N156" s="20">
        <v>10</v>
      </c>
      <c r="O156" s="20">
        <v>10</v>
      </c>
      <c r="P156" s="20">
        <v>10</v>
      </c>
      <c r="Q156" s="20">
        <v>10</v>
      </c>
      <c r="R156" s="20">
        <v>10</v>
      </c>
      <c r="S156" s="20">
        <v>10</v>
      </c>
      <c r="T156" s="20">
        <v>10</v>
      </c>
      <c r="U156" s="20">
        <v>10</v>
      </c>
      <c r="V156" s="98">
        <f t="shared" si="12"/>
        <v>180</v>
      </c>
      <c r="W156" s="73"/>
      <c r="X156" s="99">
        <f>74+V156</f>
        <v>254</v>
      </c>
      <c r="AM156" s="164"/>
      <c r="AN156" s="164"/>
      <c r="AO156" s="164"/>
      <c r="AP156" s="164"/>
      <c r="AQ156" s="164"/>
      <c r="AR156" s="164"/>
      <c r="AS156" s="164"/>
      <c r="AT156" s="164"/>
      <c r="AU156" s="164"/>
      <c r="AV156" s="307"/>
      <c r="AW156" s="307"/>
      <c r="AX156" s="307"/>
      <c r="AY156" s="307"/>
      <c r="AZ156" s="307"/>
    </row>
    <row r="157" spans="2:52">
      <c r="W157" s="73"/>
      <c r="AM157" s="164"/>
      <c r="AN157" s="164"/>
      <c r="AO157" s="164"/>
      <c r="AP157" s="164"/>
      <c r="AQ157" s="164"/>
      <c r="AR157" s="164"/>
      <c r="AS157" s="164"/>
      <c r="AT157" s="164"/>
      <c r="AU157" s="164"/>
      <c r="AV157" s="307"/>
      <c r="AW157" s="307"/>
      <c r="AX157" s="307"/>
      <c r="AY157" s="307"/>
      <c r="AZ157" s="307"/>
    </row>
    <row r="158" spans="2:52">
      <c r="B158" s="9" t="s">
        <v>2</v>
      </c>
      <c r="C158" s="10" t="s">
        <v>3</v>
      </c>
      <c r="D158" s="26" t="s">
        <v>4</v>
      </c>
      <c r="E158" s="26" t="s">
        <v>5</v>
      </c>
      <c r="F158" s="26" t="s">
        <v>6</v>
      </c>
      <c r="G158" s="26" t="s">
        <v>7</v>
      </c>
      <c r="H158" s="26" t="s">
        <v>8</v>
      </c>
      <c r="I158" s="26" t="s">
        <v>9</v>
      </c>
      <c r="J158" s="26" t="s">
        <v>10</v>
      </c>
      <c r="K158" s="26" t="s">
        <v>11</v>
      </c>
      <c r="L158" s="26" t="s">
        <v>15</v>
      </c>
      <c r="M158" s="26" t="s">
        <v>13</v>
      </c>
      <c r="N158" s="26" t="s">
        <v>138</v>
      </c>
      <c r="O158" s="26" t="s">
        <v>139</v>
      </c>
      <c r="P158" s="26" t="s">
        <v>159</v>
      </c>
      <c r="Q158" s="26" t="s">
        <v>160</v>
      </c>
      <c r="R158" s="26" t="s">
        <v>142</v>
      </c>
      <c r="S158" s="26" t="s">
        <v>143</v>
      </c>
      <c r="T158" s="26" t="s">
        <v>144</v>
      </c>
      <c r="U158" s="26" t="s">
        <v>145</v>
      </c>
      <c r="V158" s="78" t="s">
        <v>58</v>
      </c>
      <c r="W158" s="73"/>
      <c r="X158" s="95" t="s">
        <v>146</v>
      </c>
      <c r="AB158" s="141">
        <f>COUNTIFS(Tabell71415202134353637383940[[1]:[18]],-1)</f>
        <v>4</v>
      </c>
      <c r="AD158" s="73" t="s">
        <v>54</v>
      </c>
      <c r="AE158" s="142">
        <f>AB158/AB165</f>
        <v>2.4691358024691357E-2</v>
      </c>
      <c r="AL158" s="72">
        <v>6</v>
      </c>
      <c r="AM158" s="164">
        <v>6</v>
      </c>
      <c r="AN158" s="164"/>
      <c r="AO158" s="164" t="s">
        <v>54</v>
      </c>
      <c r="AP158" s="165">
        <v>3.7037037037037035E-2</v>
      </c>
      <c r="AQ158" s="164"/>
      <c r="AR158" s="164">
        <v>4</v>
      </c>
      <c r="AS158" s="164"/>
      <c r="AT158" s="164" t="s">
        <v>54</v>
      </c>
      <c r="AU158" s="164">
        <v>2.4691358024691357E-2</v>
      </c>
      <c r="AV158" s="307">
        <v>6</v>
      </c>
      <c r="AW158" s="307"/>
      <c r="AX158" s="307" t="s">
        <v>54</v>
      </c>
      <c r="AY158" s="307">
        <v>3.7037037037037035E-2</v>
      </c>
      <c r="AZ158" s="307"/>
    </row>
    <row r="159" spans="2:52">
      <c r="B159" s="93" t="s">
        <v>20</v>
      </c>
      <c r="C159" s="94" t="s">
        <v>21</v>
      </c>
      <c r="D159" s="20">
        <v>3</v>
      </c>
      <c r="E159" s="20">
        <v>0</v>
      </c>
      <c r="F159" s="20">
        <v>1</v>
      </c>
      <c r="G159" s="20">
        <v>2</v>
      </c>
      <c r="H159" s="20">
        <v>2</v>
      </c>
      <c r="I159" s="20">
        <v>-1</v>
      </c>
      <c r="J159" s="20">
        <v>2</v>
      </c>
      <c r="K159" s="20">
        <v>2</v>
      </c>
      <c r="L159" s="20">
        <v>1</v>
      </c>
      <c r="M159" s="20">
        <v>1</v>
      </c>
      <c r="N159" s="20">
        <v>0</v>
      </c>
      <c r="O159" s="20">
        <v>0</v>
      </c>
      <c r="P159" s="20">
        <v>1</v>
      </c>
      <c r="Q159" s="20">
        <v>0</v>
      </c>
      <c r="R159" s="20">
        <v>1</v>
      </c>
      <c r="S159" s="20">
        <v>0</v>
      </c>
      <c r="T159" s="20">
        <v>1</v>
      </c>
      <c r="U159" s="20">
        <v>3</v>
      </c>
      <c r="V159" s="96">
        <f t="shared" ref="V159:V168" si="13">SUM(D159:U159)</f>
        <v>19</v>
      </c>
      <c r="W159" s="73"/>
      <c r="X159" s="97">
        <f>72+V159</f>
        <v>91</v>
      </c>
      <c r="AB159" s="141">
        <f>COUNTIFS(Tabell71415202134353637383940[[1]:[18]],0)</f>
        <v>47</v>
      </c>
      <c r="AD159" s="73" t="s">
        <v>137</v>
      </c>
      <c r="AE159" s="142">
        <f>AB159/AB165</f>
        <v>0.29012345679012347</v>
      </c>
      <c r="AL159" s="72">
        <v>51</v>
      </c>
      <c r="AM159" s="164">
        <v>51</v>
      </c>
      <c r="AN159" s="164"/>
      <c r="AO159" s="164" t="s">
        <v>137</v>
      </c>
      <c r="AP159" s="165">
        <v>0.31481481481481483</v>
      </c>
      <c r="AQ159" s="164"/>
      <c r="AR159" s="164">
        <v>44</v>
      </c>
      <c r="AS159" s="164"/>
      <c r="AT159" s="164" t="s">
        <v>137</v>
      </c>
      <c r="AU159" s="164">
        <v>0.27160493827160492</v>
      </c>
      <c r="AV159" s="307">
        <v>44</v>
      </c>
      <c r="AW159" s="307"/>
      <c r="AX159" s="307" t="s">
        <v>137</v>
      </c>
      <c r="AY159" s="307">
        <v>0.27160493827160492</v>
      </c>
      <c r="AZ159" s="307"/>
    </row>
    <row r="160" spans="2:52">
      <c r="B160" s="93" t="s">
        <v>20</v>
      </c>
      <c r="C160" s="94" t="s">
        <v>21</v>
      </c>
      <c r="D160" s="20">
        <v>1</v>
      </c>
      <c r="E160" s="20">
        <v>-1</v>
      </c>
      <c r="F160" s="20">
        <v>3</v>
      </c>
      <c r="G160" s="20">
        <v>0</v>
      </c>
      <c r="H160" s="20">
        <v>1</v>
      </c>
      <c r="I160" s="20">
        <v>1</v>
      </c>
      <c r="J160" s="20">
        <v>0</v>
      </c>
      <c r="K160" s="20">
        <v>0</v>
      </c>
      <c r="L160" s="20">
        <v>0</v>
      </c>
      <c r="M160" s="20">
        <v>2</v>
      </c>
      <c r="N160" s="20">
        <v>2</v>
      </c>
      <c r="O160" s="20">
        <v>1</v>
      </c>
      <c r="P160" s="20">
        <v>2</v>
      </c>
      <c r="Q160" s="20">
        <v>1</v>
      </c>
      <c r="R160" s="20">
        <v>4</v>
      </c>
      <c r="S160" s="20">
        <v>1</v>
      </c>
      <c r="T160" s="20">
        <v>1</v>
      </c>
      <c r="U160" s="20">
        <v>1</v>
      </c>
      <c r="V160" s="96">
        <f t="shared" si="13"/>
        <v>20</v>
      </c>
      <c r="W160" s="73"/>
      <c r="X160" s="97">
        <f>70+V160</f>
        <v>90</v>
      </c>
      <c r="AB160" s="141">
        <f>COUNTIFS(Tabell71415202134353637383940[[1]:[18]],1)</f>
        <v>65</v>
      </c>
      <c r="AD160" s="73" t="s">
        <v>161</v>
      </c>
      <c r="AE160" s="142">
        <f>AB160/AB165</f>
        <v>0.40123456790123457</v>
      </c>
      <c r="AL160" s="72">
        <v>65</v>
      </c>
      <c r="AM160" s="164">
        <v>65</v>
      </c>
      <c r="AN160" s="164"/>
      <c r="AO160" s="164" t="s">
        <v>161</v>
      </c>
      <c r="AP160" s="165">
        <v>0.40123456790123457</v>
      </c>
      <c r="AQ160" s="164"/>
      <c r="AR160" s="164">
        <v>73</v>
      </c>
      <c r="AS160" s="164"/>
      <c r="AT160" s="164" t="s">
        <v>161</v>
      </c>
      <c r="AU160" s="164">
        <v>0.45061728395061729</v>
      </c>
      <c r="AV160" s="307">
        <v>69</v>
      </c>
      <c r="AW160" s="307"/>
      <c r="AX160" s="307" t="s">
        <v>161</v>
      </c>
      <c r="AY160" s="307">
        <v>0.42592592592592593</v>
      </c>
      <c r="AZ160" s="307"/>
    </row>
    <row r="161" spans="2:52">
      <c r="B161" s="93" t="s">
        <v>20</v>
      </c>
      <c r="C161" s="94" t="s">
        <v>21</v>
      </c>
      <c r="D161" s="20">
        <v>3</v>
      </c>
      <c r="E161" s="20">
        <v>1</v>
      </c>
      <c r="F161" s="20">
        <v>1</v>
      </c>
      <c r="G161" s="20">
        <v>0</v>
      </c>
      <c r="H161" s="20">
        <v>1</v>
      </c>
      <c r="I161" s="20">
        <v>1</v>
      </c>
      <c r="J161" s="20">
        <v>3</v>
      </c>
      <c r="K161" s="20">
        <v>0</v>
      </c>
      <c r="L161" s="20">
        <v>0</v>
      </c>
      <c r="M161" s="20">
        <v>2</v>
      </c>
      <c r="N161" s="20">
        <v>2</v>
      </c>
      <c r="O161" s="20">
        <v>0</v>
      </c>
      <c r="P161" s="20">
        <v>1</v>
      </c>
      <c r="Q161" s="20">
        <v>1</v>
      </c>
      <c r="R161" s="20">
        <v>0</v>
      </c>
      <c r="S161" s="20">
        <v>0</v>
      </c>
      <c r="T161" s="20">
        <v>1</v>
      </c>
      <c r="U161" s="20">
        <v>1</v>
      </c>
      <c r="V161" s="96">
        <f t="shared" si="13"/>
        <v>18</v>
      </c>
      <c r="W161" s="73"/>
      <c r="X161" s="97">
        <f t="shared" ref="X161:X167" si="14">70+V161</f>
        <v>88</v>
      </c>
      <c r="AB161" s="141">
        <f>COUNTIFS(Tabell71415202134353637383940[[1]:[18]],2)</f>
        <v>30</v>
      </c>
      <c r="AD161" s="73" t="s">
        <v>162</v>
      </c>
      <c r="AE161" s="142">
        <f>AB161/AB165</f>
        <v>0.18518518518518517</v>
      </c>
      <c r="AL161" s="72">
        <v>32</v>
      </c>
      <c r="AM161" s="164">
        <v>32</v>
      </c>
      <c r="AN161" s="164"/>
      <c r="AO161" s="164" t="s">
        <v>162</v>
      </c>
      <c r="AP161" s="165">
        <v>0.19753086419753085</v>
      </c>
      <c r="AQ161" s="164"/>
      <c r="AR161" s="164">
        <v>35</v>
      </c>
      <c r="AS161" s="164"/>
      <c r="AT161" s="164" t="s">
        <v>162</v>
      </c>
      <c r="AU161" s="164">
        <v>0.21604938271604937</v>
      </c>
      <c r="AV161" s="307">
        <v>31</v>
      </c>
      <c r="AW161" s="307"/>
      <c r="AX161" s="307" t="s">
        <v>162</v>
      </c>
      <c r="AY161" s="307">
        <v>0.19135802469135801</v>
      </c>
      <c r="AZ161" s="307"/>
    </row>
    <row r="162" spans="2:52">
      <c r="B162" s="93" t="s">
        <v>20</v>
      </c>
      <c r="C162" s="94" t="s">
        <v>21</v>
      </c>
      <c r="D162" s="20">
        <v>0</v>
      </c>
      <c r="E162" s="20">
        <v>1</v>
      </c>
      <c r="F162" s="20">
        <v>1</v>
      </c>
      <c r="G162" s="20">
        <v>2</v>
      </c>
      <c r="H162" s="20">
        <v>0</v>
      </c>
      <c r="I162" s="20">
        <v>2</v>
      </c>
      <c r="J162" s="20">
        <v>0</v>
      </c>
      <c r="K162" s="20">
        <v>-1</v>
      </c>
      <c r="L162" s="20">
        <v>1</v>
      </c>
      <c r="M162" s="20">
        <v>1</v>
      </c>
      <c r="N162" s="20">
        <v>1</v>
      </c>
      <c r="O162" s="20">
        <v>1</v>
      </c>
      <c r="P162" s="20">
        <v>0</v>
      </c>
      <c r="Q162" s="20">
        <v>0</v>
      </c>
      <c r="R162" s="20">
        <v>1</v>
      </c>
      <c r="S162" s="20">
        <v>1</v>
      </c>
      <c r="T162" s="20">
        <v>2</v>
      </c>
      <c r="U162" s="20">
        <v>2</v>
      </c>
      <c r="V162" s="96">
        <f t="shared" si="13"/>
        <v>15</v>
      </c>
      <c r="W162" s="73"/>
      <c r="X162" s="97">
        <f>71+V162</f>
        <v>86</v>
      </c>
      <c r="AB162" s="141">
        <f>COUNTIFS(Tabell71415202134353637383940[[1]:[18]],3)</f>
        <v>11</v>
      </c>
      <c r="AD162" s="73" t="s">
        <v>163</v>
      </c>
      <c r="AE162" s="142">
        <f>AB162/AB165</f>
        <v>6.7901234567901231E-2</v>
      </c>
      <c r="AL162" s="72">
        <v>5</v>
      </c>
      <c r="AM162" s="164">
        <v>5</v>
      </c>
      <c r="AN162" s="164"/>
      <c r="AO162" s="164" t="s">
        <v>163</v>
      </c>
      <c r="AP162" s="165">
        <v>3.0864197530864196E-2</v>
      </c>
      <c r="AQ162" s="164"/>
      <c r="AR162" s="164">
        <v>4</v>
      </c>
      <c r="AS162" s="164"/>
      <c r="AT162" s="164" t="s">
        <v>163</v>
      </c>
      <c r="AU162" s="164">
        <v>2.4691358024691357E-2</v>
      </c>
      <c r="AV162" s="307">
        <v>10</v>
      </c>
      <c r="AW162" s="307"/>
      <c r="AX162" s="307" t="s">
        <v>163</v>
      </c>
      <c r="AY162" s="307">
        <v>6.1728395061728392E-2</v>
      </c>
      <c r="AZ162" s="307"/>
    </row>
    <row r="163" spans="2:52">
      <c r="B163" s="93" t="s">
        <v>20</v>
      </c>
      <c r="C163" s="94" t="s">
        <v>21</v>
      </c>
      <c r="D163" s="20">
        <v>2</v>
      </c>
      <c r="E163" s="20">
        <v>1</v>
      </c>
      <c r="F163" s="20">
        <v>0</v>
      </c>
      <c r="G163" s="20">
        <v>1</v>
      </c>
      <c r="H163" s="20">
        <v>4</v>
      </c>
      <c r="I163" s="20">
        <v>2</v>
      </c>
      <c r="J163" s="20">
        <v>3</v>
      </c>
      <c r="K163" s="20">
        <v>1</v>
      </c>
      <c r="L163" s="20">
        <v>0</v>
      </c>
      <c r="M163" s="20">
        <v>2</v>
      </c>
      <c r="N163" s="20">
        <v>1</v>
      </c>
      <c r="O163" s="20">
        <v>1</v>
      </c>
      <c r="P163" s="20">
        <v>1</v>
      </c>
      <c r="Q163" s="20">
        <v>0</v>
      </c>
      <c r="R163" s="20">
        <v>2</v>
      </c>
      <c r="S163" s="20">
        <v>2</v>
      </c>
      <c r="T163" s="20">
        <v>1</v>
      </c>
      <c r="U163" s="20">
        <v>1</v>
      </c>
      <c r="V163" s="96">
        <f>SUM(D163:U163)</f>
        <v>25</v>
      </c>
      <c r="W163" s="73"/>
      <c r="X163" s="97">
        <f>71+V163</f>
        <v>96</v>
      </c>
      <c r="AB163" s="141">
        <f>COUNTIFS(Tabell71415202134353637383940[[1]:[18]],4)</f>
        <v>4</v>
      </c>
      <c r="AD163" s="73" t="s">
        <v>164</v>
      </c>
      <c r="AE163" s="142">
        <f>AB163/AB165</f>
        <v>2.4691358024691357E-2</v>
      </c>
      <c r="AL163" s="72">
        <v>2</v>
      </c>
      <c r="AM163" s="164">
        <v>2</v>
      </c>
      <c r="AN163" s="164"/>
      <c r="AO163" s="164" t="s">
        <v>164</v>
      </c>
      <c r="AP163" s="165">
        <v>1.2345679012345678E-2</v>
      </c>
      <c r="AQ163" s="164"/>
      <c r="AR163" s="164">
        <v>2</v>
      </c>
      <c r="AS163" s="164"/>
      <c r="AT163" s="164" t="s">
        <v>164</v>
      </c>
      <c r="AU163" s="164">
        <v>1.2345679012345678E-2</v>
      </c>
      <c r="AV163" s="307">
        <v>1</v>
      </c>
      <c r="AW163" s="307"/>
      <c r="AX163" s="307" t="s">
        <v>164</v>
      </c>
      <c r="AY163" s="307">
        <v>6.1728395061728392E-3</v>
      </c>
      <c r="AZ163" s="307"/>
    </row>
    <row r="164" spans="2:52">
      <c r="B164" s="93" t="s">
        <v>20</v>
      </c>
      <c r="C164" s="94" t="s">
        <v>21</v>
      </c>
      <c r="D164" s="20">
        <v>2</v>
      </c>
      <c r="E164" s="20">
        <v>4</v>
      </c>
      <c r="F164" s="20">
        <v>1</v>
      </c>
      <c r="G164" s="20">
        <v>2</v>
      </c>
      <c r="H164" s="20">
        <v>0</v>
      </c>
      <c r="I164" s="20">
        <v>1</v>
      </c>
      <c r="J164" s="20">
        <v>3</v>
      </c>
      <c r="K164" s="20">
        <v>2</v>
      </c>
      <c r="L164" s="20">
        <v>1</v>
      </c>
      <c r="M164" s="20">
        <v>0</v>
      </c>
      <c r="N164" s="20">
        <v>0</v>
      </c>
      <c r="O164" s="20">
        <v>0</v>
      </c>
      <c r="P164" s="20">
        <v>0</v>
      </c>
      <c r="Q164" s="20">
        <v>3</v>
      </c>
      <c r="R164" s="20">
        <v>1</v>
      </c>
      <c r="S164" s="20">
        <v>-1</v>
      </c>
      <c r="T164" s="20">
        <v>2</v>
      </c>
      <c r="U164" s="20">
        <v>2</v>
      </c>
      <c r="V164" s="96">
        <f t="shared" si="13"/>
        <v>23</v>
      </c>
      <c r="W164" s="73"/>
      <c r="X164" s="97">
        <f t="shared" si="14"/>
        <v>93</v>
      </c>
      <c r="AB164" s="141">
        <f>COUNTIFS(Tabell71415202134353637383940[[1]:[18]],5)</f>
        <v>1</v>
      </c>
      <c r="AD164" s="73" t="s">
        <v>165</v>
      </c>
      <c r="AE164" s="142">
        <f>AB164/AB165</f>
        <v>6.1728395061728392E-3</v>
      </c>
      <c r="AL164" s="72">
        <v>1</v>
      </c>
      <c r="AM164" s="164">
        <v>1</v>
      </c>
      <c r="AN164" s="164"/>
      <c r="AO164" s="164" t="s">
        <v>165</v>
      </c>
      <c r="AP164" s="165">
        <v>6.1728395061728392E-3</v>
      </c>
      <c r="AQ164" s="164"/>
      <c r="AR164" s="164">
        <v>0</v>
      </c>
      <c r="AS164" s="164"/>
      <c r="AT164" s="164" t="s">
        <v>165</v>
      </c>
      <c r="AU164" s="164">
        <v>0</v>
      </c>
      <c r="AV164" s="307">
        <v>1</v>
      </c>
      <c r="AW164" s="307"/>
      <c r="AX164" s="307" t="s">
        <v>165</v>
      </c>
      <c r="AY164" s="307">
        <v>6.1728395061728392E-3</v>
      </c>
      <c r="AZ164" s="307"/>
    </row>
    <row r="165" spans="2:52">
      <c r="B165" s="93" t="s">
        <v>20</v>
      </c>
      <c r="C165" s="94" t="s">
        <v>21</v>
      </c>
      <c r="D165" s="20">
        <v>0</v>
      </c>
      <c r="E165" s="20">
        <v>3</v>
      </c>
      <c r="F165" s="20">
        <v>1</v>
      </c>
      <c r="G165" s="20">
        <v>1</v>
      </c>
      <c r="H165" s="20">
        <v>3</v>
      </c>
      <c r="I165" s="20">
        <v>2</v>
      </c>
      <c r="J165" s="20">
        <v>0</v>
      </c>
      <c r="K165" s="20">
        <v>1</v>
      </c>
      <c r="L165" s="20">
        <v>1</v>
      </c>
      <c r="M165" s="20">
        <v>1</v>
      </c>
      <c r="N165" s="20">
        <v>1</v>
      </c>
      <c r="O165" s="20">
        <v>0</v>
      </c>
      <c r="P165" s="20">
        <v>0</v>
      </c>
      <c r="Q165" s="20">
        <v>1</v>
      </c>
      <c r="R165" s="20">
        <v>1</v>
      </c>
      <c r="S165" s="20">
        <v>0</v>
      </c>
      <c r="T165" s="20">
        <v>1</v>
      </c>
      <c r="U165" s="20">
        <v>4</v>
      </c>
      <c r="V165" s="96">
        <f>SUM(D165:U165)</f>
        <v>21</v>
      </c>
      <c r="W165" s="73"/>
      <c r="X165" s="97">
        <f>72+V165</f>
        <v>93</v>
      </c>
      <c r="AB165" s="83">
        <f>SUM(AB158:AB164)</f>
        <v>162</v>
      </c>
      <c r="AL165" s="72">
        <v>162</v>
      </c>
      <c r="AM165" s="164">
        <v>162</v>
      </c>
      <c r="AN165" s="164"/>
      <c r="AO165" s="164"/>
      <c r="AP165" s="164"/>
      <c r="AQ165" s="164"/>
      <c r="AR165" s="164">
        <v>162</v>
      </c>
      <c r="AS165" s="164"/>
      <c r="AT165" s="164"/>
      <c r="AU165" s="164"/>
      <c r="AV165" s="307">
        <v>162</v>
      </c>
      <c r="AW165" s="307"/>
      <c r="AX165" s="307"/>
      <c r="AY165" s="307"/>
      <c r="AZ165" s="307"/>
    </row>
    <row r="166" spans="2:52">
      <c r="B166" s="93" t="s">
        <v>20</v>
      </c>
      <c r="C166" s="94" t="s">
        <v>21</v>
      </c>
      <c r="D166" s="20">
        <v>0</v>
      </c>
      <c r="E166" s="20">
        <v>1</v>
      </c>
      <c r="F166" s="20">
        <v>1</v>
      </c>
      <c r="G166" s="20">
        <v>0</v>
      </c>
      <c r="H166" s="20">
        <v>0</v>
      </c>
      <c r="I166" s="20">
        <v>0</v>
      </c>
      <c r="J166" s="20">
        <v>1</v>
      </c>
      <c r="K166" s="20">
        <v>1</v>
      </c>
      <c r="L166" s="20">
        <v>0</v>
      </c>
      <c r="M166" s="20">
        <v>1</v>
      </c>
      <c r="N166" s="20">
        <v>0</v>
      </c>
      <c r="O166" s="20">
        <v>1</v>
      </c>
      <c r="P166" s="20">
        <v>2</v>
      </c>
      <c r="Q166" s="20">
        <v>3</v>
      </c>
      <c r="R166" s="20">
        <v>1</v>
      </c>
      <c r="S166" s="20">
        <v>5</v>
      </c>
      <c r="T166" s="20">
        <v>0</v>
      </c>
      <c r="U166" s="20">
        <v>2</v>
      </c>
      <c r="V166" s="96">
        <f t="shared" si="13"/>
        <v>19</v>
      </c>
      <c r="X166" s="97">
        <f>72+V166</f>
        <v>91</v>
      </c>
      <c r="AM166" s="164"/>
      <c r="AN166" s="164"/>
      <c r="AO166" s="164"/>
      <c r="AP166" s="164"/>
      <c r="AQ166" s="164"/>
      <c r="AR166" s="164"/>
      <c r="AS166" s="164"/>
      <c r="AT166" s="164"/>
      <c r="AU166" s="164"/>
      <c r="AV166" s="307"/>
      <c r="AW166" s="307"/>
      <c r="AX166" s="307"/>
      <c r="AY166" s="307"/>
      <c r="AZ166" s="307"/>
    </row>
    <row r="167" spans="2:52">
      <c r="B167" s="93" t="s">
        <v>20</v>
      </c>
      <c r="C167" s="94" t="s">
        <v>21</v>
      </c>
      <c r="D167" s="20">
        <v>2</v>
      </c>
      <c r="E167" s="20">
        <v>1</v>
      </c>
      <c r="F167" s="20">
        <v>2</v>
      </c>
      <c r="G167" s="20">
        <v>0</v>
      </c>
      <c r="H167" s="20">
        <v>2</v>
      </c>
      <c r="I167" s="20">
        <v>1</v>
      </c>
      <c r="J167" s="20">
        <v>1</v>
      </c>
      <c r="K167" s="20">
        <v>1</v>
      </c>
      <c r="L167" s="20">
        <v>0</v>
      </c>
      <c r="M167" s="20">
        <v>0</v>
      </c>
      <c r="N167" s="20">
        <v>1</v>
      </c>
      <c r="O167" s="20">
        <v>0</v>
      </c>
      <c r="P167" s="20">
        <v>1</v>
      </c>
      <c r="Q167" s="20">
        <v>0</v>
      </c>
      <c r="R167" s="20">
        <v>0</v>
      </c>
      <c r="S167" s="20">
        <v>1</v>
      </c>
      <c r="T167" s="20">
        <v>0</v>
      </c>
      <c r="U167" s="20">
        <v>2</v>
      </c>
      <c r="V167" s="96">
        <f t="shared" si="13"/>
        <v>15</v>
      </c>
      <c r="W167" s="73"/>
      <c r="X167" s="97">
        <f t="shared" si="14"/>
        <v>85</v>
      </c>
      <c r="AM167" s="164"/>
      <c r="AN167" s="164"/>
      <c r="AO167" s="164"/>
      <c r="AP167" s="164"/>
      <c r="AQ167" s="164"/>
      <c r="AR167" s="164"/>
      <c r="AS167" s="164"/>
      <c r="AT167" s="164"/>
      <c r="AU167" s="164"/>
      <c r="AV167" s="307"/>
      <c r="AW167" s="307"/>
      <c r="AX167" s="307"/>
      <c r="AY167" s="307"/>
      <c r="AZ167" s="307"/>
    </row>
    <row r="168" spans="2:52">
      <c r="B168" s="93" t="s">
        <v>20</v>
      </c>
      <c r="C168" s="94" t="s">
        <v>21</v>
      </c>
      <c r="D168" s="20">
        <v>10</v>
      </c>
      <c r="E168" s="20">
        <v>10</v>
      </c>
      <c r="F168" s="20">
        <v>10</v>
      </c>
      <c r="G168" s="20">
        <v>10</v>
      </c>
      <c r="H168" s="20">
        <v>10</v>
      </c>
      <c r="I168" s="20">
        <v>10</v>
      </c>
      <c r="J168" s="20">
        <v>10</v>
      </c>
      <c r="K168" s="20">
        <v>10</v>
      </c>
      <c r="L168" s="20">
        <v>10</v>
      </c>
      <c r="M168" s="20">
        <v>10</v>
      </c>
      <c r="N168" s="20">
        <v>10</v>
      </c>
      <c r="O168" s="20">
        <v>10</v>
      </c>
      <c r="P168" s="20">
        <v>10</v>
      </c>
      <c r="Q168" s="20">
        <v>10</v>
      </c>
      <c r="R168" s="20">
        <v>10</v>
      </c>
      <c r="S168" s="20">
        <v>10</v>
      </c>
      <c r="T168" s="20">
        <v>10</v>
      </c>
      <c r="U168" s="20">
        <v>10</v>
      </c>
      <c r="V168" s="98">
        <f t="shared" si="13"/>
        <v>180</v>
      </c>
      <c r="W168" s="73"/>
      <c r="X168" s="99">
        <f>71+V168</f>
        <v>251</v>
      </c>
      <c r="AM168" s="164"/>
      <c r="AN168" s="164"/>
      <c r="AO168" s="164"/>
      <c r="AP168" s="164"/>
      <c r="AQ168" s="164"/>
      <c r="AR168" s="164"/>
      <c r="AS168" s="164"/>
      <c r="AT168" s="164"/>
      <c r="AU168" s="164"/>
      <c r="AV168" s="307"/>
      <c r="AW168" s="307"/>
      <c r="AX168" s="307"/>
      <c r="AY168" s="307"/>
      <c r="AZ168" s="307"/>
    </row>
    <row r="169" spans="2:52">
      <c r="W169" s="73"/>
      <c r="AM169" s="164"/>
      <c r="AN169" s="164"/>
      <c r="AO169" s="164"/>
      <c r="AP169" s="164"/>
      <c r="AQ169" s="164"/>
      <c r="AR169" s="164"/>
      <c r="AS169" s="164"/>
      <c r="AT169" s="164"/>
      <c r="AU169" s="164"/>
      <c r="AV169" s="307"/>
      <c r="AW169" s="307"/>
      <c r="AX169" s="307"/>
      <c r="AY169" s="307"/>
      <c r="AZ169" s="307"/>
    </row>
    <row r="170" spans="2:52">
      <c r="B170" s="9" t="s">
        <v>2</v>
      </c>
      <c r="C170" s="10" t="s">
        <v>3</v>
      </c>
      <c r="D170" s="26" t="s">
        <v>4</v>
      </c>
      <c r="E170" s="26" t="s">
        <v>5</v>
      </c>
      <c r="F170" s="26" t="s">
        <v>6</v>
      </c>
      <c r="G170" s="26" t="s">
        <v>7</v>
      </c>
      <c r="H170" s="26" t="s">
        <v>8</v>
      </c>
      <c r="I170" s="26" t="s">
        <v>9</v>
      </c>
      <c r="J170" s="26" t="s">
        <v>10</v>
      </c>
      <c r="K170" s="26" t="s">
        <v>11</v>
      </c>
      <c r="L170" s="26" t="s">
        <v>15</v>
      </c>
      <c r="M170" s="26" t="s">
        <v>13</v>
      </c>
      <c r="N170" s="26" t="s">
        <v>138</v>
      </c>
      <c r="O170" s="26" t="s">
        <v>139</v>
      </c>
      <c r="P170" s="26" t="s">
        <v>159</v>
      </c>
      <c r="Q170" s="26" t="s">
        <v>160</v>
      </c>
      <c r="R170" s="26" t="s">
        <v>142</v>
      </c>
      <c r="S170" s="26" t="s">
        <v>143</v>
      </c>
      <c r="T170" s="26" t="s">
        <v>144</v>
      </c>
      <c r="U170" s="26" t="s">
        <v>145</v>
      </c>
      <c r="V170" s="78" t="s">
        <v>58</v>
      </c>
      <c r="W170" s="73"/>
      <c r="X170" s="95" t="s">
        <v>146</v>
      </c>
      <c r="AB170" s="141">
        <f>COUNTIFS(Tabell7141520213435363738394041[[1]:[18]],-1)</f>
        <v>1</v>
      </c>
      <c r="AD170" s="73" t="s">
        <v>54</v>
      </c>
      <c r="AE170" s="142">
        <f>AB170/AB177</f>
        <v>6.1728395061728392E-3</v>
      </c>
      <c r="AL170" s="72">
        <v>1</v>
      </c>
      <c r="AM170" s="164">
        <v>1</v>
      </c>
      <c r="AN170" s="164"/>
      <c r="AO170" s="164" t="s">
        <v>54</v>
      </c>
      <c r="AP170" s="165">
        <v>9.2592592592592587E-3</v>
      </c>
      <c r="AQ170" s="164"/>
      <c r="AR170" s="164">
        <v>0</v>
      </c>
      <c r="AS170" s="164"/>
      <c r="AT170" s="164" t="s">
        <v>54</v>
      </c>
      <c r="AU170" s="164">
        <v>0</v>
      </c>
      <c r="AV170" s="307">
        <v>2</v>
      </c>
      <c r="AW170" s="307"/>
      <c r="AX170" s="307" t="s">
        <v>54</v>
      </c>
      <c r="AY170" s="307">
        <v>1.2345679012345678E-2</v>
      </c>
      <c r="AZ170" s="307"/>
    </row>
    <row r="171" spans="2:52">
      <c r="B171" s="93" t="s">
        <v>39</v>
      </c>
      <c r="C171" s="94" t="s">
        <v>40</v>
      </c>
      <c r="D171" s="20">
        <v>2</v>
      </c>
      <c r="E171" s="20">
        <v>1</v>
      </c>
      <c r="F171" s="20">
        <v>1</v>
      </c>
      <c r="G171" s="20">
        <v>2</v>
      </c>
      <c r="H171" s="20">
        <v>0</v>
      </c>
      <c r="I171" s="20">
        <v>1</v>
      </c>
      <c r="J171" s="20">
        <v>2</v>
      </c>
      <c r="K171" s="20">
        <v>1</v>
      </c>
      <c r="L171" s="20">
        <v>1</v>
      </c>
      <c r="M171" s="20">
        <v>3</v>
      </c>
      <c r="N171" s="20">
        <v>1</v>
      </c>
      <c r="O171" s="20">
        <v>3</v>
      </c>
      <c r="P171" s="20">
        <v>2</v>
      </c>
      <c r="Q171" s="20">
        <v>2</v>
      </c>
      <c r="R171" s="20">
        <v>1</v>
      </c>
      <c r="S171" s="20">
        <v>1</v>
      </c>
      <c r="T171" s="20">
        <v>4</v>
      </c>
      <c r="U171" s="20">
        <v>4</v>
      </c>
      <c r="V171" s="96">
        <f t="shared" ref="V171:V179" si="15">SUM(D171:U171)</f>
        <v>32</v>
      </c>
      <c r="W171" s="73"/>
      <c r="X171" s="97">
        <f>72+V171</f>
        <v>104</v>
      </c>
      <c r="AB171" s="141">
        <f>COUNTIFS(Tabell7141520213435363738394041[[1]:[18]],0)</f>
        <v>23</v>
      </c>
      <c r="AD171" s="73" t="s">
        <v>137</v>
      </c>
      <c r="AE171" s="142">
        <f>AB171/AB177</f>
        <v>0.1419753086419753</v>
      </c>
      <c r="AL171" s="72">
        <v>12</v>
      </c>
      <c r="AM171" s="164">
        <v>12</v>
      </c>
      <c r="AN171" s="164"/>
      <c r="AO171" s="164" t="s">
        <v>137</v>
      </c>
      <c r="AP171" s="165">
        <v>0.1111111111111111</v>
      </c>
      <c r="AQ171" s="164"/>
      <c r="AR171" s="164">
        <v>9</v>
      </c>
      <c r="AS171" s="164"/>
      <c r="AT171" s="164" t="s">
        <v>137</v>
      </c>
      <c r="AU171" s="164">
        <v>0.125</v>
      </c>
      <c r="AV171" s="307">
        <v>25</v>
      </c>
      <c r="AW171" s="307"/>
      <c r="AX171" s="307" t="s">
        <v>137</v>
      </c>
      <c r="AY171" s="307">
        <v>0.15432098765432098</v>
      </c>
      <c r="AZ171" s="307"/>
    </row>
    <row r="172" spans="2:52">
      <c r="B172" s="93" t="s">
        <v>39</v>
      </c>
      <c r="C172" s="94" t="s">
        <v>40</v>
      </c>
      <c r="D172" s="20">
        <v>0</v>
      </c>
      <c r="E172" s="20">
        <v>3</v>
      </c>
      <c r="F172" s="20">
        <v>4</v>
      </c>
      <c r="G172" s="20">
        <v>0</v>
      </c>
      <c r="H172" s="20">
        <v>2</v>
      </c>
      <c r="I172" s="20">
        <v>3</v>
      </c>
      <c r="J172" s="20">
        <v>2</v>
      </c>
      <c r="K172" s="20">
        <v>1</v>
      </c>
      <c r="L172" s="20">
        <v>1</v>
      </c>
      <c r="M172" s="20">
        <v>1</v>
      </c>
      <c r="N172" s="20">
        <v>2</v>
      </c>
      <c r="O172" s="20">
        <v>1</v>
      </c>
      <c r="P172" s="20">
        <v>2</v>
      </c>
      <c r="Q172" s="20">
        <v>2</v>
      </c>
      <c r="R172" s="20">
        <v>1</v>
      </c>
      <c r="S172" s="20">
        <v>2</v>
      </c>
      <c r="T172" s="20">
        <v>2</v>
      </c>
      <c r="U172" s="20">
        <v>2</v>
      </c>
      <c r="V172" s="96">
        <f t="shared" si="15"/>
        <v>31</v>
      </c>
      <c r="W172" s="73"/>
      <c r="X172" s="97">
        <f>71+V172</f>
        <v>102</v>
      </c>
      <c r="AB172" s="141">
        <f>COUNTIFS(Tabell7141520213435363738394041[[1]:[18]],1)</f>
        <v>53</v>
      </c>
      <c r="AD172" s="73" t="s">
        <v>161</v>
      </c>
      <c r="AE172" s="142">
        <f>AB172/AB177</f>
        <v>0.3271604938271605</v>
      </c>
      <c r="AL172" s="72">
        <v>29</v>
      </c>
      <c r="AM172" s="164">
        <v>29</v>
      </c>
      <c r="AN172" s="164"/>
      <c r="AO172" s="164" t="s">
        <v>161</v>
      </c>
      <c r="AP172" s="165">
        <v>0.26851851851851855</v>
      </c>
      <c r="AQ172" s="164"/>
      <c r="AR172" s="164">
        <v>18</v>
      </c>
      <c r="AS172" s="164"/>
      <c r="AT172" s="164" t="s">
        <v>161</v>
      </c>
      <c r="AU172" s="164">
        <v>0.25</v>
      </c>
      <c r="AV172" s="307">
        <v>48</v>
      </c>
      <c r="AW172" s="307"/>
      <c r="AX172" s="307" t="s">
        <v>161</v>
      </c>
      <c r="AY172" s="307">
        <v>0.29629629629629628</v>
      </c>
      <c r="AZ172" s="307"/>
    </row>
    <row r="173" spans="2:52">
      <c r="B173" s="93" t="s">
        <v>39</v>
      </c>
      <c r="C173" s="94" t="s">
        <v>40</v>
      </c>
      <c r="D173" s="20">
        <v>1</v>
      </c>
      <c r="E173" s="20">
        <v>1</v>
      </c>
      <c r="F173" s="20">
        <v>1</v>
      </c>
      <c r="G173" s="20">
        <v>2</v>
      </c>
      <c r="H173" s="20">
        <v>0</v>
      </c>
      <c r="I173" s="20">
        <v>0</v>
      </c>
      <c r="J173" s="20">
        <v>2</v>
      </c>
      <c r="K173" s="20">
        <v>2</v>
      </c>
      <c r="L173" s="20">
        <v>1</v>
      </c>
      <c r="M173" s="20">
        <v>3</v>
      </c>
      <c r="N173" s="20">
        <v>1</v>
      </c>
      <c r="O173" s="20">
        <v>2</v>
      </c>
      <c r="P173" s="20">
        <v>2</v>
      </c>
      <c r="Q173" s="20">
        <v>2</v>
      </c>
      <c r="R173" s="20">
        <v>0</v>
      </c>
      <c r="S173" s="20">
        <v>2</v>
      </c>
      <c r="T173" s="20">
        <v>0</v>
      </c>
      <c r="U173" s="20">
        <v>3</v>
      </c>
      <c r="V173" s="96">
        <f t="shared" si="15"/>
        <v>25</v>
      </c>
      <c r="W173" s="73"/>
      <c r="X173" s="97">
        <f>70+V173</f>
        <v>95</v>
      </c>
      <c r="AB173" s="141">
        <f>COUNTIFS(Tabell7141520213435363738394041[[1]:[18]],2)</f>
        <v>47</v>
      </c>
      <c r="AD173" s="73" t="s">
        <v>162</v>
      </c>
      <c r="AE173" s="142">
        <f>AB173/AB177</f>
        <v>0.29012345679012347</v>
      </c>
      <c r="AL173" s="72">
        <v>31</v>
      </c>
      <c r="AM173" s="164">
        <v>31</v>
      </c>
      <c r="AN173" s="164"/>
      <c r="AO173" s="164" t="s">
        <v>162</v>
      </c>
      <c r="AP173" s="165">
        <v>0.28703703703703703</v>
      </c>
      <c r="AQ173" s="164"/>
      <c r="AR173" s="164">
        <v>20</v>
      </c>
      <c r="AS173" s="164"/>
      <c r="AT173" s="164" t="s">
        <v>162</v>
      </c>
      <c r="AU173" s="164">
        <v>0.27777777777777779</v>
      </c>
      <c r="AV173" s="307">
        <v>47</v>
      </c>
      <c r="AW173" s="307"/>
      <c r="AX173" s="307" t="s">
        <v>162</v>
      </c>
      <c r="AY173" s="307">
        <v>0.29012345679012347</v>
      </c>
      <c r="AZ173" s="307"/>
    </row>
    <row r="174" spans="2:52">
      <c r="B174" s="93" t="s">
        <v>39</v>
      </c>
      <c r="C174" s="94" t="s">
        <v>40</v>
      </c>
      <c r="D174" s="20">
        <v>1</v>
      </c>
      <c r="E174" s="20">
        <v>5</v>
      </c>
      <c r="F174" s="20">
        <v>3</v>
      </c>
      <c r="G174" s="20">
        <v>2</v>
      </c>
      <c r="H174" s="20">
        <v>3</v>
      </c>
      <c r="I174" s="20">
        <v>0</v>
      </c>
      <c r="J174" s="20">
        <v>3</v>
      </c>
      <c r="K174" s="20">
        <v>1</v>
      </c>
      <c r="L174" s="20">
        <v>1</v>
      </c>
      <c r="M174" s="20">
        <v>3</v>
      </c>
      <c r="N174" s="20">
        <v>1</v>
      </c>
      <c r="O174" s="20">
        <v>5</v>
      </c>
      <c r="P174" s="20">
        <v>1</v>
      </c>
      <c r="Q174" s="20">
        <v>1</v>
      </c>
      <c r="R174" s="20">
        <v>4</v>
      </c>
      <c r="S174" s="20">
        <v>2</v>
      </c>
      <c r="T174" s="20">
        <v>2</v>
      </c>
      <c r="U174" s="20">
        <v>1</v>
      </c>
      <c r="V174" s="96">
        <f t="shared" si="15"/>
        <v>39</v>
      </c>
      <c r="W174" s="73"/>
      <c r="X174" s="97">
        <f>72+V174</f>
        <v>111</v>
      </c>
      <c r="AB174" s="141">
        <f>COUNTIFS(Tabell7141520213435363738394041[[1]:[18]],3)</f>
        <v>24</v>
      </c>
      <c r="AD174" s="73" t="s">
        <v>163</v>
      </c>
      <c r="AE174" s="142">
        <f>AB174/AB177</f>
        <v>0.14814814814814814</v>
      </c>
      <c r="AL174" s="72">
        <v>20</v>
      </c>
      <c r="AM174" s="164">
        <v>20</v>
      </c>
      <c r="AN174" s="164"/>
      <c r="AO174" s="164" t="s">
        <v>163</v>
      </c>
      <c r="AP174" s="165">
        <v>0.18518518518518517</v>
      </c>
      <c r="AQ174" s="164"/>
      <c r="AR174" s="164">
        <v>15</v>
      </c>
      <c r="AS174" s="164"/>
      <c r="AT174" s="164" t="s">
        <v>163</v>
      </c>
      <c r="AU174" s="164">
        <v>0.20833333333333334</v>
      </c>
      <c r="AV174" s="307">
        <v>22</v>
      </c>
      <c r="AW174" s="307"/>
      <c r="AX174" s="307" t="s">
        <v>163</v>
      </c>
      <c r="AY174" s="307">
        <v>0.13580246913580246</v>
      </c>
      <c r="AZ174" s="307"/>
    </row>
    <row r="175" spans="2:52">
      <c r="B175" s="93" t="s">
        <v>39</v>
      </c>
      <c r="C175" s="94" t="s">
        <v>40</v>
      </c>
      <c r="D175" s="20">
        <v>0</v>
      </c>
      <c r="E175" s="20">
        <v>2</v>
      </c>
      <c r="F175" s="20">
        <v>1</v>
      </c>
      <c r="G175" s="20">
        <v>3</v>
      </c>
      <c r="H175" s="20">
        <v>2</v>
      </c>
      <c r="I175" s="20">
        <v>4</v>
      </c>
      <c r="J175" s="20">
        <v>2</v>
      </c>
      <c r="K175" s="20">
        <v>1</v>
      </c>
      <c r="L175" s="20">
        <v>1</v>
      </c>
      <c r="M175" s="20">
        <v>1</v>
      </c>
      <c r="N175" s="20">
        <v>1</v>
      </c>
      <c r="O175" s="20">
        <v>5</v>
      </c>
      <c r="P175" s="20">
        <v>1</v>
      </c>
      <c r="Q175" s="20">
        <v>2</v>
      </c>
      <c r="R175" s="20">
        <v>0</v>
      </c>
      <c r="S175" s="20">
        <v>0</v>
      </c>
      <c r="T175" s="20">
        <v>1</v>
      </c>
      <c r="U175" s="20">
        <v>2</v>
      </c>
      <c r="V175" s="96">
        <f t="shared" si="15"/>
        <v>29</v>
      </c>
      <c r="W175" s="73"/>
      <c r="X175" s="97">
        <f>71+V175</f>
        <v>100</v>
      </c>
      <c r="AB175" s="141">
        <f>COUNTIFS(Tabell7141520213435363738394041[[1]:[18]],4)</f>
        <v>8</v>
      </c>
      <c r="AD175" s="73" t="s">
        <v>164</v>
      </c>
      <c r="AE175" s="142">
        <f>AB175/AB177</f>
        <v>4.9382716049382713E-2</v>
      </c>
      <c r="AL175" s="72">
        <v>6</v>
      </c>
      <c r="AM175" s="164">
        <v>6</v>
      </c>
      <c r="AN175" s="164"/>
      <c r="AO175" s="164" t="s">
        <v>164</v>
      </c>
      <c r="AP175" s="165">
        <v>5.5555555555555552E-2</v>
      </c>
      <c r="AQ175" s="164"/>
      <c r="AR175" s="164">
        <v>7</v>
      </c>
      <c r="AS175" s="164"/>
      <c r="AT175" s="164" t="s">
        <v>164</v>
      </c>
      <c r="AU175" s="164">
        <v>9.7222222222222224E-2</v>
      </c>
      <c r="AV175" s="307">
        <v>7</v>
      </c>
      <c r="AW175" s="307"/>
      <c r="AX175" s="307" t="s">
        <v>164</v>
      </c>
      <c r="AY175" s="307">
        <v>4.3209876543209874E-2</v>
      </c>
      <c r="AZ175" s="307"/>
    </row>
    <row r="176" spans="2:52">
      <c r="B176" s="93" t="s">
        <v>39</v>
      </c>
      <c r="C176" s="94" t="s">
        <v>40</v>
      </c>
      <c r="D176" s="20">
        <v>2</v>
      </c>
      <c r="E176" s="20">
        <v>1</v>
      </c>
      <c r="F176" s="20">
        <v>2</v>
      </c>
      <c r="G176" s="20">
        <v>3</v>
      </c>
      <c r="H176" s="20">
        <v>0</v>
      </c>
      <c r="I176" s="20">
        <v>3</v>
      </c>
      <c r="J176" s="20">
        <v>2</v>
      </c>
      <c r="K176" s="20">
        <v>1</v>
      </c>
      <c r="L176" s="20">
        <v>0</v>
      </c>
      <c r="M176" s="20">
        <v>-1</v>
      </c>
      <c r="N176" s="20">
        <v>2</v>
      </c>
      <c r="O176" s="20">
        <v>1</v>
      </c>
      <c r="P176" s="20">
        <v>2</v>
      </c>
      <c r="Q176" s="20">
        <v>5</v>
      </c>
      <c r="R176" s="20">
        <v>0</v>
      </c>
      <c r="S176" s="20">
        <v>0</v>
      </c>
      <c r="T176" s="20">
        <v>2</v>
      </c>
      <c r="U176" s="20">
        <v>2</v>
      </c>
      <c r="V176" s="96">
        <f t="shared" si="15"/>
        <v>27</v>
      </c>
      <c r="W176" s="73"/>
      <c r="X176" s="97">
        <f>70+V176</f>
        <v>97</v>
      </c>
      <c r="AB176" s="141">
        <f>COUNTIFS(Tabell7141520213435363738394041[[1]:[18]],5)</f>
        <v>6</v>
      </c>
      <c r="AD176" s="73" t="s">
        <v>165</v>
      </c>
      <c r="AE176" s="142">
        <f>AB176/AB177</f>
        <v>3.7037037037037035E-2</v>
      </c>
      <c r="AL176" s="72">
        <v>9</v>
      </c>
      <c r="AM176" s="164">
        <v>9</v>
      </c>
      <c r="AN176" s="164"/>
      <c r="AO176" s="164" t="s">
        <v>165</v>
      </c>
      <c r="AP176" s="165">
        <v>8.3333333333333329E-2</v>
      </c>
      <c r="AQ176" s="164"/>
      <c r="AR176" s="164">
        <v>3</v>
      </c>
      <c r="AS176" s="164"/>
      <c r="AT176" s="164" t="s">
        <v>165</v>
      </c>
      <c r="AU176" s="164">
        <v>4.1666666666666664E-2</v>
      </c>
      <c r="AV176" s="307">
        <v>11</v>
      </c>
      <c r="AW176" s="307"/>
      <c r="AX176" s="307" t="s">
        <v>165</v>
      </c>
      <c r="AY176" s="307">
        <v>6.7901234567901231E-2</v>
      </c>
      <c r="AZ176" s="307"/>
    </row>
    <row r="177" spans="2:52">
      <c r="B177" s="93" t="s">
        <v>39</v>
      </c>
      <c r="C177" s="94" t="s">
        <v>40</v>
      </c>
      <c r="D177" s="20">
        <v>2</v>
      </c>
      <c r="E177" s="20">
        <v>2</v>
      </c>
      <c r="F177" s="20">
        <v>2</v>
      </c>
      <c r="G177" s="20">
        <v>3</v>
      </c>
      <c r="H177" s="20">
        <v>2</v>
      </c>
      <c r="I177" s="20">
        <v>1</v>
      </c>
      <c r="J177" s="20">
        <v>1</v>
      </c>
      <c r="K177" s="20">
        <v>1</v>
      </c>
      <c r="L177" s="20">
        <v>0</v>
      </c>
      <c r="M177" s="20">
        <v>2</v>
      </c>
      <c r="N177" s="20">
        <v>2</v>
      </c>
      <c r="O177" s="20">
        <v>0</v>
      </c>
      <c r="P177" s="20">
        <v>1</v>
      </c>
      <c r="Q177" s="20">
        <v>1</v>
      </c>
      <c r="R177" s="20">
        <v>2</v>
      </c>
      <c r="S177" s="20">
        <v>1</v>
      </c>
      <c r="T177" s="20">
        <v>0</v>
      </c>
      <c r="U177" s="20">
        <v>0</v>
      </c>
      <c r="V177" s="96">
        <f t="shared" si="15"/>
        <v>23</v>
      </c>
      <c r="X177" s="97">
        <f>72+V177</f>
        <v>95</v>
      </c>
      <c r="AB177" s="83">
        <f>SUM(AB170:AB176)</f>
        <v>162</v>
      </c>
      <c r="AL177" s="72">
        <v>108</v>
      </c>
      <c r="AM177" s="164">
        <v>108</v>
      </c>
      <c r="AN177" s="164"/>
      <c r="AO177" s="164"/>
      <c r="AP177" s="164"/>
      <c r="AQ177" s="164"/>
      <c r="AR177" s="164">
        <v>72</v>
      </c>
      <c r="AS177" s="164"/>
      <c r="AT177" s="164"/>
      <c r="AU177" s="164"/>
      <c r="AV177" s="307">
        <v>162</v>
      </c>
      <c r="AW177" s="307"/>
      <c r="AX177" s="307"/>
      <c r="AY177" s="307"/>
      <c r="AZ177" s="307"/>
    </row>
    <row r="178" spans="2:52">
      <c r="B178" s="93" t="s">
        <v>39</v>
      </c>
      <c r="C178" s="94" t="s">
        <v>40</v>
      </c>
      <c r="D178" s="20">
        <v>5</v>
      </c>
      <c r="E178" s="20">
        <v>1</v>
      </c>
      <c r="F178" s="20">
        <v>2</v>
      </c>
      <c r="G178" s="20">
        <v>2</v>
      </c>
      <c r="H178" s="20">
        <v>2</v>
      </c>
      <c r="I178" s="20">
        <v>1</v>
      </c>
      <c r="J178" s="20">
        <v>1</v>
      </c>
      <c r="K178" s="20">
        <v>0</v>
      </c>
      <c r="L178" s="20">
        <v>3</v>
      </c>
      <c r="M178" s="20">
        <v>1</v>
      </c>
      <c r="N178" s="20">
        <v>1</v>
      </c>
      <c r="O178" s="20">
        <v>4</v>
      </c>
      <c r="P178" s="20">
        <v>4</v>
      </c>
      <c r="Q178" s="20">
        <v>2</v>
      </c>
      <c r="R178" s="20">
        <v>3</v>
      </c>
      <c r="S178" s="20">
        <v>2</v>
      </c>
      <c r="T178" s="20">
        <v>3</v>
      </c>
      <c r="U178" s="20">
        <v>1</v>
      </c>
      <c r="V178" s="96">
        <f t="shared" si="15"/>
        <v>38</v>
      </c>
      <c r="X178" s="97">
        <f>72+V178</f>
        <v>110</v>
      </c>
      <c r="AM178" s="164"/>
      <c r="AN178" s="164"/>
      <c r="AO178" s="164"/>
      <c r="AP178" s="164"/>
      <c r="AQ178" s="164"/>
      <c r="AR178" s="164"/>
      <c r="AS178" s="164"/>
      <c r="AT178" s="164"/>
      <c r="AU178" s="164"/>
      <c r="AV178" s="307"/>
      <c r="AW178" s="307"/>
      <c r="AX178" s="307"/>
      <c r="AY178" s="307"/>
      <c r="AZ178" s="307"/>
    </row>
    <row r="179" spans="2:52">
      <c r="B179" s="93" t="s">
        <v>39</v>
      </c>
      <c r="C179" s="94" t="s">
        <v>40</v>
      </c>
      <c r="D179" s="20">
        <v>3</v>
      </c>
      <c r="E179" s="20">
        <v>3</v>
      </c>
      <c r="F179" s="20">
        <v>5</v>
      </c>
      <c r="G179" s="20">
        <v>1</v>
      </c>
      <c r="H179" s="20">
        <v>1</v>
      </c>
      <c r="I179" s="20">
        <v>3</v>
      </c>
      <c r="J179" s="20">
        <v>3</v>
      </c>
      <c r="K179" s="20">
        <v>1</v>
      </c>
      <c r="L179" s="20">
        <v>0</v>
      </c>
      <c r="M179" s="20">
        <v>3</v>
      </c>
      <c r="N179" s="20">
        <v>3</v>
      </c>
      <c r="O179" s="20">
        <v>1</v>
      </c>
      <c r="P179" s="20">
        <v>4</v>
      </c>
      <c r="Q179" s="20">
        <v>1</v>
      </c>
      <c r="R179" s="20">
        <v>3</v>
      </c>
      <c r="S179" s="20">
        <v>1</v>
      </c>
      <c r="T179" s="20">
        <v>0</v>
      </c>
      <c r="U179" s="20">
        <v>0</v>
      </c>
      <c r="V179" s="98">
        <f t="shared" si="15"/>
        <v>36</v>
      </c>
      <c r="X179" s="99">
        <f>71+V179</f>
        <v>107</v>
      </c>
      <c r="AM179" s="164"/>
      <c r="AN179" s="164"/>
      <c r="AO179" s="164"/>
      <c r="AP179" s="164"/>
      <c r="AQ179" s="164"/>
      <c r="AR179" s="164"/>
      <c r="AS179" s="164"/>
      <c r="AT179" s="164"/>
      <c r="AU179" s="164"/>
      <c r="AV179" s="307"/>
      <c r="AW179" s="307"/>
      <c r="AX179" s="307"/>
      <c r="AY179" s="307"/>
      <c r="AZ179" s="307"/>
    </row>
    <row r="180" spans="2:52">
      <c r="B180" s="93" t="s">
        <v>39</v>
      </c>
      <c r="C180" s="94" t="s">
        <v>40</v>
      </c>
      <c r="D180" s="20">
        <v>10</v>
      </c>
      <c r="E180" s="20">
        <v>10</v>
      </c>
      <c r="F180" s="20">
        <v>10</v>
      </c>
      <c r="G180" s="20">
        <v>10</v>
      </c>
      <c r="H180" s="20">
        <v>10</v>
      </c>
      <c r="I180" s="20">
        <v>10</v>
      </c>
      <c r="J180" s="20">
        <v>10</v>
      </c>
      <c r="K180" s="20">
        <v>10</v>
      </c>
      <c r="L180" s="20">
        <v>10</v>
      </c>
      <c r="M180" s="20">
        <v>10</v>
      </c>
      <c r="N180" s="20">
        <v>10</v>
      </c>
      <c r="O180" s="20">
        <v>10</v>
      </c>
      <c r="P180" s="20">
        <v>10</v>
      </c>
      <c r="Q180" s="20">
        <v>10</v>
      </c>
      <c r="R180" s="20">
        <v>10</v>
      </c>
      <c r="S180" s="20">
        <v>10</v>
      </c>
      <c r="T180" s="20">
        <v>10</v>
      </c>
      <c r="U180" s="20">
        <v>10</v>
      </c>
      <c r="V180" s="302">
        <f>SUM(D180:U180)</f>
        <v>180</v>
      </c>
      <c r="X180" s="99">
        <f>71+V180</f>
        <v>251</v>
      </c>
      <c r="AM180" s="164"/>
      <c r="AN180" s="164"/>
      <c r="AO180" s="164"/>
      <c r="AP180" s="164"/>
      <c r="AQ180" s="164"/>
      <c r="AR180" s="164"/>
      <c r="AS180" s="164"/>
      <c r="AT180" s="164"/>
      <c r="AU180" s="164"/>
      <c r="AV180" s="307"/>
      <c r="AW180" s="307"/>
      <c r="AX180" s="307"/>
      <c r="AY180" s="307"/>
      <c r="AZ180" s="307"/>
    </row>
    <row r="181" spans="2:52">
      <c r="B181" s="303"/>
      <c r="C181" s="304"/>
      <c r="D181" s="136"/>
      <c r="E181" s="136"/>
      <c r="F181" s="136"/>
      <c r="G181" s="136"/>
      <c r="H181" s="136"/>
      <c r="I181" s="136"/>
      <c r="J181" s="136"/>
      <c r="K181" s="136"/>
      <c r="L181" s="136"/>
      <c r="M181" s="136"/>
      <c r="N181" s="136"/>
      <c r="O181" s="136"/>
      <c r="P181" s="136"/>
      <c r="Q181" s="136"/>
      <c r="R181" s="136"/>
      <c r="S181" s="136"/>
      <c r="T181" s="136"/>
      <c r="U181" s="136"/>
      <c r="V181" s="305"/>
      <c r="AM181" s="164"/>
      <c r="AN181" s="164"/>
      <c r="AO181" s="164"/>
      <c r="AP181" s="164"/>
      <c r="AQ181" s="164"/>
      <c r="AR181" s="164"/>
      <c r="AS181" s="164"/>
      <c r="AT181" s="164"/>
      <c r="AU181" s="164"/>
      <c r="AV181" s="307"/>
      <c r="AW181" s="307"/>
      <c r="AX181" s="307"/>
      <c r="AY181" s="307"/>
      <c r="AZ181" s="307"/>
    </row>
    <row r="182" spans="2:52">
      <c r="B182" s="9" t="s">
        <v>2</v>
      </c>
      <c r="C182" s="10" t="s">
        <v>3</v>
      </c>
      <c r="D182" s="26" t="s">
        <v>4</v>
      </c>
      <c r="E182" s="26" t="s">
        <v>5</v>
      </c>
      <c r="F182" s="26" t="s">
        <v>6</v>
      </c>
      <c r="G182" s="26" t="s">
        <v>7</v>
      </c>
      <c r="H182" s="26" t="s">
        <v>8</v>
      </c>
      <c r="I182" s="26" t="s">
        <v>9</v>
      </c>
      <c r="J182" s="26" t="s">
        <v>10</v>
      </c>
      <c r="K182" s="26" t="s">
        <v>11</v>
      </c>
      <c r="L182" s="26" t="s">
        <v>15</v>
      </c>
      <c r="M182" s="26" t="s">
        <v>13</v>
      </c>
      <c r="N182" s="26" t="s">
        <v>138</v>
      </c>
      <c r="O182" s="26" t="s">
        <v>139</v>
      </c>
      <c r="P182" s="26" t="s">
        <v>159</v>
      </c>
      <c r="Q182" s="26" t="s">
        <v>160</v>
      </c>
      <c r="R182" s="26" t="s">
        <v>142</v>
      </c>
      <c r="S182" s="26" t="s">
        <v>143</v>
      </c>
      <c r="T182" s="26" t="s">
        <v>144</v>
      </c>
      <c r="U182" s="26" t="s">
        <v>145</v>
      </c>
      <c r="V182" s="78" t="s">
        <v>58</v>
      </c>
      <c r="X182" s="95" t="s">
        <v>146</v>
      </c>
      <c r="AB182" s="141">
        <f>COUNTIFS(Tabell714152021343536373839404142[[1]:[18]],-1)</f>
        <v>3</v>
      </c>
      <c r="AD182" s="73" t="s">
        <v>54</v>
      </c>
      <c r="AE182" s="142">
        <f>AB182/AB189</f>
        <v>2.7777777777777776E-2</v>
      </c>
      <c r="AL182" s="72">
        <v>1</v>
      </c>
      <c r="AM182" s="164">
        <v>1</v>
      </c>
      <c r="AN182" s="164"/>
      <c r="AO182" s="164" t="s">
        <v>54</v>
      </c>
      <c r="AP182" s="165">
        <v>7.246376811594203E-3</v>
      </c>
      <c r="AQ182" s="164"/>
      <c r="AR182" s="164">
        <v>4</v>
      </c>
      <c r="AS182" s="164"/>
      <c r="AT182" s="164" t="s">
        <v>54</v>
      </c>
      <c r="AU182" s="164">
        <v>2.4691358024691357E-2</v>
      </c>
      <c r="AV182" s="307">
        <v>1</v>
      </c>
      <c r="AW182" s="307"/>
      <c r="AX182" s="307" t="s">
        <v>54</v>
      </c>
      <c r="AY182" s="307">
        <v>8.0000000000000002E-3</v>
      </c>
      <c r="AZ182" s="307"/>
    </row>
    <row r="183" spans="2:52">
      <c r="B183" s="93" t="s">
        <v>43</v>
      </c>
      <c r="C183" s="94" t="s">
        <v>44</v>
      </c>
      <c r="D183" s="20">
        <v>0</v>
      </c>
      <c r="E183" s="20">
        <v>0</v>
      </c>
      <c r="F183" s="20">
        <v>-1</v>
      </c>
      <c r="G183" s="20">
        <v>2</v>
      </c>
      <c r="H183" s="20">
        <v>-1</v>
      </c>
      <c r="I183" s="20">
        <v>1</v>
      </c>
      <c r="J183" s="20">
        <v>1</v>
      </c>
      <c r="K183" s="20">
        <v>3</v>
      </c>
      <c r="L183" s="20">
        <v>3</v>
      </c>
      <c r="M183" s="20">
        <v>2</v>
      </c>
      <c r="N183" s="20">
        <v>1</v>
      </c>
      <c r="O183" s="20">
        <v>2</v>
      </c>
      <c r="P183" s="20">
        <v>2</v>
      </c>
      <c r="Q183" s="20">
        <v>0</v>
      </c>
      <c r="R183" s="20">
        <v>0</v>
      </c>
      <c r="S183" s="20">
        <v>0</v>
      </c>
      <c r="T183" s="20">
        <v>5</v>
      </c>
      <c r="U183" s="20">
        <v>0</v>
      </c>
      <c r="V183" s="96">
        <f t="shared" ref="V183:V191" si="16">SUM(D183:U183)</f>
        <v>20</v>
      </c>
      <c r="X183" s="97">
        <f>72+V183</f>
        <v>92</v>
      </c>
      <c r="AB183" s="141">
        <f>COUNTIFS(Tabell714152021343536373839404142[[1]:[18]],0)</f>
        <v>20</v>
      </c>
      <c r="AD183" s="73" t="s">
        <v>137</v>
      </c>
      <c r="AE183" s="142">
        <f>AB183/AB189</f>
        <v>0.18518518518518517</v>
      </c>
      <c r="AL183" s="72">
        <v>23</v>
      </c>
      <c r="AM183" s="164">
        <v>23</v>
      </c>
      <c r="AN183" s="164"/>
      <c r="AO183" s="164" t="s">
        <v>137</v>
      </c>
      <c r="AP183" s="165">
        <v>0.16666666666666666</v>
      </c>
      <c r="AQ183" s="164"/>
      <c r="AR183" s="164">
        <v>28</v>
      </c>
      <c r="AS183" s="164"/>
      <c r="AT183" s="164" t="s">
        <v>137</v>
      </c>
      <c r="AU183" s="164">
        <v>0.1728395061728395</v>
      </c>
      <c r="AV183" s="307">
        <v>18</v>
      </c>
      <c r="AW183" s="307"/>
      <c r="AX183" s="307" t="s">
        <v>137</v>
      </c>
      <c r="AY183" s="307">
        <v>0.14399999999999999</v>
      </c>
      <c r="AZ183" s="307"/>
    </row>
    <row r="184" spans="2:52">
      <c r="B184" s="93" t="s">
        <v>43</v>
      </c>
      <c r="C184" s="94" t="s">
        <v>44</v>
      </c>
      <c r="D184" s="20">
        <v>10</v>
      </c>
      <c r="E184" s="20">
        <v>10</v>
      </c>
      <c r="F184" s="20">
        <v>10</v>
      </c>
      <c r="G184" s="20">
        <v>10</v>
      </c>
      <c r="H184" s="20">
        <v>10</v>
      </c>
      <c r="I184" s="20">
        <v>10</v>
      </c>
      <c r="J184" s="20">
        <v>10</v>
      </c>
      <c r="K184" s="20">
        <v>10</v>
      </c>
      <c r="L184" s="20">
        <v>10</v>
      </c>
      <c r="M184" s="20">
        <v>10</v>
      </c>
      <c r="N184" s="20">
        <v>10</v>
      </c>
      <c r="O184" s="20">
        <v>10</v>
      </c>
      <c r="P184" s="20">
        <v>10</v>
      </c>
      <c r="Q184" s="20">
        <v>10</v>
      </c>
      <c r="R184" s="20">
        <v>10</v>
      </c>
      <c r="S184" s="20">
        <v>10</v>
      </c>
      <c r="T184" s="20">
        <v>10</v>
      </c>
      <c r="U184" s="20">
        <v>10</v>
      </c>
      <c r="V184" s="96">
        <f t="shared" si="16"/>
        <v>180</v>
      </c>
      <c r="X184" s="97">
        <f>72+V184</f>
        <v>252</v>
      </c>
      <c r="AB184" s="141">
        <f>COUNTIFS(Tabell714152021343536373839404142[[1]:[18]],1)</f>
        <v>27</v>
      </c>
      <c r="AD184" s="73" t="s">
        <v>161</v>
      </c>
      <c r="AE184" s="142">
        <f>AB184/AB189</f>
        <v>0.25</v>
      </c>
      <c r="AL184" s="72">
        <v>34</v>
      </c>
      <c r="AM184" s="164">
        <v>34</v>
      </c>
      <c r="AN184" s="164"/>
      <c r="AO184" s="164" t="s">
        <v>161</v>
      </c>
      <c r="AP184" s="165">
        <v>0.24637681159420291</v>
      </c>
      <c r="AQ184" s="164"/>
      <c r="AR184" s="164">
        <v>75</v>
      </c>
      <c r="AS184" s="164"/>
      <c r="AT184" s="164" t="s">
        <v>161</v>
      </c>
      <c r="AU184" s="164">
        <v>0.46296296296296297</v>
      </c>
      <c r="AV184" s="307">
        <v>52</v>
      </c>
      <c r="AW184" s="307"/>
      <c r="AX184" s="307" t="s">
        <v>161</v>
      </c>
      <c r="AY184" s="307">
        <v>0.41599999999999998</v>
      </c>
      <c r="AZ184" s="307"/>
    </row>
    <row r="185" spans="2:52">
      <c r="B185" s="93" t="s">
        <v>43</v>
      </c>
      <c r="C185" s="94" t="s">
        <v>44</v>
      </c>
      <c r="D185" s="20">
        <v>2</v>
      </c>
      <c r="E185" s="20">
        <v>2</v>
      </c>
      <c r="F185" s="20">
        <v>1</v>
      </c>
      <c r="G185" s="20">
        <v>2</v>
      </c>
      <c r="H185" s="20">
        <v>1</v>
      </c>
      <c r="I185" s="20">
        <v>2</v>
      </c>
      <c r="J185" s="20">
        <v>0</v>
      </c>
      <c r="K185" s="20">
        <v>1</v>
      </c>
      <c r="L185" s="20">
        <v>3</v>
      </c>
      <c r="M185" s="20">
        <v>2</v>
      </c>
      <c r="N185" s="20">
        <v>1</v>
      </c>
      <c r="O185" s="20">
        <v>0</v>
      </c>
      <c r="P185" s="20">
        <v>1</v>
      </c>
      <c r="Q185" s="20">
        <v>-1</v>
      </c>
      <c r="R185" s="20">
        <v>1</v>
      </c>
      <c r="S185" s="20">
        <v>5</v>
      </c>
      <c r="T185" s="20">
        <v>2</v>
      </c>
      <c r="U185" s="20">
        <v>3</v>
      </c>
      <c r="V185" s="96">
        <f t="shared" si="16"/>
        <v>28</v>
      </c>
      <c r="X185" s="97">
        <f>72+V185</f>
        <v>100</v>
      </c>
      <c r="AB185" s="141">
        <f>COUNTIFS(Tabell714152021343536373839404142[[1]:[18]],2)</f>
        <v>32</v>
      </c>
      <c r="AD185" s="73" t="s">
        <v>162</v>
      </c>
      <c r="AE185" s="142">
        <f>AB185/AB189</f>
        <v>0.29629629629629628</v>
      </c>
      <c r="AL185" s="72">
        <v>42</v>
      </c>
      <c r="AM185" s="164">
        <v>42</v>
      </c>
      <c r="AN185" s="164"/>
      <c r="AO185" s="164" t="s">
        <v>162</v>
      </c>
      <c r="AP185" s="165">
        <v>0.30434782608695654</v>
      </c>
      <c r="AQ185" s="164"/>
      <c r="AR185" s="164">
        <v>36</v>
      </c>
      <c r="AS185" s="164"/>
      <c r="AT185" s="164" t="s">
        <v>162</v>
      </c>
      <c r="AU185" s="164">
        <v>0.22222222222222221</v>
      </c>
      <c r="AV185" s="307">
        <v>29</v>
      </c>
      <c r="AW185" s="307"/>
      <c r="AX185" s="307" t="s">
        <v>162</v>
      </c>
      <c r="AY185" s="307">
        <v>0.23200000000000001</v>
      </c>
      <c r="AZ185" s="307"/>
    </row>
    <row r="186" spans="2:52">
      <c r="B186" s="93" t="s">
        <v>43</v>
      </c>
      <c r="C186" s="94" t="s">
        <v>44</v>
      </c>
      <c r="D186" s="20">
        <v>1</v>
      </c>
      <c r="E186" s="20">
        <v>0</v>
      </c>
      <c r="F186" s="20">
        <v>1</v>
      </c>
      <c r="G186" s="20">
        <v>1</v>
      </c>
      <c r="H186" s="20">
        <v>2</v>
      </c>
      <c r="I186" s="20">
        <v>0</v>
      </c>
      <c r="J186" s="20">
        <v>4</v>
      </c>
      <c r="K186" s="20">
        <v>0</v>
      </c>
      <c r="L186" s="20">
        <v>2</v>
      </c>
      <c r="M186" s="20">
        <v>2</v>
      </c>
      <c r="N186" s="20">
        <v>2</v>
      </c>
      <c r="O186" s="20">
        <v>2</v>
      </c>
      <c r="P186" s="20">
        <v>1</v>
      </c>
      <c r="Q186" s="20">
        <v>2</v>
      </c>
      <c r="R186" s="20">
        <v>0</v>
      </c>
      <c r="S186" s="20">
        <v>0</v>
      </c>
      <c r="T186" s="20">
        <v>0</v>
      </c>
      <c r="U186" s="20">
        <v>1</v>
      </c>
      <c r="V186" s="96">
        <f t="shared" si="16"/>
        <v>21</v>
      </c>
      <c r="X186" s="97">
        <f>72+V186</f>
        <v>93</v>
      </c>
      <c r="AB186" s="141">
        <f>COUNTIFS(Tabell714152021343536373839404142[[1]:[18]],3)</f>
        <v>18</v>
      </c>
      <c r="AD186" s="73" t="s">
        <v>163</v>
      </c>
      <c r="AE186" s="142">
        <f>AB186/AB189</f>
        <v>0.16666666666666666</v>
      </c>
      <c r="AL186" s="72">
        <v>21</v>
      </c>
      <c r="AM186" s="164">
        <v>21</v>
      </c>
      <c r="AN186" s="164"/>
      <c r="AO186" s="164" t="s">
        <v>163</v>
      </c>
      <c r="AP186" s="165">
        <v>0.15217391304347827</v>
      </c>
      <c r="AQ186" s="164"/>
      <c r="AR186" s="164">
        <v>14</v>
      </c>
      <c r="AS186" s="164"/>
      <c r="AT186" s="164" t="s">
        <v>163</v>
      </c>
      <c r="AU186" s="164">
        <v>8.6419753086419748E-2</v>
      </c>
      <c r="AV186" s="307">
        <v>14</v>
      </c>
      <c r="AW186" s="307"/>
      <c r="AX186" s="307" t="s">
        <v>163</v>
      </c>
      <c r="AY186" s="307">
        <v>0.112</v>
      </c>
      <c r="AZ186" s="307"/>
    </row>
    <row r="187" spans="2:52">
      <c r="B187" s="93" t="s">
        <v>43</v>
      </c>
      <c r="C187" s="94" t="s">
        <v>44</v>
      </c>
      <c r="D187" s="20">
        <v>10</v>
      </c>
      <c r="E187" s="20">
        <v>10</v>
      </c>
      <c r="F187" s="20">
        <v>10</v>
      </c>
      <c r="G187" s="20">
        <v>10</v>
      </c>
      <c r="H187" s="20">
        <v>10</v>
      </c>
      <c r="I187" s="20">
        <v>10</v>
      </c>
      <c r="J187" s="20">
        <v>10</v>
      </c>
      <c r="K187" s="20">
        <v>10</v>
      </c>
      <c r="L187" s="20">
        <v>10</v>
      </c>
      <c r="M187" s="20">
        <v>10</v>
      </c>
      <c r="N187" s="20">
        <v>10</v>
      </c>
      <c r="O187" s="20">
        <v>10</v>
      </c>
      <c r="P187" s="20">
        <v>10</v>
      </c>
      <c r="Q187" s="20">
        <v>10</v>
      </c>
      <c r="R187" s="20">
        <v>10</v>
      </c>
      <c r="S187" s="20">
        <v>10</v>
      </c>
      <c r="T187" s="20">
        <v>10</v>
      </c>
      <c r="U187" s="20">
        <v>10</v>
      </c>
      <c r="V187" s="96">
        <f t="shared" si="16"/>
        <v>180</v>
      </c>
      <c r="X187" s="97">
        <f>71+V187</f>
        <v>251</v>
      </c>
      <c r="AB187" s="141">
        <f>COUNTIFS(Tabell714152021343536373839404142[[1]:[18]],4)</f>
        <v>5</v>
      </c>
      <c r="AD187" s="73" t="s">
        <v>164</v>
      </c>
      <c r="AE187" s="142">
        <f>AB187/AB189</f>
        <v>4.6296296296296294E-2</v>
      </c>
      <c r="AL187" s="72">
        <v>11</v>
      </c>
      <c r="AM187" s="164">
        <v>11</v>
      </c>
      <c r="AN187" s="164"/>
      <c r="AO187" s="164" t="s">
        <v>164</v>
      </c>
      <c r="AP187" s="165">
        <v>7.9710144927536225E-2</v>
      </c>
      <c r="AQ187" s="164"/>
      <c r="AR187" s="164">
        <v>4</v>
      </c>
      <c r="AS187" s="164"/>
      <c r="AT187" s="164" t="s">
        <v>164</v>
      </c>
      <c r="AU187" s="164">
        <v>2.4691358024691357E-2</v>
      </c>
      <c r="AV187" s="307">
        <v>8</v>
      </c>
      <c r="AW187" s="307"/>
      <c r="AX187" s="307" t="s">
        <v>164</v>
      </c>
      <c r="AY187" s="307">
        <v>6.4000000000000001E-2</v>
      </c>
      <c r="AZ187" s="307"/>
    </row>
    <row r="188" spans="2:52">
      <c r="B188" s="93" t="s">
        <v>43</v>
      </c>
      <c r="C188" s="94" t="s">
        <v>44</v>
      </c>
      <c r="D188" s="20">
        <v>1</v>
      </c>
      <c r="E188" s="20">
        <v>4</v>
      </c>
      <c r="F188" s="20">
        <v>1</v>
      </c>
      <c r="G188" s="20">
        <v>2</v>
      </c>
      <c r="H188" s="20">
        <v>1</v>
      </c>
      <c r="I188" s="20">
        <v>3</v>
      </c>
      <c r="J188" s="20">
        <v>2</v>
      </c>
      <c r="K188" s="20">
        <v>1</v>
      </c>
      <c r="L188" s="20">
        <v>0</v>
      </c>
      <c r="M188" s="20">
        <v>3</v>
      </c>
      <c r="N188" s="20">
        <v>3</v>
      </c>
      <c r="O188" s="20">
        <v>3</v>
      </c>
      <c r="P188" s="20">
        <v>1</v>
      </c>
      <c r="Q188" s="20">
        <v>2</v>
      </c>
      <c r="R188" s="20">
        <v>2</v>
      </c>
      <c r="S188" s="20">
        <v>1</v>
      </c>
      <c r="T188" s="323">
        <v>0</v>
      </c>
      <c r="U188" s="20">
        <v>2</v>
      </c>
      <c r="V188" s="96">
        <f t="shared" si="16"/>
        <v>32</v>
      </c>
      <c r="X188" s="97">
        <f>70+V188</f>
        <v>102</v>
      </c>
      <c r="AB188" s="141">
        <f>COUNTIFS(Tabell714152021343536373839404142[[1]:[18]],5)</f>
        <v>3</v>
      </c>
      <c r="AD188" s="73" t="s">
        <v>165</v>
      </c>
      <c r="AE188" s="142">
        <f>AB188/AB189</f>
        <v>2.7777777777777776E-2</v>
      </c>
      <c r="AL188" s="72">
        <v>6</v>
      </c>
      <c r="AM188" s="164">
        <v>6</v>
      </c>
      <c r="AN188" s="164"/>
      <c r="AO188" s="164" t="s">
        <v>165</v>
      </c>
      <c r="AP188" s="165">
        <v>4.3478260869565216E-2</v>
      </c>
      <c r="AQ188" s="164"/>
      <c r="AR188" s="164">
        <v>1</v>
      </c>
      <c r="AS188" s="164"/>
      <c r="AT188" s="164" t="s">
        <v>165</v>
      </c>
      <c r="AU188" s="164">
        <v>6.1728395061728392E-3</v>
      </c>
      <c r="AV188" s="307">
        <v>3</v>
      </c>
      <c r="AW188" s="307"/>
      <c r="AX188" s="307" t="s">
        <v>165</v>
      </c>
      <c r="AY188" s="307">
        <v>2.4E-2</v>
      </c>
      <c r="AZ188" s="307"/>
    </row>
    <row r="189" spans="2:52">
      <c r="B189" s="93" t="s">
        <v>43</v>
      </c>
      <c r="C189" s="94" t="s">
        <v>44</v>
      </c>
      <c r="D189" s="20">
        <v>4</v>
      </c>
      <c r="E189" s="20">
        <v>3</v>
      </c>
      <c r="F189" s="20">
        <v>3</v>
      </c>
      <c r="G189" s="20">
        <v>1</v>
      </c>
      <c r="H189" s="20">
        <v>2</v>
      </c>
      <c r="I189" s="20">
        <v>2</v>
      </c>
      <c r="J189" s="20">
        <v>1</v>
      </c>
      <c r="K189" s="20">
        <v>0</v>
      </c>
      <c r="L189" s="20">
        <v>1</v>
      </c>
      <c r="M189" s="20">
        <v>1</v>
      </c>
      <c r="N189" s="20">
        <v>3</v>
      </c>
      <c r="O189" s="20">
        <v>2</v>
      </c>
      <c r="P189" s="20">
        <v>2</v>
      </c>
      <c r="Q189" s="20">
        <v>1</v>
      </c>
      <c r="R189" s="20">
        <v>4</v>
      </c>
      <c r="S189" s="20">
        <v>3</v>
      </c>
      <c r="T189" s="20">
        <v>3</v>
      </c>
      <c r="U189" s="20">
        <v>0</v>
      </c>
      <c r="V189" s="96">
        <f t="shared" si="16"/>
        <v>36</v>
      </c>
      <c r="X189" s="97">
        <f>72+V189</f>
        <v>108</v>
      </c>
      <c r="AB189" s="83">
        <f>SUM(AB182:AB188)</f>
        <v>108</v>
      </c>
      <c r="AL189" s="72">
        <v>138</v>
      </c>
      <c r="AM189" s="164">
        <v>138</v>
      </c>
      <c r="AN189" s="164"/>
      <c r="AO189" s="164"/>
      <c r="AP189" s="164"/>
      <c r="AQ189" s="164"/>
      <c r="AR189" s="164">
        <v>162</v>
      </c>
      <c r="AS189" s="164"/>
      <c r="AT189" s="164"/>
      <c r="AU189" s="164"/>
      <c r="AV189" s="307">
        <v>125</v>
      </c>
      <c r="AW189" s="307"/>
      <c r="AX189" s="307"/>
      <c r="AY189" s="307"/>
      <c r="AZ189" s="307"/>
    </row>
    <row r="190" spans="2:52">
      <c r="B190" s="93" t="s">
        <v>43</v>
      </c>
      <c r="C190" s="94" t="s">
        <v>44</v>
      </c>
      <c r="D190" s="20">
        <v>3</v>
      </c>
      <c r="E190" s="20">
        <v>1</v>
      </c>
      <c r="F190" s="20">
        <v>2</v>
      </c>
      <c r="G190" s="20">
        <v>4</v>
      </c>
      <c r="H190" s="20">
        <v>2</v>
      </c>
      <c r="I190" s="20">
        <v>2</v>
      </c>
      <c r="J190" s="20">
        <v>3</v>
      </c>
      <c r="K190" s="20">
        <v>0</v>
      </c>
      <c r="L190" s="20">
        <v>3</v>
      </c>
      <c r="M190" s="20">
        <v>2</v>
      </c>
      <c r="N190" s="20">
        <v>2</v>
      </c>
      <c r="O190" s="20">
        <v>2</v>
      </c>
      <c r="P190" s="20">
        <v>3</v>
      </c>
      <c r="Q190" s="20">
        <v>0</v>
      </c>
      <c r="R190" s="20">
        <v>1</v>
      </c>
      <c r="S190" s="20">
        <v>2</v>
      </c>
      <c r="T190" s="20">
        <v>5</v>
      </c>
      <c r="U190" s="20">
        <v>3</v>
      </c>
      <c r="V190" s="96">
        <f t="shared" si="16"/>
        <v>40</v>
      </c>
      <c r="X190" s="97">
        <f>72+V190</f>
        <v>112</v>
      </c>
      <c r="AM190" s="164"/>
      <c r="AN190" s="164"/>
      <c r="AO190" s="164"/>
      <c r="AP190" s="164"/>
      <c r="AQ190" s="164"/>
      <c r="AR190" s="164"/>
      <c r="AS190" s="164"/>
      <c r="AT190" s="164"/>
      <c r="AU190" s="164"/>
      <c r="AV190" s="307"/>
      <c r="AW190" s="307"/>
      <c r="AX190" s="307"/>
      <c r="AY190" s="307"/>
      <c r="AZ190" s="307"/>
    </row>
    <row r="191" spans="2:52">
      <c r="B191" s="93" t="s">
        <v>43</v>
      </c>
      <c r="C191" s="94" t="s">
        <v>44</v>
      </c>
      <c r="D191" s="20">
        <v>10</v>
      </c>
      <c r="E191" s="20">
        <v>10</v>
      </c>
      <c r="F191" s="20">
        <v>10</v>
      </c>
      <c r="G191" s="20">
        <v>10</v>
      </c>
      <c r="H191" s="20">
        <v>10</v>
      </c>
      <c r="I191" s="20">
        <v>10</v>
      </c>
      <c r="J191" s="20">
        <v>10</v>
      </c>
      <c r="K191" s="20">
        <v>10</v>
      </c>
      <c r="L191" s="20">
        <v>10</v>
      </c>
      <c r="M191" s="20">
        <v>10</v>
      </c>
      <c r="N191" s="20">
        <v>10</v>
      </c>
      <c r="O191" s="20">
        <v>10</v>
      </c>
      <c r="P191" s="20">
        <v>10</v>
      </c>
      <c r="Q191" s="20">
        <v>10</v>
      </c>
      <c r="R191" s="20">
        <v>10</v>
      </c>
      <c r="S191" s="20">
        <v>10</v>
      </c>
      <c r="T191" s="20">
        <v>10</v>
      </c>
      <c r="U191" s="20">
        <v>10</v>
      </c>
      <c r="V191" s="98">
        <f t="shared" si="16"/>
        <v>180</v>
      </c>
      <c r="X191" s="99">
        <f>72+V191</f>
        <v>252</v>
      </c>
      <c r="AM191" s="164"/>
      <c r="AN191" s="164"/>
      <c r="AO191" s="164"/>
      <c r="AP191" s="164"/>
      <c r="AQ191" s="164"/>
      <c r="AR191" s="164"/>
      <c r="AS191" s="164"/>
      <c r="AT191" s="164"/>
      <c r="AU191" s="164"/>
      <c r="AV191" s="307"/>
      <c r="AW191" s="307"/>
      <c r="AX191" s="307"/>
      <c r="AY191" s="307"/>
      <c r="AZ191" s="307"/>
    </row>
    <row r="192" spans="2:52">
      <c r="B192" s="93" t="s">
        <v>43</v>
      </c>
      <c r="C192" s="94" t="s">
        <v>44</v>
      </c>
      <c r="D192" s="20">
        <v>10</v>
      </c>
      <c r="E192" s="20">
        <v>10</v>
      </c>
      <c r="F192" s="20">
        <v>10</v>
      </c>
      <c r="G192" s="20">
        <v>10</v>
      </c>
      <c r="H192" s="20">
        <v>10</v>
      </c>
      <c r="I192" s="20">
        <v>10</v>
      </c>
      <c r="J192" s="20">
        <v>10</v>
      </c>
      <c r="K192" s="20">
        <v>10</v>
      </c>
      <c r="L192" s="20">
        <v>10</v>
      </c>
      <c r="M192" s="20">
        <v>10</v>
      </c>
      <c r="N192" s="20">
        <v>10</v>
      </c>
      <c r="O192" s="20">
        <v>10</v>
      </c>
      <c r="P192" s="20">
        <v>10</v>
      </c>
      <c r="Q192" s="20">
        <v>10</v>
      </c>
      <c r="R192" s="20">
        <v>10</v>
      </c>
      <c r="S192" s="20">
        <v>10</v>
      </c>
      <c r="T192" s="20">
        <v>10</v>
      </c>
      <c r="U192" s="20">
        <v>10</v>
      </c>
      <c r="V192" s="302">
        <f>SUM(D192:U192)</f>
        <v>180</v>
      </c>
      <c r="AM192" s="164"/>
      <c r="AN192" s="164"/>
      <c r="AO192" s="164"/>
      <c r="AP192" s="164"/>
      <c r="AQ192" s="164"/>
      <c r="AR192" s="164"/>
      <c r="AS192" s="164"/>
      <c r="AT192" s="164"/>
      <c r="AU192" s="164"/>
      <c r="AV192" s="307"/>
      <c r="AW192" s="307"/>
      <c r="AX192" s="307"/>
      <c r="AY192" s="307"/>
      <c r="AZ192" s="307"/>
    </row>
    <row r="193" spans="2:52">
      <c r="B193" s="9" t="s">
        <v>2</v>
      </c>
      <c r="C193" s="10" t="s">
        <v>3</v>
      </c>
      <c r="D193" s="26" t="s">
        <v>4</v>
      </c>
      <c r="E193" s="26" t="s">
        <v>5</v>
      </c>
      <c r="F193" s="26" t="s">
        <v>6</v>
      </c>
      <c r="G193" s="26" t="s">
        <v>7</v>
      </c>
      <c r="H193" s="26" t="s">
        <v>8</v>
      </c>
      <c r="I193" s="26" t="s">
        <v>9</v>
      </c>
      <c r="J193" s="26" t="s">
        <v>10</v>
      </c>
      <c r="K193" s="26" t="s">
        <v>11</v>
      </c>
      <c r="L193" s="26" t="s">
        <v>15</v>
      </c>
      <c r="M193" s="26" t="s">
        <v>13</v>
      </c>
      <c r="N193" s="26" t="s">
        <v>138</v>
      </c>
      <c r="O193" s="26" t="s">
        <v>139</v>
      </c>
      <c r="P193" s="26" t="s">
        <v>159</v>
      </c>
      <c r="Q193" s="26" t="s">
        <v>160</v>
      </c>
      <c r="R193" s="26" t="s">
        <v>142</v>
      </c>
      <c r="S193" s="26" t="s">
        <v>143</v>
      </c>
      <c r="T193" s="26" t="s">
        <v>144</v>
      </c>
      <c r="U193" s="26" t="s">
        <v>145</v>
      </c>
      <c r="V193" s="78" t="s">
        <v>58</v>
      </c>
      <c r="X193" s="95" t="s">
        <v>146</v>
      </c>
      <c r="AB193" s="141">
        <f>COUNTIFS(Tabell71415202134353637383940414272[[1]:[18]],-1)</f>
        <v>2</v>
      </c>
      <c r="AD193" s="73" t="s">
        <v>54</v>
      </c>
      <c r="AE193" s="142">
        <f>AB193/AB200</f>
        <v>1.8518518518518517E-2</v>
      </c>
      <c r="AL193" s="72">
        <v>0</v>
      </c>
      <c r="AM193" s="164">
        <v>0</v>
      </c>
      <c r="AN193" s="164"/>
      <c r="AO193" s="164" t="s">
        <v>54</v>
      </c>
      <c r="AP193" s="165">
        <v>0</v>
      </c>
      <c r="AQ193" s="164"/>
      <c r="AR193" s="164">
        <v>3</v>
      </c>
      <c r="AS193" s="164"/>
      <c r="AT193" s="164" t="s">
        <v>54</v>
      </c>
      <c r="AU193" s="164">
        <v>2.3809523809523808E-2</v>
      </c>
      <c r="AV193" s="307">
        <v>3</v>
      </c>
      <c r="AW193" s="307"/>
      <c r="AX193" s="307" t="s">
        <v>54</v>
      </c>
      <c r="AY193" s="307">
        <v>2.7777777777777776E-2</v>
      </c>
      <c r="AZ193" s="307"/>
    </row>
    <row r="194" spans="2:52">
      <c r="B194" s="9" t="s">
        <v>45</v>
      </c>
      <c r="C194" s="94" t="s">
        <v>46</v>
      </c>
      <c r="D194" s="20">
        <v>2</v>
      </c>
      <c r="E194" s="20">
        <v>2</v>
      </c>
      <c r="F194" s="20">
        <v>-1</v>
      </c>
      <c r="G194" s="20">
        <v>2</v>
      </c>
      <c r="H194" s="20">
        <v>2</v>
      </c>
      <c r="I194" s="20">
        <v>2</v>
      </c>
      <c r="J194" s="20">
        <v>1</v>
      </c>
      <c r="K194" s="20">
        <v>0</v>
      </c>
      <c r="L194" s="20">
        <v>1</v>
      </c>
      <c r="M194" s="20">
        <v>1</v>
      </c>
      <c r="N194" s="20">
        <v>1</v>
      </c>
      <c r="O194" s="20">
        <v>0</v>
      </c>
      <c r="P194" s="20">
        <v>0</v>
      </c>
      <c r="Q194" s="20">
        <v>0</v>
      </c>
      <c r="R194" s="20">
        <v>3</v>
      </c>
      <c r="S194" s="20">
        <v>1</v>
      </c>
      <c r="T194" s="20">
        <v>4</v>
      </c>
      <c r="U194" s="20">
        <v>2</v>
      </c>
      <c r="V194" s="96">
        <f t="shared" ref="V194:V201" si="17">SUM(D194:U194)</f>
        <v>23</v>
      </c>
      <c r="X194" s="97">
        <f>72+V194</f>
        <v>95</v>
      </c>
      <c r="AB194" s="141">
        <f>COUNTIFS(Tabell71415202134353637383940414272[[1]:[18]],0)</f>
        <v>16</v>
      </c>
      <c r="AD194" s="73" t="s">
        <v>137</v>
      </c>
      <c r="AE194" s="142">
        <f>AB194/AB200</f>
        <v>0.14814814814814814</v>
      </c>
      <c r="AL194" s="72">
        <v>10</v>
      </c>
      <c r="AM194" s="164">
        <v>10</v>
      </c>
      <c r="AN194" s="164"/>
      <c r="AO194" s="164" t="s">
        <v>137</v>
      </c>
      <c r="AP194" s="165">
        <v>0.27777777777777779</v>
      </c>
      <c r="AQ194" s="164"/>
      <c r="AR194" s="164">
        <v>21</v>
      </c>
      <c r="AS194" s="164"/>
      <c r="AT194" s="164" t="s">
        <v>137</v>
      </c>
      <c r="AU194" s="164">
        <v>0.16666666666666666</v>
      </c>
      <c r="AV194" s="307">
        <v>15</v>
      </c>
      <c r="AW194" s="307"/>
      <c r="AX194" s="307" t="s">
        <v>137</v>
      </c>
      <c r="AY194" s="307">
        <v>0.1388888888888889</v>
      </c>
      <c r="AZ194" s="307"/>
    </row>
    <row r="195" spans="2:52">
      <c r="B195" s="9" t="s">
        <v>45</v>
      </c>
      <c r="C195" s="94" t="s">
        <v>46</v>
      </c>
      <c r="D195" s="20">
        <v>1</v>
      </c>
      <c r="E195" s="20">
        <v>2</v>
      </c>
      <c r="F195" s="20">
        <v>2</v>
      </c>
      <c r="G195" s="20">
        <v>4</v>
      </c>
      <c r="H195" s="20">
        <v>2</v>
      </c>
      <c r="I195" s="20">
        <v>3</v>
      </c>
      <c r="J195" s="20">
        <v>1</v>
      </c>
      <c r="K195" s="20">
        <v>1</v>
      </c>
      <c r="L195" s="20">
        <v>3</v>
      </c>
      <c r="M195" s="20">
        <v>1</v>
      </c>
      <c r="N195" s="20">
        <v>3</v>
      </c>
      <c r="O195" s="20">
        <v>0</v>
      </c>
      <c r="P195" s="20">
        <v>1</v>
      </c>
      <c r="Q195" s="20">
        <v>1</v>
      </c>
      <c r="R195" s="20">
        <v>3</v>
      </c>
      <c r="S195" s="20">
        <v>4</v>
      </c>
      <c r="T195" s="20">
        <v>0</v>
      </c>
      <c r="U195" s="20">
        <v>1</v>
      </c>
      <c r="V195" s="96">
        <f t="shared" si="17"/>
        <v>33</v>
      </c>
      <c r="X195" s="97">
        <f>71+V195</f>
        <v>104</v>
      </c>
      <c r="AB195" s="141">
        <f>COUNTIFS(Tabell71415202134353637383940414272[[1]:[18]],1)</f>
        <v>40</v>
      </c>
      <c r="AD195" s="73" t="s">
        <v>161</v>
      </c>
      <c r="AE195" s="142">
        <f>AB195/AB200</f>
        <v>0.37037037037037035</v>
      </c>
      <c r="AL195" s="72">
        <v>6</v>
      </c>
      <c r="AM195" s="164">
        <v>6</v>
      </c>
      <c r="AN195" s="164"/>
      <c r="AO195" s="164" t="s">
        <v>161</v>
      </c>
      <c r="AP195" s="165">
        <v>0.16666666666666666</v>
      </c>
      <c r="AQ195" s="164"/>
      <c r="AR195" s="164">
        <v>54</v>
      </c>
      <c r="AS195" s="164"/>
      <c r="AT195" s="164" t="s">
        <v>161</v>
      </c>
      <c r="AU195" s="164">
        <v>0.42857142857142855</v>
      </c>
      <c r="AV195" s="307">
        <v>43</v>
      </c>
      <c r="AW195" s="307"/>
      <c r="AX195" s="307" t="s">
        <v>161</v>
      </c>
      <c r="AY195" s="307">
        <v>0.39814814814814814</v>
      </c>
      <c r="AZ195" s="307"/>
    </row>
    <row r="196" spans="2:52">
      <c r="B196" s="9" t="s">
        <v>45</v>
      </c>
      <c r="C196" s="94" t="s">
        <v>46</v>
      </c>
      <c r="D196" s="20">
        <v>1</v>
      </c>
      <c r="E196" s="20">
        <v>2</v>
      </c>
      <c r="F196" s="20">
        <v>2</v>
      </c>
      <c r="G196" s="20">
        <v>0</v>
      </c>
      <c r="H196" s="20">
        <v>1</v>
      </c>
      <c r="I196" s="20">
        <v>1</v>
      </c>
      <c r="J196" s="20">
        <v>2</v>
      </c>
      <c r="K196" s="20">
        <v>2</v>
      </c>
      <c r="L196" s="20">
        <v>0</v>
      </c>
      <c r="M196" s="20">
        <v>3</v>
      </c>
      <c r="N196" s="20">
        <v>1</v>
      </c>
      <c r="O196" s="20">
        <v>3</v>
      </c>
      <c r="P196" s="20">
        <v>0</v>
      </c>
      <c r="Q196" s="20">
        <v>-1</v>
      </c>
      <c r="R196" s="20">
        <v>1</v>
      </c>
      <c r="S196" s="20">
        <v>0</v>
      </c>
      <c r="T196" s="20">
        <v>0</v>
      </c>
      <c r="U196" s="20">
        <v>1</v>
      </c>
      <c r="V196" s="96">
        <f t="shared" si="17"/>
        <v>19</v>
      </c>
      <c r="X196" s="97">
        <f>72+V196</f>
        <v>91</v>
      </c>
      <c r="AB196" s="141">
        <f>COUNTIFS(Tabell71415202134353637383940414272[[1]:[18]],2)</f>
        <v>27</v>
      </c>
      <c r="AD196" s="73" t="s">
        <v>162</v>
      </c>
      <c r="AE196" s="142">
        <f>AB196/AB200</f>
        <v>0.25</v>
      </c>
      <c r="AL196" s="72">
        <v>10</v>
      </c>
      <c r="AM196" s="164">
        <v>10</v>
      </c>
      <c r="AN196" s="164"/>
      <c r="AO196" s="164" t="s">
        <v>162</v>
      </c>
      <c r="AP196" s="165">
        <v>0.27777777777777779</v>
      </c>
      <c r="AQ196" s="164"/>
      <c r="AR196" s="164">
        <v>36</v>
      </c>
      <c r="AS196" s="164"/>
      <c r="AT196" s="164" t="s">
        <v>162</v>
      </c>
      <c r="AU196" s="164">
        <v>0.2857142857142857</v>
      </c>
      <c r="AV196" s="307">
        <v>24</v>
      </c>
      <c r="AW196" s="307"/>
      <c r="AX196" s="307" t="s">
        <v>162</v>
      </c>
      <c r="AY196" s="307">
        <v>0.22222222222222221</v>
      </c>
      <c r="AZ196" s="307"/>
    </row>
    <row r="197" spans="2:52">
      <c r="B197" s="9" t="s">
        <v>45</v>
      </c>
      <c r="C197" s="94" t="s">
        <v>46</v>
      </c>
      <c r="D197" s="20">
        <v>10</v>
      </c>
      <c r="E197" s="20">
        <v>10</v>
      </c>
      <c r="F197" s="20">
        <v>10</v>
      </c>
      <c r="G197" s="20">
        <v>10</v>
      </c>
      <c r="H197" s="20">
        <v>10</v>
      </c>
      <c r="I197" s="20">
        <v>10</v>
      </c>
      <c r="J197" s="20">
        <v>10</v>
      </c>
      <c r="K197" s="20">
        <v>10</v>
      </c>
      <c r="L197" s="20">
        <v>10</v>
      </c>
      <c r="M197" s="20">
        <v>10</v>
      </c>
      <c r="N197" s="20">
        <v>10</v>
      </c>
      <c r="O197" s="20">
        <v>10</v>
      </c>
      <c r="P197" s="20">
        <v>10</v>
      </c>
      <c r="Q197" s="20">
        <v>10</v>
      </c>
      <c r="R197" s="20">
        <v>10</v>
      </c>
      <c r="S197" s="20">
        <v>10</v>
      </c>
      <c r="T197" s="20">
        <v>10</v>
      </c>
      <c r="U197" s="20">
        <v>10</v>
      </c>
      <c r="V197" s="96">
        <f t="shared" si="17"/>
        <v>180</v>
      </c>
      <c r="X197" s="97">
        <f>72+V197</f>
        <v>252</v>
      </c>
      <c r="AB197" s="141">
        <f>COUNTIFS(Tabell71415202134353637383940414272[[1]:[18]],3)</f>
        <v>15</v>
      </c>
      <c r="AD197" s="73" t="s">
        <v>163</v>
      </c>
      <c r="AE197" s="142">
        <f>AB197/AB200</f>
        <v>0.1388888888888889</v>
      </c>
      <c r="AL197" s="72">
        <v>6</v>
      </c>
      <c r="AM197" s="164">
        <v>6</v>
      </c>
      <c r="AN197" s="164"/>
      <c r="AO197" s="164" t="s">
        <v>163</v>
      </c>
      <c r="AP197" s="165">
        <v>0.16666666666666666</v>
      </c>
      <c r="AQ197" s="164"/>
      <c r="AR197" s="164">
        <v>7</v>
      </c>
      <c r="AS197" s="164"/>
      <c r="AT197" s="164" t="s">
        <v>163</v>
      </c>
      <c r="AU197" s="164">
        <v>5.5555555555555552E-2</v>
      </c>
      <c r="AV197" s="307">
        <v>13</v>
      </c>
      <c r="AW197" s="307"/>
      <c r="AX197" s="307" t="s">
        <v>163</v>
      </c>
      <c r="AY197" s="307">
        <v>0.12037037037037036</v>
      </c>
      <c r="AZ197" s="307"/>
    </row>
    <row r="198" spans="2:52">
      <c r="B198" s="9" t="s">
        <v>45</v>
      </c>
      <c r="C198" s="94" t="s">
        <v>46</v>
      </c>
      <c r="D198" s="20">
        <v>4</v>
      </c>
      <c r="E198" s="20">
        <v>1</v>
      </c>
      <c r="F198" s="20">
        <v>2</v>
      </c>
      <c r="G198" s="20">
        <v>2</v>
      </c>
      <c r="H198" s="20">
        <v>1</v>
      </c>
      <c r="I198" s="20">
        <v>1</v>
      </c>
      <c r="J198" s="20">
        <v>0</v>
      </c>
      <c r="K198" s="20">
        <v>2</v>
      </c>
      <c r="L198" s="20">
        <v>3</v>
      </c>
      <c r="M198" s="20">
        <v>1</v>
      </c>
      <c r="N198" s="20">
        <v>1</v>
      </c>
      <c r="O198" s="20">
        <v>2</v>
      </c>
      <c r="P198" s="20">
        <v>1</v>
      </c>
      <c r="Q198" s="20">
        <v>1</v>
      </c>
      <c r="R198" s="20">
        <v>3</v>
      </c>
      <c r="S198" s="20">
        <v>4</v>
      </c>
      <c r="T198" s="20">
        <v>1</v>
      </c>
      <c r="U198" s="20">
        <v>2</v>
      </c>
      <c r="V198" s="96">
        <v>83</v>
      </c>
      <c r="X198" s="97">
        <f>71+V198</f>
        <v>154</v>
      </c>
      <c r="AB198" s="141">
        <f>COUNTIFS(Tabell71415202134353637383940414272[[1]:[18]],4)</f>
        <v>7</v>
      </c>
      <c r="AD198" s="73" t="s">
        <v>164</v>
      </c>
      <c r="AE198" s="142">
        <f>AB198/AB200</f>
        <v>6.4814814814814811E-2</v>
      </c>
      <c r="AL198" s="72">
        <v>3</v>
      </c>
      <c r="AM198" s="164">
        <v>3</v>
      </c>
      <c r="AN198" s="164"/>
      <c r="AO198" s="164" t="s">
        <v>164</v>
      </c>
      <c r="AP198" s="165">
        <v>8.3333333333333329E-2</v>
      </c>
      <c r="AQ198" s="164"/>
      <c r="AR198" s="164">
        <v>4</v>
      </c>
      <c r="AS198" s="164"/>
      <c r="AT198" s="164" t="s">
        <v>164</v>
      </c>
      <c r="AU198" s="164">
        <v>3.1746031746031744E-2</v>
      </c>
      <c r="AV198" s="307">
        <v>4</v>
      </c>
      <c r="AW198" s="307"/>
      <c r="AX198" s="307" t="s">
        <v>164</v>
      </c>
      <c r="AY198" s="307">
        <v>3.7037037037037035E-2</v>
      </c>
      <c r="AZ198" s="307"/>
    </row>
    <row r="199" spans="2:52">
      <c r="B199" s="9" t="s">
        <v>45</v>
      </c>
      <c r="C199" s="94" t="s">
        <v>46</v>
      </c>
      <c r="D199" s="20">
        <v>0</v>
      </c>
      <c r="E199" s="20">
        <v>3</v>
      </c>
      <c r="F199" s="20">
        <v>1</v>
      </c>
      <c r="G199" s="20">
        <v>1</v>
      </c>
      <c r="H199" s="20">
        <v>0</v>
      </c>
      <c r="I199" s="20">
        <v>1</v>
      </c>
      <c r="J199" s="20">
        <v>1</v>
      </c>
      <c r="K199" s="20">
        <v>2</v>
      </c>
      <c r="L199" s="20">
        <v>1</v>
      </c>
      <c r="M199" s="20">
        <v>1</v>
      </c>
      <c r="N199" s="20">
        <v>1</v>
      </c>
      <c r="O199" s="20">
        <v>4</v>
      </c>
      <c r="P199" s="20">
        <v>3</v>
      </c>
      <c r="Q199" s="20">
        <v>2</v>
      </c>
      <c r="R199" s="20">
        <v>2</v>
      </c>
      <c r="S199" s="20">
        <v>1</v>
      </c>
      <c r="T199" s="20">
        <v>2</v>
      </c>
      <c r="U199" s="20">
        <v>1</v>
      </c>
      <c r="V199" s="96">
        <f t="shared" si="17"/>
        <v>27</v>
      </c>
      <c r="X199" s="97">
        <f>70+V199</f>
        <v>97</v>
      </c>
      <c r="AB199" s="141">
        <f>COUNTIFS(Tabell71415202134353637383940414272[[1]:[18]],5)</f>
        <v>1</v>
      </c>
      <c r="AD199" s="73" t="s">
        <v>165</v>
      </c>
      <c r="AE199" s="142">
        <f>AB199/AB200</f>
        <v>9.2592592592592587E-3</v>
      </c>
      <c r="AL199" s="72">
        <v>1</v>
      </c>
      <c r="AM199" s="164">
        <v>1</v>
      </c>
      <c r="AN199" s="164"/>
      <c r="AO199" s="164" t="s">
        <v>165</v>
      </c>
      <c r="AP199" s="165">
        <v>2.7777777777777776E-2</v>
      </c>
      <c r="AQ199" s="164"/>
      <c r="AR199" s="164">
        <v>1</v>
      </c>
      <c r="AS199" s="164"/>
      <c r="AT199" s="164" t="s">
        <v>165</v>
      </c>
      <c r="AU199" s="164">
        <v>7.9365079365079361E-3</v>
      </c>
      <c r="AV199" s="307">
        <v>6</v>
      </c>
      <c r="AW199" s="307"/>
      <c r="AX199" s="307" t="s">
        <v>165</v>
      </c>
      <c r="AY199" s="307">
        <v>5.5555555555555552E-2</v>
      </c>
      <c r="AZ199" s="307"/>
    </row>
    <row r="200" spans="2:52">
      <c r="B200" s="9" t="s">
        <v>45</v>
      </c>
      <c r="C200" s="94" t="s">
        <v>46</v>
      </c>
      <c r="D200" s="20">
        <v>10</v>
      </c>
      <c r="E200" s="20">
        <v>10</v>
      </c>
      <c r="F200" s="20">
        <v>10</v>
      </c>
      <c r="G200" s="20">
        <v>10</v>
      </c>
      <c r="H200" s="20">
        <v>10</v>
      </c>
      <c r="I200" s="20">
        <v>10</v>
      </c>
      <c r="J200" s="20">
        <v>10</v>
      </c>
      <c r="K200" s="20">
        <v>10</v>
      </c>
      <c r="L200" s="20">
        <v>10</v>
      </c>
      <c r="M200" s="20">
        <v>10</v>
      </c>
      <c r="N200" s="20">
        <v>10</v>
      </c>
      <c r="O200" s="20">
        <v>10</v>
      </c>
      <c r="P200" s="20">
        <v>10</v>
      </c>
      <c r="Q200" s="20">
        <v>10</v>
      </c>
      <c r="R200" s="20">
        <v>10</v>
      </c>
      <c r="S200" s="20">
        <v>10</v>
      </c>
      <c r="T200" s="20">
        <v>10</v>
      </c>
      <c r="U200" s="20">
        <v>10</v>
      </c>
      <c r="V200" s="96">
        <f t="shared" si="17"/>
        <v>180</v>
      </c>
      <c r="X200" s="97">
        <f>72+V200</f>
        <v>252</v>
      </c>
      <c r="AB200" s="83">
        <f>SUM(AB193:AB199)</f>
        <v>108</v>
      </c>
      <c r="AL200" s="72">
        <v>36</v>
      </c>
      <c r="AM200" s="164">
        <v>36</v>
      </c>
      <c r="AN200" s="164"/>
      <c r="AO200" s="164"/>
      <c r="AP200" s="164"/>
      <c r="AQ200" s="164"/>
      <c r="AR200" s="164">
        <v>126</v>
      </c>
      <c r="AS200" s="164"/>
      <c r="AT200" s="164"/>
      <c r="AU200" s="164"/>
      <c r="AV200" s="307">
        <v>108</v>
      </c>
      <c r="AW200" s="307"/>
      <c r="AX200" s="307"/>
      <c r="AY200" s="307"/>
      <c r="AZ200" s="307"/>
    </row>
    <row r="201" spans="2:52">
      <c r="B201" s="9" t="s">
        <v>45</v>
      </c>
      <c r="C201" s="94" t="s">
        <v>46</v>
      </c>
      <c r="D201" s="20">
        <v>2</v>
      </c>
      <c r="E201" s="20">
        <v>1</v>
      </c>
      <c r="F201" s="20">
        <v>3</v>
      </c>
      <c r="G201" s="20">
        <v>4</v>
      </c>
      <c r="H201" s="20">
        <v>0</v>
      </c>
      <c r="I201" s="20">
        <v>1</v>
      </c>
      <c r="J201" s="20">
        <v>3</v>
      </c>
      <c r="K201" s="20">
        <v>2</v>
      </c>
      <c r="L201" s="20">
        <v>1</v>
      </c>
      <c r="M201" s="20">
        <v>2</v>
      </c>
      <c r="N201" s="20">
        <v>3</v>
      </c>
      <c r="O201" s="20">
        <v>1</v>
      </c>
      <c r="P201" s="20">
        <v>2</v>
      </c>
      <c r="Q201" s="20">
        <v>0</v>
      </c>
      <c r="R201" s="20">
        <v>1</v>
      </c>
      <c r="S201" s="20">
        <v>2</v>
      </c>
      <c r="T201" s="20">
        <v>5</v>
      </c>
      <c r="U201" s="20">
        <v>3</v>
      </c>
      <c r="V201" s="96">
        <f t="shared" si="17"/>
        <v>36</v>
      </c>
      <c r="X201" s="97">
        <f>72+V201</f>
        <v>108</v>
      </c>
      <c r="AM201" s="164"/>
      <c r="AN201" s="164"/>
      <c r="AO201" s="164"/>
      <c r="AP201" s="164"/>
      <c r="AQ201" s="164"/>
      <c r="AR201" s="164"/>
      <c r="AS201" s="164"/>
      <c r="AT201" s="164"/>
      <c r="AU201" s="164"/>
      <c r="AV201" s="307"/>
      <c r="AW201" s="307"/>
      <c r="AX201" s="307"/>
      <c r="AY201" s="307"/>
      <c r="AZ201" s="307"/>
    </row>
    <row r="202" spans="2:52">
      <c r="B202" s="93" t="s">
        <v>45</v>
      </c>
      <c r="C202" s="94" t="s">
        <v>46</v>
      </c>
      <c r="D202" s="20">
        <v>10</v>
      </c>
      <c r="E202" s="20">
        <v>10</v>
      </c>
      <c r="F202" s="20">
        <v>10</v>
      </c>
      <c r="G202" s="20">
        <v>10</v>
      </c>
      <c r="H202" s="20">
        <v>10</v>
      </c>
      <c r="I202" s="20">
        <v>10</v>
      </c>
      <c r="J202" s="20">
        <v>10</v>
      </c>
      <c r="K202" s="20">
        <v>10</v>
      </c>
      <c r="L202" s="20">
        <v>10</v>
      </c>
      <c r="M202" s="20">
        <v>10</v>
      </c>
      <c r="N202" s="20">
        <v>10</v>
      </c>
      <c r="O202" s="20">
        <v>10</v>
      </c>
      <c r="P202" s="20">
        <v>10</v>
      </c>
      <c r="Q202" s="20">
        <v>10</v>
      </c>
      <c r="R202" s="20">
        <v>10</v>
      </c>
      <c r="S202" s="20">
        <v>10</v>
      </c>
      <c r="T202" s="20">
        <v>10</v>
      </c>
      <c r="U202" s="20">
        <v>10</v>
      </c>
      <c r="V202" s="96">
        <f>SUM(D202:U202)</f>
        <v>180</v>
      </c>
      <c r="X202" s="97">
        <f>72+V202</f>
        <v>252</v>
      </c>
      <c r="AM202" s="164"/>
      <c r="AN202" s="164"/>
      <c r="AO202" s="164"/>
      <c r="AP202" s="164"/>
      <c r="AQ202" s="164"/>
      <c r="AR202" s="164"/>
      <c r="AS202" s="164"/>
      <c r="AT202" s="164"/>
      <c r="AU202" s="164"/>
      <c r="AV202" s="307"/>
      <c r="AW202" s="307"/>
      <c r="AX202" s="307"/>
      <c r="AY202" s="307"/>
      <c r="AZ202" s="307"/>
    </row>
    <row r="203" spans="2:52">
      <c r="B203" s="93" t="s">
        <v>45</v>
      </c>
      <c r="C203" s="94" t="s">
        <v>46</v>
      </c>
      <c r="D203" s="20">
        <v>10</v>
      </c>
      <c r="E203" s="20">
        <v>10</v>
      </c>
      <c r="F203" s="20">
        <v>10</v>
      </c>
      <c r="G203" s="20">
        <v>10</v>
      </c>
      <c r="H203" s="20">
        <v>10</v>
      </c>
      <c r="I203" s="20">
        <v>10</v>
      </c>
      <c r="J203" s="20">
        <v>10</v>
      </c>
      <c r="K203" s="20">
        <v>10</v>
      </c>
      <c r="L203" s="20">
        <v>10</v>
      </c>
      <c r="M203" s="20">
        <v>10</v>
      </c>
      <c r="N203" s="20">
        <v>10</v>
      </c>
      <c r="O203" s="20">
        <v>10</v>
      </c>
      <c r="P203" s="20">
        <v>10</v>
      </c>
      <c r="Q203" s="20">
        <v>10</v>
      </c>
      <c r="R203" s="20">
        <v>10</v>
      </c>
      <c r="S203" s="20">
        <v>10</v>
      </c>
      <c r="T203" s="20">
        <v>10</v>
      </c>
      <c r="U203" s="20">
        <v>10</v>
      </c>
      <c r="V203" s="96">
        <f>SUM(D203:U203)</f>
        <v>180</v>
      </c>
      <c r="X203" s="99">
        <f>72+V203</f>
        <v>252</v>
      </c>
      <c r="AM203" s="164"/>
      <c r="AN203" s="164"/>
      <c r="AO203" s="164"/>
      <c r="AP203" s="164"/>
      <c r="AQ203" s="164"/>
      <c r="AR203" s="164"/>
      <c r="AS203" s="164"/>
      <c r="AT203" s="164"/>
      <c r="AU203" s="164"/>
      <c r="AV203" s="307"/>
      <c r="AW203" s="307"/>
      <c r="AX203" s="307"/>
      <c r="AY203" s="307"/>
      <c r="AZ203" s="307"/>
    </row>
    <row r="204" spans="2:52">
      <c r="AM204" s="164"/>
      <c r="AN204" s="164"/>
      <c r="AO204" s="164"/>
      <c r="AP204" s="164"/>
      <c r="AQ204" s="164"/>
      <c r="AR204" s="164"/>
      <c r="AS204" s="164"/>
      <c r="AT204" s="164"/>
      <c r="AU204" s="164"/>
      <c r="AV204" s="307"/>
      <c r="AW204" s="307"/>
      <c r="AX204" s="307"/>
      <c r="AY204" s="307"/>
      <c r="AZ204" s="307"/>
    </row>
    <row r="205" spans="2:52">
      <c r="B205" s="9" t="s">
        <v>2</v>
      </c>
      <c r="C205" s="10" t="s">
        <v>3</v>
      </c>
      <c r="D205" s="26" t="s">
        <v>4</v>
      </c>
      <c r="E205" s="26" t="s">
        <v>5</v>
      </c>
      <c r="F205" s="26" t="s">
        <v>6</v>
      </c>
      <c r="G205" s="26" t="s">
        <v>7</v>
      </c>
      <c r="H205" s="26" t="s">
        <v>8</v>
      </c>
      <c r="I205" s="26" t="s">
        <v>9</v>
      </c>
      <c r="J205" s="26" t="s">
        <v>10</v>
      </c>
      <c r="K205" s="26" t="s">
        <v>11</v>
      </c>
      <c r="L205" s="26" t="s">
        <v>15</v>
      </c>
      <c r="M205" s="26" t="s">
        <v>13</v>
      </c>
      <c r="N205" s="26" t="s">
        <v>138</v>
      </c>
      <c r="O205" s="26" t="s">
        <v>139</v>
      </c>
      <c r="P205" s="26" t="s">
        <v>159</v>
      </c>
      <c r="Q205" s="26" t="s">
        <v>160</v>
      </c>
      <c r="R205" s="26" t="s">
        <v>142</v>
      </c>
      <c r="S205" s="26" t="s">
        <v>143</v>
      </c>
      <c r="T205" s="26" t="s">
        <v>144</v>
      </c>
      <c r="U205" s="26" t="s">
        <v>145</v>
      </c>
      <c r="V205" s="78" t="s">
        <v>58</v>
      </c>
      <c r="X205" s="95" t="s">
        <v>146</v>
      </c>
      <c r="AB205" s="141">
        <f>COUNTIFS(Tabell714152021343536373839404142722[[1]:[18]],-1)</f>
        <v>2</v>
      </c>
      <c r="AD205" s="73" t="s">
        <v>54</v>
      </c>
      <c r="AE205" s="142">
        <f>AB205/AB212</f>
        <v>1.3888888888888888E-2</v>
      </c>
      <c r="AL205" s="72">
        <v>1</v>
      </c>
      <c r="AM205" s="164">
        <v>1</v>
      </c>
      <c r="AN205" s="164"/>
      <c r="AO205" s="164" t="s">
        <v>54</v>
      </c>
      <c r="AP205" s="165">
        <v>9.3457943925233638E-3</v>
      </c>
      <c r="AQ205" s="164"/>
      <c r="AR205" s="164">
        <v>0</v>
      </c>
      <c r="AS205" s="164"/>
      <c r="AT205" s="164" t="s">
        <v>54</v>
      </c>
      <c r="AU205" s="164">
        <v>0</v>
      </c>
      <c r="AV205" s="307">
        <v>1</v>
      </c>
      <c r="AW205" s="307"/>
      <c r="AX205" s="307" t="s">
        <v>54</v>
      </c>
      <c r="AY205" s="307">
        <v>9.2592592592592587E-3</v>
      </c>
      <c r="AZ205" s="307"/>
    </row>
    <row r="206" spans="2:52">
      <c r="B206" s="9" t="s">
        <v>20</v>
      </c>
      <c r="C206" s="94" t="s">
        <v>34</v>
      </c>
      <c r="D206" s="20">
        <v>5</v>
      </c>
      <c r="E206" s="20">
        <v>1</v>
      </c>
      <c r="F206" s="20">
        <v>5</v>
      </c>
      <c r="G206" s="20">
        <v>2</v>
      </c>
      <c r="H206" s="20">
        <v>3</v>
      </c>
      <c r="I206" s="20">
        <v>3</v>
      </c>
      <c r="J206" s="20">
        <v>2</v>
      </c>
      <c r="K206" s="20">
        <v>2</v>
      </c>
      <c r="L206" s="20">
        <v>1</v>
      </c>
      <c r="M206" s="20">
        <v>0</v>
      </c>
      <c r="N206" s="20">
        <v>1</v>
      </c>
      <c r="O206" s="20">
        <v>1</v>
      </c>
      <c r="P206" s="20">
        <v>3</v>
      </c>
      <c r="Q206" s="20">
        <v>3</v>
      </c>
      <c r="R206" s="20">
        <v>3</v>
      </c>
      <c r="S206" s="20">
        <v>2</v>
      </c>
      <c r="T206" s="20">
        <v>4</v>
      </c>
      <c r="U206" s="20">
        <v>2</v>
      </c>
      <c r="V206" s="96">
        <f t="shared" ref="V206:V215" si="18">SUM(D206:U206)</f>
        <v>43</v>
      </c>
      <c r="X206" s="97">
        <f>72+V206</f>
        <v>115</v>
      </c>
      <c r="AB206" s="141">
        <f>COUNTIFS(Tabell714152021343536373839404142722[[1]:[18]],0)</f>
        <v>14</v>
      </c>
      <c r="AD206" s="73" t="s">
        <v>137</v>
      </c>
      <c r="AE206" s="142">
        <f>AB206/AB212</f>
        <v>9.7222222222222224E-2</v>
      </c>
      <c r="AL206" s="72">
        <v>5</v>
      </c>
      <c r="AM206" s="164">
        <v>5</v>
      </c>
      <c r="AN206" s="164"/>
      <c r="AO206" s="164" t="s">
        <v>137</v>
      </c>
      <c r="AP206" s="165">
        <v>4.6728971962616821E-2</v>
      </c>
      <c r="AQ206" s="164"/>
      <c r="AR206" s="164">
        <v>15</v>
      </c>
      <c r="AS206" s="164"/>
      <c r="AT206" s="164" t="s">
        <v>137</v>
      </c>
      <c r="AU206" s="164">
        <v>0.10416666666666667</v>
      </c>
      <c r="AV206" s="307">
        <v>9</v>
      </c>
      <c r="AW206" s="307"/>
      <c r="AX206" s="307" t="s">
        <v>137</v>
      </c>
      <c r="AY206" s="307">
        <v>8.3333333333333329E-2</v>
      </c>
      <c r="AZ206" s="307"/>
    </row>
    <row r="207" spans="2:52">
      <c r="B207" s="9" t="s">
        <v>20</v>
      </c>
      <c r="C207" s="94" t="s">
        <v>34</v>
      </c>
      <c r="D207" s="20">
        <v>1</v>
      </c>
      <c r="E207" s="20">
        <v>2</v>
      </c>
      <c r="F207" s="20">
        <v>2</v>
      </c>
      <c r="G207" s="20">
        <v>1</v>
      </c>
      <c r="H207" s="20">
        <v>1</v>
      </c>
      <c r="I207" s="20">
        <v>0</v>
      </c>
      <c r="J207" s="20">
        <v>0</v>
      </c>
      <c r="K207" s="20">
        <v>1</v>
      </c>
      <c r="L207" s="20">
        <v>1</v>
      </c>
      <c r="M207" s="20">
        <v>0</v>
      </c>
      <c r="N207" s="20">
        <v>2</v>
      </c>
      <c r="O207" s="20">
        <v>2</v>
      </c>
      <c r="P207" s="20">
        <v>1</v>
      </c>
      <c r="Q207" s="20">
        <v>1</v>
      </c>
      <c r="R207" s="20">
        <v>1</v>
      </c>
      <c r="S207" s="20">
        <v>1</v>
      </c>
      <c r="T207" s="20">
        <v>2</v>
      </c>
      <c r="U207" s="20">
        <v>1</v>
      </c>
      <c r="V207" s="96">
        <f t="shared" si="18"/>
        <v>20</v>
      </c>
      <c r="X207" s="97">
        <f>70+V207</f>
        <v>90</v>
      </c>
      <c r="AB207" s="141">
        <f>COUNTIFS(Tabell714152021343536373839404142722[[1]:[18]],1)</f>
        <v>42</v>
      </c>
      <c r="AD207" s="73" t="s">
        <v>161</v>
      </c>
      <c r="AE207" s="142">
        <f>AB207/AB212</f>
        <v>0.29166666666666669</v>
      </c>
      <c r="AL207" s="72">
        <v>35</v>
      </c>
      <c r="AM207" s="164">
        <v>35</v>
      </c>
      <c r="AN207" s="164"/>
      <c r="AO207" s="164" t="s">
        <v>161</v>
      </c>
      <c r="AP207" s="165">
        <v>0.32710280373831774</v>
      </c>
      <c r="AQ207" s="164"/>
      <c r="AR207" s="164">
        <v>43</v>
      </c>
      <c r="AS207" s="164"/>
      <c r="AT207" s="164" t="s">
        <v>161</v>
      </c>
      <c r="AU207" s="164">
        <v>0.2986111111111111</v>
      </c>
      <c r="AV207" s="307">
        <v>39</v>
      </c>
      <c r="AW207" s="307"/>
      <c r="AX207" s="307" t="s">
        <v>161</v>
      </c>
      <c r="AY207" s="307">
        <v>0.3611111111111111</v>
      </c>
      <c r="AZ207" s="307"/>
    </row>
    <row r="208" spans="2:52">
      <c r="B208" s="9" t="s">
        <v>20</v>
      </c>
      <c r="C208" s="94" t="s">
        <v>34</v>
      </c>
      <c r="D208" s="20">
        <v>1</v>
      </c>
      <c r="E208" s="20">
        <v>0</v>
      </c>
      <c r="F208" s="20">
        <v>2</v>
      </c>
      <c r="G208" s="20">
        <v>2</v>
      </c>
      <c r="H208" s="20">
        <v>1</v>
      </c>
      <c r="I208" s="20">
        <v>1</v>
      </c>
      <c r="J208" s="20">
        <v>2</v>
      </c>
      <c r="K208" s="20">
        <v>2</v>
      </c>
      <c r="L208" s="20">
        <v>2</v>
      </c>
      <c r="M208" s="20">
        <v>2</v>
      </c>
      <c r="N208" s="20">
        <v>4</v>
      </c>
      <c r="O208" s="20">
        <v>0</v>
      </c>
      <c r="P208" s="20">
        <v>2</v>
      </c>
      <c r="Q208" s="20">
        <v>3</v>
      </c>
      <c r="R208" s="20">
        <v>2</v>
      </c>
      <c r="S208" s="20">
        <v>-1</v>
      </c>
      <c r="T208" s="20">
        <v>1</v>
      </c>
      <c r="U208" s="20">
        <v>2</v>
      </c>
      <c r="V208" s="96">
        <f t="shared" si="18"/>
        <v>28</v>
      </c>
      <c r="X208" s="97">
        <f>72+V208</f>
        <v>100</v>
      </c>
      <c r="AB208" s="141">
        <f>COUNTIFS(Tabell714152021343536373839404142722[[1]:[18]],2)</f>
        <v>45</v>
      </c>
      <c r="AD208" s="73" t="s">
        <v>162</v>
      </c>
      <c r="AE208" s="142">
        <f>AB208/AB212</f>
        <v>0.3125</v>
      </c>
      <c r="AL208" s="72">
        <v>28</v>
      </c>
      <c r="AM208" s="164">
        <v>28</v>
      </c>
      <c r="AN208" s="164"/>
      <c r="AO208" s="164" t="s">
        <v>162</v>
      </c>
      <c r="AP208" s="165">
        <v>0.26168224299065418</v>
      </c>
      <c r="AQ208" s="164"/>
      <c r="AR208" s="164">
        <v>46</v>
      </c>
      <c r="AS208" s="164"/>
      <c r="AT208" s="164" t="s">
        <v>162</v>
      </c>
      <c r="AU208" s="164">
        <v>0.31944444444444442</v>
      </c>
      <c r="AV208" s="307">
        <v>34</v>
      </c>
      <c r="AW208" s="307"/>
      <c r="AX208" s="307" t="s">
        <v>162</v>
      </c>
      <c r="AY208" s="307">
        <v>0.31481481481481483</v>
      </c>
      <c r="AZ208" s="307"/>
    </row>
    <row r="209" spans="2:52">
      <c r="B209" s="9" t="s">
        <v>20</v>
      </c>
      <c r="C209" s="94" t="s">
        <v>34</v>
      </c>
      <c r="D209" s="20">
        <v>0</v>
      </c>
      <c r="E209" s="20">
        <v>1</v>
      </c>
      <c r="F209" s="20">
        <v>3</v>
      </c>
      <c r="G209" s="20">
        <v>2</v>
      </c>
      <c r="H209" s="20">
        <v>1</v>
      </c>
      <c r="I209" s="20">
        <v>0</v>
      </c>
      <c r="J209" s="20">
        <v>1</v>
      </c>
      <c r="K209" s="20">
        <v>2</v>
      </c>
      <c r="L209" s="20">
        <v>2</v>
      </c>
      <c r="M209" s="20">
        <v>4</v>
      </c>
      <c r="N209" s="20">
        <v>1</v>
      </c>
      <c r="O209" s="20">
        <v>3</v>
      </c>
      <c r="P209" s="20">
        <v>3</v>
      </c>
      <c r="Q209" s="20">
        <v>3</v>
      </c>
      <c r="R209" s="20">
        <v>4</v>
      </c>
      <c r="S209" s="20">
        <v>5</v>
      </c>
      <c r="T209" s="20">
        <v>3</v>
      </c>
      <c r="U209" s="20">
        <v>4</v>
      </c>
      <c r="V209" s="96">
        <f t="shared" si="18"/>
        <v>42</v>
      </c>
      <c r="X209" s="97">
        <f>72+V209</f>
        <v>114</v>
      </c>
      <c r="AB209" s="141">
        <f>COUNTIFS(Tabell714152021343536373839404142722[[1]:[18]],3)</f>
        <v>25</v>
      </c>
      <c r="AD209" s="73" t="s">
        <v>163</v>
      </c>
      <c r="AE209" s="142">
        <f>AB209/AB212</f>
        <v>0.1736111111111111</v>
      </c>
      <c r="AL209" s="72">
        <v>21</v>
      </c>
      <c r="AM209" s="164">
        <v>21</v>
      </c>
      <c r="AN209" s="164"/>
      <c r="AO209" s="164" t="s">
        <v>163</v>
      </c>
      <c r="AP209" s="165">
        <v>0.19626168224299065</v>
      </c>
      <c r="AQ209" s="164"/>
      <c r="AR209" s="164">
        <v>24</v>
      </c>
      <c r="AS209" s="164"/>
      <c r="AT209" s="164" t="s">
        <v>163</v>
      </c>
      <c r="AU209" s="164">
        <v>0.16666666666666666</v>
      </c>
      <c r="AV209" s="307">
        <v>17</v>
      </c>
      <c r="AW209" s="307"/>
      <c r="AX209" s="307" t="s">
        <v>163</v>
      </c>
      <c r="AY209" s="307">
        <v>0.15740740740740741</v>
      </c>
      <c r="AZ209" s="307"/>
    </row>
    <row r="210" spans="2:52">
      <c r="B210" s="9" t="s">
        <v>20</v>
      </c>
      <c r="C210" s="94" t="s">
        <v>34</v>
      </c>
      <c r="D210" s="20">
        <v>10</v>
      </c>
      <c r="E210" s="20">
        <v>10</v>
      </c>
      <c r="F210" s="20">
        <v>10</v>
      </c>
      <c r="G210" s="20">
        <v>10</v>
      </c>
      <c r="H210" s="20">
        <v>10</v>
      </c>
      <c r="I210" s="20">
        <v>10</v>
      </c>
      <c r="J210" s="20">
        <v>10</v>
      </c>
      <c r="K210" s="20">
        <v>10</v>
      </c>
      <c r="L210" s="20">
        <v>10</v>
      </c>
      <c r="M210" s="20">
        <v>10</v>
      </c>
      <c r="N210" s="20">
        <v>10</v>
      </c>
      <c r="O210" s="20">
        <v>10</v>
      </c>
      <c r="P210" s="20">
        <v>10</v>
      </c>
      <c r="Q210" s="20">
        <v>10</v>
      </c>
      <c r="R210" s="20">
        <v>10</v>
      </c>
      <c r="S210" s="20">
        <v>10</v>
      </c>
      <c r="T210" s="20">
        <v>10</v>
      </c>
      <c r="U210" s="20">
        <v>10</v>
      </c>
      <c r="V210" s="96">
        <f t="shared" si="18"/>
        <v>180</v>
      </c>
      <c r="X210" s="97">
        <f>71+V210</f>
        <v>251</v>
      </c>
      <c r="AB210" s="141">
        <f>COUNTIFS(Tabell714152021343536373839404142722[[1]:[18]],4)</f>
        <v>12</v>
      </c>
      <c r="AD210" s="73" t="s">
        <v>164</v>
      </c>
      <c r="AE210" s="142">
        <f>AB210/AB212</f>
        <v>8.3333333333333329E-2</v>
      </c>
      <c r="AL210" s="72">
        <v>9</v>
      </c>
      <c r="AM210" s="164">
        <v>9</v>
      </c>
      <c r="AN210" s="164"/>
      <c r="AO210" s="164" t="s">
        <v>164</v>
      </c>
      <c r="AP210" s="165">
        <v>8.4112149532710276E-2</v>
      </c>
      <c r="AQ210" s="164"/>
      <c r="AR210" s="164">
        <v>8</v>
      </c>
      <c r="AS210" s="164"/>
      <c r="AT210" s="164" t="s">
        <v>164</v>
      </c>
      <c r="AU210" s="164">
        <v>5.5555555555555552E-2</v>
      </c>
      <c r="AV210" s="307">
        <v>7</v>
      </c>
      <c r="AW210" s="307"/>
      <c r="AX210" s="307" t="s">
        <v>164</v>
      </c>
      <c r="AY210" s="307">
        <v>6.4814814814814811E-2</v>
      </c>
      <c r="AZ210" s="307"/>
    </row>
    <row r="211" spans="2:52">
      <c r="B211" s="9" t="s">
        <v>20</v>
      </c>
      <c r="C211" s="94" t="s">
        <v>34</v>
      </c>
      <c r="D211" s="20">
        <v>2</v>
      </c>
      <c r="E211" s="20">
        <v>1</v>
      </c>
      <c r="F211" s="20">
        <v>1</v>
      </c>
      <c r="G211" s="20">
        <v>2</v>
      </c>
      <c r="H211" s="20">
        <v>1</v>
      </c>
      <c r="I211" s="20">
        <v>3</v>
      </c>
      <c r="J211" s="20">
        <v>1</v>
      </c>
      <c r="K211" s="20">
        <v>0</v>
      </c>
      <c r="L211" s="20">
        <v>1</v>
      </c>
      <c r="M211" s="20">
        <v>2</v>
      </c>
      <c r="N211" s="20">
        <v>1</v>
      </c>
      <c r="O211" s="20">
        <v>4</v>
      </c>
      <c r="P211" s="20">
        <v>3</v>
      </c>
      <c r="Q211" s="20">
        <v>4</v>
      </c>
      <c r="R211" s="20">
        <v>4</v>
      </c>
      <c r="S211" s="20">
        <v>3</v>
      </c>
      <c r="T211" s="20">
        <v>2</v>
      </c>
      <c r="U211" s="20">
        <v>3</v>
      </c>
      <c r="V211" s="96">
        <f t="shared" si="18"/>
        <v>38</v>
      </c>
      <c r="X211" s="97">
        <f>70+V211</f>
        <v>108</v>
      </c>
      <c r="AB211" s="141">
        <f>COUNTIFS(Tabell714152021343536373839404142722[[1]:[18]],5)</f>
        <v>4</v>
      </c>
      <c r="AD211" s="73" t="s">
        <v>165</v>
      </c>
      <c r="AE211" s="142">
        <f>AB211/AB212</f>
        <v>2.7777777777777776E-2</v>
      </c>
      <c r="AL211" s="72">
        <v>8</v>
      </c>
      <c r="AM211" s="164">
        <v>8</v>
      </c>
      <c r="AN211" s="164"/>
      <c r="AO211" s="164" t="s">
        <v>165</v>
      </c>
      <c r="AP211" s="165">
        <v>7.476635514018691E-2</v>
      </c>
      <c r="AQ211" s="164"/>
      <c r="AR211" s="164">
        <v>8</v>
      </c>
      <c r="AS211" s="164"/>
      <c r="AT211" s="164" t="s">
        <v>165</v>
      </c>
      <c r="AU211" s="164">
        <v>5.5555555555555552E-2</v>
      </c>
      <c r="AV211" s="307">
        <v>1</v>
      </c>
      <c r="AW211" s="307"/>
      <c r="AX211" s="307" t="s">
        <v>165</v>
      </c>
      <c r="AY211" s="307">
        <v>9.2592592592592587E-3</v>
      </c>
      <c r="AZ211" s="307"/>
    </row>
    <row r="212" spans="2:52">
      <c r="B212" s="9" t="s">
        <v>20</v>
      </c>
      <c r="C212" s="94" t="s">
        <v>34</v>
      </c>
      <c r="D212" s="20">
        <v>2</v>
      </c>
      <c r="E212" s="20">
        <v>1</v>
      </c>
      <c r="F212" s="20">
        <v>4</v>
      </c>
      <c r="G212" s="20">
        <v>2</v>
      </c>
      <c r="H212" s="20">
        <v>1</v>
      </c>
      <c r="I212" s="20">
        <v>4</v>
      </c>
      <c r="J212" s="20">
        <v>2</v>
      </c>
      <c r="K212" s="20">
        <v>0</v>
      </c>
      <c r="L212" s="20">
        <v>1</v>
      </c>
      <c r="M212" s="20">
        <v>2</v>
      </c>
      <c r="N212" s="20">
        <v>3</v>
      </c>
      <c r="O212" s="20">
        <v>2</v>
      </c>
      <c r="P212" s="20">
        <v>2</v>
      </c>
      <c r="Q212" s="20">
        <v>3</v>
      </c>
      <c r="R212" s="20">
        <v>2</v>
      </c>
      <c r="S212" s="20">
        <v>2</v>
      </c>
      <c r="T212" s="20">
        <v>2</v>
      </c>
      <c r="U212" s="20">
        <v>1</v>
      </c>
      <c r="V212" s="96">
        <f t="shared" si="18"/>
        <v>36</v>
      </c>
      <c r="X212" s="97">
        <f>72+V212</f>
        <v>108</v>
      </c>
      <c r="AB212" s="83">
        <f>SUM(AB205:AB211)</f>
        <v>144</v>
      </c>
      <c r="AL212" s="72">
        <v>107</v>
      </c>
      <c r="AM212" s="164">
        <v>107</v>
      </c>
      <c r="AN212" s="164"/>
      <c r="AO212" s="164"/>
      <c r="AP212" s="164"/>
      <c r="AQ212" s="164"/>
      <c r="AR212" s="164">
        <v>144</v>
      </c>
      <c r="AS212" s="164"/>
      <c r="AT212" s="164"/>
      <c r="AU212" s="164"/>
      <c r="AV212" s="307">
        <v>108</v>
      </c>
      <c r="AW212" s="307"/>
      <c r="AX212" s="307"/>
      <c r="AY212" s="307"/>
      <c r="AZ212" s="307"/>
    </row>
    <row r="213" spans="2:52">
      <c r="B213" s="9" t="s">
        <v>20</v>
      </c>
      <c r="C213" s="94" t="s">
        <v>34</v>
      </c>
      <c r="D213" s="20">
        <v>2</v>
      </c>
      <c r="E213" s="20">
        <v>3</v>
      </c>
      <c r="F213" s="20">
        <v>1</v>
      </c>
      <c r="G213" s="20">
        <v>3</v>
      </c>
      <c r="H213" s="20">
        <v>1</v>
      </c>
      <c r="I213" s="20">
        <v>1</v>
      </c>
      <c r="J213" s="20">
        <v>3</v>
      </c>
      <c r="K213" s="20">
        <v>3</v>
      </c>
      <c r="L213" s="20">
        <v>1</v>
      </c>
      <c r="M213" s="20">
        <v>3</v>
      </c>
      <c r="N213" s="20">
        <v>2</v>
      </c>
      <c r="O213" s="20">
        <v>2</v>
      </c>
      <c r="P213" s="20">
        <v>2</v>
      </c>
      <c r="Q213" s="20">
        <v>3</v>
      </c>
      <c r="R213" s="20">
        <v>2</v>
      </c>
      <c r="S213" s="20">
        <v>3</v>
      </c>
      <c r="T213" s="20">
        <v>1</v>
      </c>
      <c r="U213" s="20">
        <v>1</v>
      </c>
      <c r="V213" s="96">
        <f t="shared" si="18"/>
        <v>37</v>
      </c>
      <c r="X213" s="97">
        <f>72+V213</f>
        <v>109</v>
      </c>
      <c r="AM213" s="164"/>
      <c r="AN213" s="164"/>
      <c r="AO213" s="164"/>
      <c r="AP213" s="164"/>
      <c r="AQ213" s="164"/>
      <c r="AR213" s="164"/>
      <c r="AS213" s="164"/>
      <c r="AT213" s="164"/>
      <c r="AU213" s="164"/>
      <c r="AV213" s="307"/>
      <c r="AW213" s="307"/>
      <c r="AX213" s="307"/>
      <c r="AY213" s="307"/>
      <c r="AZ213" s="307"/>
    </row>
    <row r="214" spans="2:52">
      <c r="B214" s="9" t="s">
        <v>20</v>
      </c>
      <c r="C214" s="94" t="s">
        <v>34</v>
      </c>
      <c r="D214" s="20">
        <v>3</v>
      </c>
      <c r="E214" s="20">
        <v>2</v>
      </c>
      <c r="F214" s="20">
        <v>4</v>
      </c>
      <c r="G214" s="20">
        <v>2</v>
      </c>
      <c r="H214" s="20">
        <v>2</v>
      </c>
      <c r="I214" s="20">
        <v>2</v>
      </c>
      <c r="J214" s="20">
        <v>1</v>
      </c>
      <c r="K214" s="20">
        <v>-1</v>
      </c>
      <c r="L214" s="20">
        <v>1</v>
      </c>
      <c r="M214" s="20">
        <v>2</v>
      </c>
      <c r="N214" s="20">
        <v>1</v>
      </c>
      <c r="O214" s="20">
        <v>0</v>
      </c>
      <c r="P214" s="20">
        <v>0</v>
      </c>
      <c r="Q214" s="20">
        <v>4</v>
      </c>
      <c r="R214" s="20">
        <v>0</v>
      </c>
      <c r="S214" s="20">
        <v>5</v>
      </c>
      <c r="T214" s="20">
        <v>0</v>
      </c>
      <c r="U214" s="20">
        <v>1</v>
      </c>
      <c r="V214" s="96">
        <f t="shared" si="18"/>
        <v>29</v>
      </c>
      <c r="X214" s="97">
        <f>72+V214</f>
        <v>101</v>
      </c>
      <c r="AM214" s="164"/>
      <c r="AN214" s="164"/>
      <c r="AO214" s="164"/>
      <c r="AP214" s="164"/>
      <c r="AQ214" s="164"/>
      <c r="AR214" s="164"/>
      <c r="AS214" s="164"/>
      <c r="AT214" s="164"/>
      <c r="AU214" s="164"/>
      <c r="AV214" s="307"/>
      <c r="AW214" s="307"/>
      <c r="AX214" s="307"/>
      <c r="AY214" s="307"/>
      <c r="AZ214" s="307"/>
    </row>
    <row r="215" spans="2:52">
      <c r="B215" s="9" t="s">
        <v>20</v>
      </c>
      <c r="C215" s="94" t="s">
        <v>34</v>
      </c>
      <c r="D215" s="20">
        <v>10</v>
      </c>
      <c r="E215" s="20">
        <v>10</v>
      </c>
      <c r="F215" s="20">
        <v>10</v>
      </c>
      <c r="G215" s="20">
        <v>10</v>
      </c>
      <c r="H215" s="20">
        <v>10</v>
      </c>
      <c r="I215" s="20">
        <v>10</v>
      </c>
      <c r="J215" s="20">
        <v>10</v>
      </c>
      <c r="K215" s="20">
        <v>10</v>
      </c>
      <c r="L215" s="20">
        <v>10</v>
      </c>
      <c r="M215" s="20">
        <v>10</v>
      </c>
      <c r="N215" s="20">
        <v>10</v>
      </c>
      <c r="O215" s="20">
        <v>10</v>
      </c>
      <c r="P215" s="20">
        <v>10</v>
      </c>
      <c r="Q215" s="20">
        <v>10</v>
      </c>
      <c r="R215" s="20">
        <v>10</v>
      </c>
      <c r="S215" s="20">
        <v>10</v>
      </c>
      <c r="T215" s="20">
        <v>10</v>
      </c>
      <c r="U215" s="20">
        <v>10</v>
      </c>
      <c r="V215" s="96">
        <f t="shared" si="18"/>
        <v>180</v>
      </c>
      <c r="X215" s="99">
        <f>71+V215</f>
        <v>251</v>
      </c>
      <c r="AM215" s="164"/>
      <c r="AN215" s="164"/>
      <c r="AO215" s="164"/>
      <c r="AP215" s="164"/>
      <c r="AQ215" s="164"/>
      <c r="AR215" s="164"/>
      <c r="AS215" s="164"/>
      <c r="AT215" s="164"/>
      <c r="AU215" s="164"/>
      <c r="AV215" s="307"/>
      <c r="AW215" s="307"/>
      <c r="AX215" s="307"/>
      <c r="AY215" s="307"/>
      <c r="AZ215" s="307"/>
    </row>
    <row r="218" spans="2:52">
      <c r="B218" s="212" t="s">
        <v>30</v>
      </c>
      <c r="C218" s="213" t="s">
        <v>31</v>
      </c>
      <c r="D218" s="220">
        <f>AE31</f>
        <v>3.7037037037037035E-2</v>
      </c>
      <c r="E218" s="81" t="s">
        <v>48</v>
      </c>
    </row>
    <row r="219" spans="2:52">
      <c r="B219" s="214" t="s">
        <v>28</v>
      </c>
      <c r="C219" s="215" t="s">
        <v>29</v>
      </c>
      <c r="D219" s="220">
        <f>AE43</f>
        <v>2.4691358024691357E-2</v>
      </c>
    </row>
    <row r="220" spans="2:52">
      <c r="B220" s="216" t="s">
        <v>26</v>
      </c>
      <c r="C220" s="217" t="s">
        <v>167</v>
      </c>
      <c r="D220" s="220">
        <f>AE56</f>
        <v>2.0833333333333332E-2</v>
      </c>
    </row>
    <row r="221" spans="2:52">
      <c r="B221" s="214" t="s">
        <v>32</v>
      </c>
      <c r="C221" s="215" t="s">
        <v>33</v>
      </c>
      <c r="D221" s="220">
        <f>AE68</f>
        <v>4.1666666666666664E-2</v>
      </c>
    </row>
    <row r="222" spans="2:52">
      <c r="B222" s="216" t="s">
        <v>37</v>
      </c>
      <c r="C222" s="217" t="s">
        <v>38</v>
      </c>
      <c r="D222" s="220">
        <f>AE80</f>
        <v>5.5555555555555552E-2</v>
      </c>
    </row>
    <row r="223" spans="2:52">
      <c r="B223" s="214" t="s">
        <v>42</v>
      </c>
      <c r="C223" s="215" t="s">
        <v>134</v>
      </c>
      <c r="D223" s="220">
        <f>AE92</f>
        <v>5.5555555555555552E-2</v>
      </c>
    </row>
    <row r="224" spans="2:52">
      <c r="B224" s="216" t="s">
        <v>22</v>
      </c>
      <c r="C224" s="217" t="s">
        <v>23</v>
      </c>
      <c r="D224" s="220">
        <f>AE104</f>
        <v>0</v>
      </c>
    </row>
    <row r="225" spans="2:34">
      <c r="B225" s="214" t="s">
        <v>24</v>
      </c>
      <c r="C225" s="215" t="s">
        <v>25</v>
      </c>
      <c r="D225" s="220">
        <f>AE116</f>
        <v>7.407407407407407E-2</v>
      </c>
    </row>
    <row r="226" spans="2:34">
      <c r="B226" s="216" t="s">
        <v>35</v>
      </c>
      <c r="C226" s="217" t="s">
        <v>36</v>
      </c>
      <c r="D226" s="220">
        <f>AE128</f>
        <v>7.1428571428571425E-2</v>
      </c>
    </row>
    <row r="227" spans="2:34">
      <c r="B227" s="214" t="s">
        <v>32</v>
      </c>
      <c r="C227" s="215" t="s">
        <v>41</v>
      </c>
      <c r="D227" s="220">
        <f>AE140</f>
        <v>5.5555555555555552E-2</v>
      </c>
      <c r="AH227" s="72" t="s">
        <v>168</v>
      </c>
    </row>
    <row r="228" spans="2:34">
      <c r="B228" s="216" t="s">
        <v>20</v>
      </c>
      <c r="C228" s="217" t="s">
        <v>21</v>
      </c>
      <c r="D228" s="220">
        <f>AE164</f>
        <v>6.1728395061728392E-3</v>
      </c>
    </row>
    <row r="229" spans="2:34">
      <c r="B229" s="214" t="s">
        <v>43</v>
      </c>
      <c r="C229" s="215" t="s">
        <v>44</v>
      </c>
      <c r="D229" s="220">
        <f>AE188</f>
        <v>2.7777777777777776E-2</v>
      </c>
    </row>
    <row r="230" spans="2:34">
      <c r="B230" s="218" t="s">
        <v>39</v>
      </c>
      <c r="C230" s="219" t="s">
        <v>40</v>
      </c>
      <c r="D230" s="220">
        <f>AE176</f>
        <v>3.7037037037037035E-2</v>
      </c>
    </row>
    <row r="231" spans="2:34">
      <c r="B231" s="214" t="s">
        <v>45</v>
      </c>
      <c r="C231" s="215" t="s">
        <v>46</v>
      </c>
      <c r="D231" s="220">
        <f>AE199</f>
        <v>9.2592592592592587E-3</v>
      </c>
    </row>
    <row r="232" spans="2:34">
      <c r="B232" s="228" t="s">
        <v>20</v>
      </c>
      <c r="C232" s="219" t="s">
        <v>34</v>
      </c>
      <c r="D232" s="220">
        <f>AE211</f>
        <v>2.7777777777777776E-2</v>
      </c>
    </row>
    <row r="233" spans="2:34">
      <c r="B233" s="218" t="s">
        <v>47</v>
      </c>
      <c r="C233" s="219" t="s">
        <v>27</v>
      </c>
      <c r="D233" s="220">
        <f>AE152</f>
        <v>9.2592592592592587E-2</v>
      </c>
    </row>
  </sheetData>
  <conditionalFormatting sqref="B195:B202 C194:C202">
    <cfRule type="dataBar" priority="54">
      <dataBar>
        <cfvo type="min"/>
        <cfvo type="max"/>
        <color rgb="FFD6007B"/>
      </dataBar>
    </cfRule>
    <cfRule type="colorScale" priority="55">
      <colorScale>
        <cfvo type="min"/>
        <cfvo type="percentile" val="50"/>
        <cfvo type="max"/>
        <color rgb="FFF8696B"/>
        <color rgb="FFFFEB84"/>
        <color rgb="FF5A8AC6"/>
      </colorScale>
    </cfRule>
  </conditionalFormatting>
  <conditionalFormatting sqref="B5:C21">
    <cfRule type="colorScale" priority="245">
      <colorScale>
        <cfvo type="min"/>
        <cfvo type="percentile" val="50"/>
        <cfvo type="max"/>
        <color rgb="FFF8696B"/>
        <color rgb="FFFFEB84"/>
        <color rgb="FF5A8AC6"/>
      </colorScale>
    </cfRule>
    <cfRule type="dataBar" priority="244">
      <dataBar>
        <cfvo type="min"/>
        <cfvo type="max"/>
        <color rgb="FFD6007B"/>
      </dataBar>
    </cfRule>
  </conditionalFormatting>
  <conditionalFormatting sqref="B25:C25">
    <cfRule type="colorScale" priority="241">
      <colorScale>
        <cfvo type="min"/>
        <cfvo type="percentile" val="50"/>
        <cfvo type="max"/>
        <color rgb="FFF8696B"/>
        <color rgb="FFFFEB84"/>
        <color rgb="FF5A8AC6"/>
      </colorScale>
    </cfRule>
    <cfRule type="dataBar" priority="240">
      <dataBar>
        <cfvo type="min"/>
        <cfvo type="max"/>
        <color rgb="FFD6007B"/>
      </dataBar>
    </cfRule>
  </conditionalFormatting>
  <conditionalFormatting sqref="B26:C35">
    <cfRule type="colorScale" priority="261">
      <colorScale>
        <cfvo type="min"/>
        <cfvo type="percentile" val="50"/>
        <cfvo type="max"/>
        <color rgb="FFF8696B"/>
        <color rgb="FFFFEB84"/>
        <color rgb="FF5A8AC6"/>
      </colorScale>
    </cfRule>
    <cfRule type="dataBar" priority="260">
      <dataBar>
        <cfvo type="min"/>
        <cfvo type="max"/>
        <color rgb="FFD6007B"/>
      </dataBar>
    </cfRule>
  </conditionalFormatting>
  <conditionalFormatting sqref="B37:C37">
    <cfRule type="colorScale" priority="237">
      <colorScale>
        <cfvo type="min"/>
        <cfvo type="percentile" val="50"/>
        <cfvo type="max"/>
        <color rgb="FFF8696B"/>
        <color rgb="FFFFEB84"/>
        <color rgb="FF5A8AC6"/>
      </colorScale>
    </cfRule>
    <cfRule type="dataBar" priority="236">
      <dataBar>
        <cfvo type="min"/>
        <cfvo type="max"/>
        <color rgb="FFD6007B"/>
      </dataBar>
    </cfRule>
  </conditionalFormatting>
  <conditionalFormatting sqref="B38:C48">
    <cfRule type="colorScale" priority="263">
      <colorScale>
        <cfvo type="min"/>
        <cfvo type="percentile" val="50"/>
        <cfvo type="max"/>
        <color rgb="FFF8696B"/>
        <color rgb="FFFFEB84"/>
        <color rgb="FF5A8AC6"/>
      </colorScale>
    </cfRule>
    <cfRule type="dataBar" priority="262">
      <dataBar>
        <cfvo type="min"/>
        <cfvo type="max"/>
        <color rgb="FFD6007B"/>
      </dataBar>
    </cfRule>
  </conditionalFormatting>
  <conditionalFormatting sqref="B50:C51">
    <cfRule type="colorScale" priority="287">
      <colorScale>
        <cfvo type="min"/>
        <cfvo type="percentile" val="50"/>
        <cfvo type="max"/>
        <color rgb="FFF8696B"/>
        <color rgb="FFFFEB84"/>
        <color rgb="FF5A8AC6"/>
      </colorScale>
    </cfRule>
    <cfRule type="dataBar" priority="286">
      <dataBar>
        <cfvo type="min"/>
        <cfvo type="max"/>
        <color rgb="FFD6007B"/>
      </dataBar>
    </cfRule>
  </conditionalFormatting>
  <conditionalFormatting sqref="B51:C60">
    <cfRule type="colorScale" priority="273">
      <colorScale>
        <cfvo type="min"/>
        <cfvo type="percentile" val="50"/>
        <cfvo type="max"/>
        <color rgb="FFF8696B"/>
        <color rgb="FFFFEB84"/>
        <color rgb="FF5A8AC6"/>
      </colorScale>
    </cfRule>
    <cfRule type="dataBar" priority="272">
      <dataBar>
        <cfvo type="min"/>
        <cfvo type="max"/>
        <color rgb="FFD6007B"/>
      </dataBar>
    </cfRule>
  </conditionalFormatting>
  <conditionalFormatting sqref="B62:C62">
    <cfRule type="colorScale" priority="223">
      <colorScale>
        <cfvo type="min"/>
        <cfvo type="percentile" val="50"/>
        <cfvo type="max"/>
        <color rgb="FFF8696B"/>
        <color rgb="FFFFEB84"/>
        <color rgb="FF5A8AC6"/>
      </colorScale>
    </cfRule>
    <cfRule type="dataBar" priority="222">
      <dataBar>
        <cfvo type="min"/>
        <cfvo type="max"/>
        <color rgb="FFD6007B"/>
      </dataBar>
    </cfRule>
  </conditionalFormatting>
  <conditionalFormatting sqref="B63:C72">
    <cfRule type="colorScale" priority="315">
      <colorScale>
        <cfvo type="min"/>
        <cfvo type="percentile" val="50"/>
        <cfvo type="max"/>
        <color rgb="FFF8696B"/>
        <color rgb="FFFFEB84"/>
        <color rgb="FF5A8AC6"/>
      </colorScale>
    </cfRule>
    <cfRule type="dataBar" priority="314">
      <dataBar>
        <cfvo type="min"/>
        <cfvo type="max"/>
        <color rgb="FFD6007B"/>
      </dataBar>
    </cfRule>
  </conditionalFormatting>
  <conditionalFormatting sqref="B74:C74">
    <cfRule type="colorScale" priority="213">
      <colorScale>
        <cfvo type="min"/>
        <cfvo type="percentile" val="50"/>
        <cfvo type="max"/>
        <color rgb="FFF8696B"/>
        <color rgb="FFFFEB84"/>
        <color rgb="FF5A8AC6"/>
      </colorScale>
    </cfRule>
    <cfRule type="dataBar" priority="212">
      <dataBar>
        <cfvo type="min"/>
        <cfvo type="max"/>
        <color rgb="FFD6007B"/>
      </dataBar>
    </cfRule>
  </conditionalFormatting>
  <conditionalFormatting sqref="B75:C84">
    <cfRule type="colorScale" priority="347">
      <colorScale>
        <cfvo type="min"/>
        <cfvo type="percentile" val="50"/>
        <cfvo type="max"/>
        <color rgb="FFF8696B"/>
        <color rgb="FFFFEB84"/>
        <color rgb="FF5A8AC6"/>
      </colorScale>
    </cfRule>
    <cfRule type="dataBar" priority="346">
      <dataBar>
        <cfvo type="min"/>
        <cfvo type="max"/>
        <color rgb="FFD6007B"/>
      </dataBar>
    </cfRule>
  </conditionalFormatting>
  <conditionalFormatting sqref="B86:C86">
    <cfRule type="colorScale" priority="201">
      <colorScale>
        <cfvo type="min"/>
        <cfvo type="percentile" val="50"/>
        <cfvo type="max"/>
        <color rgb="FFF8696B"/>
        <color rgb="FFFFEB84"/>
        <color rgb="FF5A8AC6"/>
      </colorScale>
    </cfRule>
    <cfRule type="dataBar" priority="200">
      <dataBar>
        <cfvo type="min"/>
        <cfvo type="max"/>
        <color rgb="FFD6007B"/>
      </dataBar>
    </cfRule>
  </conditionalFormatting>
  <conditionalFormatting sqref="B87:C96">
    <cfRule type="colorScale" priority="383">
      <colorScale>
        <cfvo type="min"/>
        <cfvo type="percentile" val="50"/>
        <cfvo type="max"/>
        <color rgb="FFF8696B"/>
        <color rgb="FFFFEB84"/>
        <color rgb="FF5A8AC6"/>
      </colorScale>
    </cfRule>
    <cfRule type="dataBar" priority="382">
      <dataBar>
        <cfvo type="min"/>
        <cfvo type="max"/>
        <color rgb="FFD6007B"/>
      </dataBar>
    </cfRule>
  </conditionalFormatting>
  <conditionalFormatting sqref="B98:C98">
    <cfRule type="colorScale" priority="187">
      <colorScale>
        <cfvo type="min"/>
        <cfvo type="percentile" val="50"/>
        <cfvo type="max"/>
        <color rgb="FFF8696B"/>
        <color rgb="FFFFEB84"/>
        <color rgb="FF5A8AC6"/>
      </colorScale>
    </cfRule>
    <cfRule type="dataBar" priority="186">
      <dataBar>
        <cfvo type="min"/>
        <cfvo type="max"/>
        <color rgb="FFD6007B"/>
      </dataBar>
    </cfRule>
  </conditionalFormatting>
  <conditionalFormatting sqref="B99:C108">
    <cfRule type="colorScale" priority="423">
      <colorScale>
        <cfvo type="min"/>
        <cfvo type="percentile" val="50"/>
        <cfvo type="max"/>
        <color rgb="FFF8696B"/>
        <color rgb="FFFFEB84"/>
        <color rgb="FF5A8AC6"/>
      </colorScale>
    </cfRule>
    <cfRule type="dataBar" priority="422">
      <dataBar>
        <cfvo type="min"/>
        <cfvo type="max"/>
        <color rgb="FFD6007B"/>
      </dataBar>
    </cfRule>
  </conditionalFormatting>
  <conditionalFormatting sqref="B110:C110">
    <cfRule type="dataBar" priority="170">
      <dataBar>
        <cfvo type="min"/>
        <cfvo type="max"/>
        <color rgb="FFD6007B"/>
      </dataBar>
    </cfRule>
    <cfRule type="colorScale" priority="171">
      <colorScale>
        <cfvo type="min"/>
        <cfvo type="percentile" val="50"/>
        <cfvo type="max"/>
        <color rgb="FFF8696B"/>
        <color rgb="FFFFEB84"/>
        <color rgb="FF5A8AC6"/>
      </colorScale>
    </cfRule>
  </conditionalFormatting>
  <conditionalFormatting sqref="B111:C120">
    <cfRule type="colorScale" priority="467">
      <colorScale>
        <cfvo type="min"/>
        <cfvo type="percentile" val="50"/>
        <cfvo type="max"/>
        <color rgb="FFF8696B"/>
        <color rgb="FFFFEB84"/>
        <color rgb="FF5A8AC6"/>
      </colorScale>
    </cfRule>
    <cfRule type="dataBar" priority="466">
      <dataBar>
        <cfvo type="min"/>
        <cfvo type="max"/>
        <color rgb="FFD6007B"/>
      </dataBar>
    </cfRule>
  </conditionalFormatting>
  <conditionalFormatting sqref="B122:C122">
    <cfRule type="dataBar" priority="154">
      <dataBar>
        <cfvo type="min"/>
        <cfvo type="max"/>
        <color rgb="FFD6007B"/>
      </dataBar>
    </cfRule>
    <cfRule type="colorScale" priority="155">
      <colorScale>
        <cfvo type="min"/>
        <cfvo type="percentile" val="50"/>
        <cfvo type="max"/>
        <color rgb="FFF8696B"/>
        <color rgb="FFFFEB84"/>
        <color rgb="FF5A8AC6"/>
      </colorScale>
    </cfRule>
  </conditionalFormatting>
  <conditionalFormatting sqref="B123:C132">
    <cfRule type="colorScale" priority="515">
      <colorScale>
        <cfvo type="min"/>
        <cfvo type="percentile" val="50"/>
        <cfvo type="max"/>
        <color rgb="FFF8696B"/>
        <color rgb="FFFFEB84"/>
        <color rgb="FF5A8AC6"/>
      </colorScale>
    </cfRule>
    <cfRule type="dataBar" priority="514">
      <dataBar>
        <cfvo type="min"/>
        <cfvo type="max"/>
        <color rgb="FFD6007B"/>
      </dataBar>
    </cfRule>
  </conditionalFormatting>
  <conditionalFormatting sqref="B134:C134">
    <cfRule type="dataBar" priority="138">
      <dataBar>
        <cfvo type="min"/>
        <cfvo type="max"/>
        <color rgb="FFD6007B"/>
      </dataBar>
    </cfRule>
    <cfRule type="colorScale" priority="139">
      <colorScale>
        <cfvo type="min"/>
        <cfvo type="percentile" val="50"/>
        <cfvo type="max"/>
        <color rgb="FFF8696B"/>
        <color rgb="FFFFEB84"/>
        <color rgb="FF5A8AC6"/>
      </colorScale>
    </cfRule>
  </conditionalFormatting>
  <conditionalFormatting sqref="B135:C145">
    <cfRule type="colorScale" priority="567">
      <colorScale>
        <cfvo type="min"/>
        <cfvo type="percentile" val="50"/>
        <cfvo type="max"/>
        <color rgb="FFF8696B"/>
        <color rgb="FFFFEB84"/>
        <color rgb="FF5A8AC6"/>
      </colorScale>
    </cfRule>
    <cfRule type="dataBar" priority="566">
      <dataBar>
        <cfvo type="min"/>
        <cfvo type="max"/>
        <color rgb="FFD6007B"/>
      </dataBar>
    </cfRule>
  </conditionalFormatting>
  <conditionalFormatting sqref="B146:C146">
    <cfRule type="colorScale" priority="123">
      <colorScale>
        <cfvo type="min"/>
        <cfvo type="percentile" val="50"/>
        <cfvo type="max"/>
        <color rgb="FFF8696B"/>
        <color rgb="FFFFEB84"/>
        <color rgb="FF5A8AC6"/>
      </colorScale>
    </cfRule>
    <cfRule type="dataBar" priority="122">
      <dataBar>
        <cfvo type="min"/>
        <cfvo type="max"/>
        <color rgb="FFD6007B"/>
      </dataBar>
    </cfRule>
  </conditionalFormatting>
  <conditionalFormatting sqref="B147:C156">
    <cfRule type="colorScale" priority="623">
      <colorScale>
        <cfvo type="min"/>
        <cfvo type="percentile" val="50"/>
        <cfvo type="max"/>
        <color rgb="FFF8696B"/>
        <color rgb="FFFFEB84"/>
        <color rgb="FF5A8AC6"/>
      </colorScale>
    </cfRule>
    <cfRule type="dataBar" priority="622">
      <dataBar>
        <cfvo type="min"/>
        <cfvo type="max"/>
        <color rgb="FFD6007B"/>
      </dataBar>
    </cfRule>
  </conditionalFormatting>
  <conditionalFormatting sqref="B158:C158">
    <cfRule type="dataBar" priority="106">
      <dataBar>
        <cfvo type="min"/>
        <cfvo type="max"/>
        <color rgb="FFD6007B"/>
      </dataBar>
    </cfRule>
    <cfRule type="colorScale" priority="107">
      <colorScale>
        <cfvo type="min"/>
        <cfvo type="percentile" val="50"/>
        <cfvo type="max"/>
        <color rgb="FFF8696B"/>
        <color rgb="FFFFEB84"/>
        <color rgb="FF5A8AC6"/>
      </colorScale>
    </cfRule>
  </conditionalFormatting>
  <conditionalFormatting sqref="B159:C168">
    <cfRule type="colorScale" priority="683">
      <colorScale>
        <cfvo type="min"/>
        <cfvo type="percentile" val="50"/>
        <cfvo type="max"/>
        <color rgb="FFF8696B"/>
        <color rgb="FFFFEB84"/>
        <color rgb="FF5A8AC6"/>
      </colorScale>
    </cfRule>
    <cfRule type="dataBar" priority="682">
      <dataBar>
        <cfvo type="min"/>
        <cfvo type="max"/>
        <color rgb="FFD6007B"/>
      </dataBar>
    </cfRule>
  </conditionalFormatting>
  <conditionalFormatting sqref="B170:C170">
    <cfRule type="colorScale" priority="91">
      <colorScale>
        <cfvo type="min"/>
        <cfvo type="percentile" val="50"/>
        <cfvo type="max"/>
        <color rgb="FFF8696B"/>
        <color rgb="FFFFEB84"/>
        <color rgb="FF5A8AC6"/>
      </colorScale>
    </cfRule>
    <cfRule type="dataBar" priority="90">
      <dataBar>
        <cfvo type="min"/>
        <cfvo type="max"/>
        <color rgb="FFD6007B"/>
      </dataBar>
    </cfRule>
  </conditionalFormatting>
  <conditionalFormatting sqref="B171:C181">
    <cfRule type="colorScale" priority="93">
      <colorScale>
        <cfvo type="min"/>
        <cfvo type="percentile" val="50"/>
        <cfvo type="max"/>
        <color rgb="FFF8696B"/>
        <color rgb="FFFFEB84"/>
        <color rgb="FF5A8AC6"/>
      </colorScale>
    </cfRule>
    <cfRule type="dataBar" priority="92">
      <dataBar>
        <cfvo type="min"/>
        <cfvo type="max"/>
        <color rgb="FFD6007B"/>
      </dataBar>
    </cfRule>
  </conditionalFormatting>
  <conditionalFormatting sqref="B182:C182">
    <cfRule type="dataBar" priority="74">
      <dataBar>
        <cfvo type="min"/>
        <cfvo type="max"/>
        <color rgb="FFD6007B"/>
      </dataBar>
    </cfRule>
    <cfRule type="colorScale" priority="75">
      <colorScale>
        <cfvo type="min"/>
        <cfvo type="percentile" val="50"/>
        <cfvo type="max"/>
        <color rgb="FFF8696B"/>
        <color rgb="FFFFEB84"/>
        <color rgb="FF5A8AC6"/>
      </colorScale>
    </cfRule>
  </conditionalFormatting>
  <conditionalFormatting sqref="B183:C192">
    <cfRule type="dataBar" priority="76">
      <dataBar>
        <cfvo type="min"/>
        <cfvo type="max"/>
        <color rgb="FFD6007B"/>
      </dataBar>
    </cfRule>
    <cfRule type="colorScale" priority="77">
      <colorScale>
        <cfvo type="min"/>
        <cfvo type="percentile" val="50"/>
        <cfvo type="max"/>
        <color rgb="FFF8696B"/>
        <color rgb="FFFFEB84"/>
        <color rgb="FF5A8AC6"/>
      </colorScale>
    </cfRule>
  </conditionalFormatting>
  <conditionalFormatting sqref="B193:C193">
    <cfRule type="dataBar" priority="52">
      <dataBar>
        <cfvo type="min"/>
        <cfvo type="max"/>
        <color rgb="FFD6007B"/>
      </dataBar>
    </cfRule>
    <cfRule type="colorScale" priority="53">
      <colorScale>
        <cfvo type="min"/>
        <cfvo type="percentile" val="50"/>
        <cfvo type="max"/>
        <color rgb="FFF8696B"/>
        <color rgb="FFFFEB84"/>
        <color rgb="FF5A8AC6"/>
      </colorScale>
    </cfRule>
  </conditionalFormatting>
  <conditionalFormatting sqref="B203:C203">
    <cfRule type="colorScale" priority="45">
      <colorScale>
        <cfvo type="min"/>
        <cfvo type="percentile" val="50"/>
        <cfvo type="max"/>
        <color rgb="FFF8696B"/>
        <color rgb="FFFFEB84"/>
        <color rgb="FF5A8AC6"/>
      </colorScale>
    </cfRule>
    <cfRule type="dataBar" priority="44">
      <dataBar>
        <cfvo type="min"/>
        <cfvo type="max"/>
        <color rgb="FFD6007B"/>
      </dataBar>
    </cfRule>
  </conditionalFormatting>
  <conditionalFormatting sqref="B205:C205">
    <cfRule type="dataBar" priority="40">
      <dataBar>
        <cfvo type="min"/>
        <cfvo type="max"/>
        <color rgb="FFD6007B"/>
      </dataBar>
    </cfRule>
    <cfRule type="colorScale" priority="41">
      <colorScale>
        <cfvo type="min"/>
        <cfvo type="percentile" val="50"/>
        <cfvo type="max"/>
        <color rgb="FFF8696B"/>
        <color rgb="FFFFEB84"/>
        <color rgb="FF5A8AC6"/>
      </colorScale>
    </cfRule>
  </conditionalFormatting>
  <conditionalFormatting sqref="B218:C233">
    <cfRule type="dataBar" priority="684">
      <dataBar>
        <cfvo type="min"/>
        <cfvo type="max"/>
        <color rgb="FFD6007B"/>
      </dataBar>
    </cfRule>
    <cfRule type="colorScale" priority="685">
      <colorScale>
        <cfvo type="min"/>
        <cfvo type="percentile" val="50"/>
        <cfvo type="max"/>
        <color rgb="FFF8696B"/>
        <color rgb="FFFFEB84"/>
        <color rgb="FF5A8AC6"/>
      </colorScale>
    </cfRule>
  </conditionalFormatting>
  <conditionalFormatting sqref="C206:C215">
    <cfRule type="colorScale" priority="43">
      <colorScale>
        <cfvo type="min"/>
        <cfvo type="percentile" val="50"/>
        <cfvo type="max"/>
        <color rgb="FFF8696B"/>
        <color rgb="FFFFEB84"/>
        <color rgb="FF5A8AC6"/>
      </colorScale>
    </cfRule>
    <cfRule type="dataBar" priority="42">
      <dataBar>
        <cfvo type="min"/>
        <cfvo type="max"/>
        <color rgb="FFD6007B"/>
      </dataBar>
    </cfRule>
  </conditionalFormatting>
  <conditionalFormatting sqref="D5:U21">
    <cfRule type="cellIs" dxfId="48" priority="61" operator="equal">
      <formula>-2</formula>
    </cfRule>
    <cfRule type="cellIs" dxfId="47" priority="60" operator="equal">
      <formula>-1</formula>
    </cfRule>
    <cfRule type="cellIs" dxfId="46" priority="59" operator="equal">
      <formula>0</formula>
    </cfRule>
    <cfRule type="cellIs" dxfId="45" priority="58" operator="equal">
      <formula>1</formula>
    </cfRule>
    <cfRule type="cellIs" dxfId="44" priority="57" operator="equal">
      <formula>2</formula>
    </cfRule>
    <cfRule type="cellIs" dxfId="43" priority="56" operator="greaterThan">
      <formula>2</formula>
    </cfRule>
  </conditionalFormatting>
  <conditionalFormatting sqref="D26:U35 D135:U143 E144:U144 D145">
    <cfRule type="cellIs" dxfId="42" priority="18" operator="equal">
      <formula>-1</formula>
    </cfRule>
    <cfRule type="cellIs" dxfId="41" priority="17" operator="equal">
      <formula>0</formula>
    </cfRule>
  </conditionalFormatting>
  <conditionalFormatting sqref="D38:U47">
    <cfRule type="cellIs" dxfId="40" priority="2" operator="equal">
      <formula>-1</formula>
    </cfRule>
    <cfRule type="cellIs" dxfId="39" priority="1" operator="equal">
      <formula>0</formula>
    </cfRule>
  </conditionalFormatting>
  <conditionalFormatting sqref="D51:U60">
    <cfRule type="cellIs" dxfId="38" priority="22" operator="equal">
      <formula>-1</formula>
    </cfRule>
    <cfRule type="cellIs" dxfId="37" priority="21" operator="equal">
      <formula>0</formula>
    </cfRule>
  </conditionalFormatting>
  <conditionalFormatting sqref="D63:U72">
    <cfRule type="cellIs" dxfId="36" priority="24" operator="equal">
      <formula>-1</formula>
    </cfRule>
    <cfRule type="cellIs" dxfId="35" priority="23" operator="equal">
      <formula>0</formula>
    </cfRule>
  </conditionalFormatting>
  <conditionalFormatting sqref="D75:U84">
    <cfRule type="cellIs" dxfId="34" priority="25" operator="equal">
      <formula>0</formula>
    </cfRule>
    <cfRule type="cellIs" dxfId="33" priority="26" operator="equal">
      <formula>-1</formula>
    </cfRule>
  </conditionalFormatting>
  <conditionalFormatting sqref="D87:U96">
    <cfRule type="cellIs" dxfId="32" priority="28" operator="equal">
      <formula>-1</formula>
    </cfRule>
    <cfRule type="cellIs" dxfId="31" priority="27" operator="equal">
      <formula>0</formula>
    </cfRule>
  </conditionalFormatting>
  <conditionalFormatting sqref="D99:U108">
    <cfRule type="cellIs" dxfId="30" priority="29" operator="equal">
      <formula>0</formula>
    </cfRule>
    <cfRule type="cellIs" dxfId="29" priority="31" operator="equal">
      <formula>-1</formula>
    </cfRule>
    <cfRule type="cellIs" dxfId="28" priority="30" operator="equal">
      <formula>-1</formula>
    </cfRule>
  </conditionalFormatting>
  <conditionalFormatting sqref="D111:U120">
    <cfRule type="cellIs" dxfId="27" priority="32" operator="equal">
      <formula>0</formula>
    </cfRule>
    <cfRule type="cellIs" dxfId="26" priority="33" operator="equal">
      <formula>-1</formula>
    </cfRule>
  </conditionalFormatting>
  <conditionalFormatting sqref="D123:U132">
    <cfRule type="cellIs" dxfId="25" priority="35" operator="equal">
      <formula>-1</formula>
    </cfRule>
    <cfRule type="cellIs" dxfId="24" priority="34" operator="equal">
      <formula>0</formula>
    </cfRule>
  </conditionalFormatting>
  <conditionalFormatting sqref="D147:U156">
    <cfRule type="cellIs" dxfId="23" priority="6" operator="equal">
      <formula>-1</formula>
    </cfRule>
    <cfRule type="cellIs" dxfId="22" priority="5" operator="equal">
      <formula>0</formula>
    </cfRule>
  </conditionalFormatting>
  <conditionalFormatting sqref="D159:U168">
    <cfRule type="cellIs" dxfId="21" priority="37" operator="equal">
      <formula>-1</formula>
    </cfRule>
    <cfRule type="cellIs" dxfId="20" priority="36" operator="equal">
      <formula>0</formula>
    </cfRule>
  </conditionalFormatting>
  <conditionalFormatting sqref="D171:U180">
    <cfRule type="cellIs" dxfId="19" priority="16" operator="equal">
      <formula>-1</formula>
    </cfRule>
    <cfRule type="cellIs" dxfId="18" priority="15" operator="equal">
      <formula>0</formula>
    </cfRule>
  </conditionalFormatting>
  <conditionalFormatting sqref="D183:U192">
    <cfRule type="cellIs" dxfId="17" priority="14" operator="equal">
      <formula>-1</formula>
    </cfRule>
    <cfRule type="cellIs" dxfId="16" priority="13" operator="equal">
      <formula>0</formula>
    </cfRule>
  </conditionalFormatting>
  <conditionalFormatting sqref="D194:U203">
    <cfRule type="cellIs" dxfId="15" priority="12" operator="equal">
      <formula>-1</formula>
    </cfRule>
    <cfRule type="cellIs" dxfId="14" priority="11" operator="equal">
      <formula>0</formula>
    </cfRule>
  </conditionalFormatting>
  <conditionalFormatting sqref="D206:U215">
    <cfRule type="cellIs" dxfId="13" priority="10" operator="equal">
      <formula>-1</formula>
    </cfRule>
    <cfRule type="cellIs" dxfId="12" priority="9" operator="equal">
      <formula>0</formula>
    </cfRule>
  </conditionalFormatting>
  <pageMargins left="0.70866141732283472" right="0.70866141732283472" top="2.3863636363636365E-2" bottom="0.74803149606299213" header="0.31496062992125984" footer="0.31496062992125984"/>
  <pageSetup paperSize="291" scale="15" orientation="landscape" horizontalDpi="4294967293" r:id="rId1"/>
  <drawing r:id="rId2"/>
  <tableParts count="37">
    <tablePart r:id="rId3"/>
    <tablePart r:id="rId4"/>
    <tablePart r:id="rId5"/>
    <tablePart r:id="rId6"/>
    <tablePart r:id="rId7"/>
    <tablePart r:id="rId8"/>
    <tablePart r:id="rId9"/>
    <tablePart r:id="rId10"/>
    <tablePart r:id="rId11"/>
    <tablePart r:id="rId12"/>
    <tablePart r:id="rId13"/>
    <tablePart r:id="rId14"/>
    <tablePart r:id="rId15"/>
    <tablePart r:id="rId16"/>
    <tablePart r:id="rId17"/>
    <tablePart r:id="rId18"/>
    <tablePart r:id="rId19"/>
    <tablePart r:id="rId20"/>
    <tablePart r:id="rId21"/>
    <tablePart r:id="rId22"/>
    <tablePart r:id="rId23"/>
    <tablePart r:id="rId24"/>
    <tablePart r:id="rId25"/>
    <tablePart r:id="rId26"/>
    <tablePart r:id="rId27"/>
    <tablePart r:id="rId28"/>
    <tablePart r:id="rId29"/>
    <tablePart r:id="rId30"/>
    <tablePart r:id="rId31"/>
    <tablePart r:id="rId32"/>
    <tablePart r:id="rId33"/>
    <tablePart r:id="rId34"/>
    <tablePart r:id="rId35"/>
    <tablePart r:id="rId36"/>
    <tablePart r:id="rId37"/>
    <tablePart r:id="rId38"/>
    <tablePart r:id="rId39"/>
  </tableParts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D3B54E-4261-4662-9C6C-09B532891E4A}">
  <sheetPr>
    <tabColor theme="0" tint="-0.499984740745262"/>
  </sheetPr>
  <dimension ref="B2:L20"/>
  <sheetViews>
    <sheetView workbookViewId="0">
      <selection activeCell="L24" sqref="L24"/>
    </sheetView>
  </sheetViews>
  <sheetFormatPr defaultRowHeight="15"/>
  <cols>
    <col min="3" max="3" width="14.42578125" customWidth="1"/>
    <col min="4" max="4" width="13.5703125" customWidth="1"/>
  </cols>
  <sheetData>
    <row r="2" spans="2:12">
      <c r="B2" t="s">
        <v>217</v>
      </c>
    </row>
    <row r="4" spans="2:12" ht="15.75" thickBot="1">
      <c r="D4" s="21">
        <v>1</v>
      </c>
      <c r="E4" s="21">
        <v>2</v>
      </c>
      <c r="F4" s="21">
        <v>3</v>
      </c>
      <c r="G4" s="21">
        <v>4</v>
      </c>
      <c r="H4" s="21">
        <v>5</v>
      </c>
      <c r="I4" s="21">
        <v>6</v>
      </c>
      <c r="J4" s="21">
        <v>7</v>
      </c>
      <c r="K4" s="21">
        <v>8</v>
      </c>
      <c r="L4" s="21">
        <v>9</v>
      </c>
    </row>
    <row r="5" spans="2:12">
      <c r="B5" s="270" t="s">
        <v>20</v>
      </c>
      <c r="C5" s="271" t="s">
        <v>21</v>
      </c>
      <c r="D5" s="281">
        <v>91</v>
      </c>
      <c r="E5" s="281">
        <v>78</v>
      </c>
      <c r="F5" s="281">
        <v>77</v>
      </c>
      <c r="G5" s="281">
        <v>73</v>
      </c>
      <c r="H5" s="281">
        <v>72</v>
      </c>
      <c r="I5" s="281">
        <v>70</v>
      </c>
      <c r="J5" s="281">
        <v>70</v>
      </c>
      <c r="K5" s="281">
        <v>69</v>
      </c>
      <c r="L5" s="281">
        <v>69</v>
      </c>
    </row>
    <row r="6" spans="2:12">
      <c r="B6" s="272" t="s">
        <v>24</v>
      </c>
      <c r="C6" s="273" t="s">
        <v>25</v>
      </c>
      <c r="D6" s="274">
        <v>107</v>
      </c>
      <c r="E6" s="274">
        <v>107</v>
      </c>
      <c r="F6" s="274">
        <v>107</v>
      </c>
      <c r="G6" s="274">
        <v>107</v>
      </c>
      <c r="H6" s="274">
        <v>107</v>
      </c>
      <c r="I6" s="274">
        <v>107</v>
      </c>
      <c r="J6" s="274">
        <v>107</v>
      </c>
      <c r="K6" s="274">
        <v>107</v>
      </c>
      <c r="L6" s="274">
        <v>105</v>
      </c>
    </row>
    <row r="7" spans="2:12">
      <c r="B7" s="275" t="s">
        <v>22</v>
      </c>
      <c r="C7" s="276" t="s">
        <v>23</v>
      </c>
      <c r="D7" s="277">
        <v>98</v>
      </c>
      <c r="E7" s="277">
        <v>98</v>
      </c>
      <c r="F7" s="277">
        <v>85</v>
      </c>
      <c r="G7" s="277">
        <v>81</v>
      </c>
      <c r="H7" s="277">
        <v>79</v>
      </c>
      <c r="I7" s="277">
        <v>78</v>
      </c>
      <c r="J7" s="277">
        <v>77</v>
      </c>
      <c r="K7" s="277">
        <v>77</v>
      </c>
      <c r="L7" s="277">
        <v>77</v>
      </c>
    </row>
    <row r="8" spans="2:12">
      <c r="B8" s="272" t="s">
        <v>32</v>
      </c>
      <c r="C8" s="273" t="s">
        <v>33</v>
      </c>
      <c r="D8" s="274">
        <v>111</v>
      </c>
      <c r="E8" s="274">
        <v>93</v>
      </c>
      <c r="F8" s="274">
        <v>91</v>
      </c>
      <c r="G8" s="274">
        <v>84</v>
      </c>
      <c r="H8" s="274">
        <v>84</v>
      </c>
      <c r="I8" s="274">
        <v>83</v>
      </c>
      <c r="J8" s="274">
        <v>83</v>
      </c>
      <c r="K8" s="274">
        <v>81</v>
      </c>
      <c r="L8" s="274">
        <v>81</v>
      </c>
    </row>
    <row r="9" spans="2:12">
      <c r="B9" s="275" t="s">
        <v>28</v>
      </c>
      <c r="C9" s="276" t="s">
        <v>29</v>
      </c>
      <c r="D9" s="277">
        <v>110</v>
      </c>
      <c r="E9" s="277">
        <v>95</v>
      </c>
      <c r="F9" s="277">
        <v>85</v>
      </c>
      <c r="G9" s="277">
        <v>80</v>
      </c>
      <c r="H9" s="277">
        <v>80</v>
      </c>
      <c r="I9" s="277">
        <v>80</v>
      </c>
      <c r="J9" s="277">
        <v>80</v>
      </c>
      <c r="K9" s="277">
        <v>76</v>
      </c>
      <c r="L9" s="277">
        <v>75</v>
      </c>
    </row>
    <row r="10" spans="2:12">
      <c r="B10" s="272" t="s">
        <v>37</v>
      </c>
      <c r="C10" s="273" t="s">
        <v>38</v>
      </c>
      <c r="D10" s="274">
        <v>109</v>
      </c>
      <c r="E10" s="274">
        <v>109</v>
      </c>
      <c r="F10" s="274">
        <v>109</v>
      </c>
      <c r="G10" s="274">
        <v>109</v>
      </c>
      <c r="H10" s="274">
        <v>100</v>
      </c>
      <c r="I10" s="274">
        <v>100</v>
      </c>
      <c r="J10" s="274">
        <v>96</v>
      </c>
      <c r="K10" s="274">
        <v>96</v>
      </c>
      <c r="L10" s="274">
        <v>96</v>
      </c>
    </row>
    <row r="11" spans="2:12">
      <c r="B11" s="275" t="s">
        <v>30</v>
      </c>
      <c r="C11" s="276" t="s">
        <v>31</v>
      </c>
      <c r="D11" s="277">
        <v>100</v>
      </c>
      <c r="E11" s="277">
        <v>94</v>
      </c>
      <c r="F11" s="277">
        <v>86</v>
      </c>
      <c r="G11" s="277">
        <v>84</v>
      </c>
      <c r="H11" s="277">
        <v>83</v>
      </c>
      <c r="I11" s="277">
        <v>83</v>
      </c>
      <c r="J11" s="277">
        <v>83</v>
      </c>
      <c r="K11" s="277">
        <v>83</v>
      </c>
      <c r="L11" s="277">
        <v>82</v>
      </c>
    </row>
    <row r="12" spans="2:12">
      <c r="B12" s="272" t="s">
        <v>20</v>
      </c>
      <c r="C12" s="273" t="s">
        <v>34</v>
      </c>
      <c r="D12" s="274">
        <v>115</v>
      </c>
      <c r="E12" s="274">
        <v>89</v>
      </c>
      <c r="F12" s="274">
        <v>84</v>
      </c>
      <c r="G12" s="274">
        <v>83</v>
      </c>
      <c r="H12" s="274">
        <v>81</v>
      </c>
      <c r="I12" s="274">
        <v>81</v>
      </c>
      <c r="J12" s="274">
        <v>81</v>
      </c>
      <c r="K12" s="274">
        <v>81</v>
      </c>
      <c r="L12" s="274">
        <v>77</v>
      </c>
    </row>
    <row r="13" spans="2:12">
      <c r="B13" s="275" t="s">
        <v>42</v>
      </c>
      <c r="C13" s="276" t="s">
        <v>27</v>
      </c>
      <c r="D13" s="277">
        <v>111</v>
      </c>
      <c r="E13" s="277">
        <v>98</v>
      </c>
      <c r="F13" s="277">
        <v>98</v>
      </c>
      <c r="G13" s="277">
        <v>95</v>
      </c>
      <c r="H13" s="277">
        <v>91</v>
      </c>
      <c r="I13" s="277">
        <v>88</v>
      </c>
      <c r="J13" s="277">
        <v>88</v>
      </c>
      <c r="K13" s="277">
        <v>88</v>
      </c>
      <c r="L13" s="277">
        <v>84</v>
      </c>
    </row>
    <row r="14" spans="2:12">
      <c r="B14" s="272" t="s">
        <v>32</v>
      </c>
      <c r="C14" s="273" t="s">
        <v>41</v>
      </c>
      <c r="D14" s="274">
        <v>106</v>
      </c>
      <c r="E14" s="274">
        <v>100</v>
      </c>
      <c r="F14" s="274">
        <v>92</v>
      </c>
      <c r="G14" s="274">
        <v>90</v>
      </c>
      <c r="H14" s="274">
        <v>90</v>
      </c>
      <c r="I14" s="274">
        <v>90</v>
      </c>
      <c r="J14" s="274">
        <v>87</v>
      </c>
      <c r="K14" s="274">
        <v>87</v>
      </c>
      <c r="L14" s="274">
        <v>87</v>
      </c>
    </row>
    <row r="15" spans="2:12">
      <c r="B15" s="275" t="s">
        <v>26</v>
      </c>
      <c r="C15" s="276" t="s">
        <v>27</v>
      </c>
      <c r="D15" s="277">
        <v>86</v>
      </c>
      <c r="E15" s="277">
        <v>86</v>
      </c>
      <c r="F15" s="277">
        <v>78</v>
      </c>
      <c r="G15" s="277">
        <v>78</v>
      </c>
      <c r="H15" s="277">
        <v>76</v>
      </c>
      <c r="I15" s="277">
        <v>76</v>
      </c>
      <c r="J15" s="277">
        <v>75</v>
      </c>
      <c r="K15" s="277">
        <v>75</v>
      </c>
      <c r="L15" s="277">
        <v>73</v>
      </c>
    </row>
    <row r="16" spans="2:12">
      <c r="B16" s="272" t="s">
        <v>35</v>
      </c>
      <c r="C16" s="273" t="s">
        <v>36</v>
      </c>
      <c r="D16" s="274">
        <v>104</v>
      </c>
      <c r="E16" s="274">
        <v>94</v>
      </c>
      <c r="F16" s="274">
        <v>88</v>
      </c>
      <c r="G16" s="274">
        <v>88</v>
      </c>
      <c r="H16" s="274">
        <v>88</v>
      </c>
      <c r="I16" s="274">
        <v>88</v>
      </c>
      <c r="J16" s="274">
        <v>86</v>
      </c>
      <c r="K16" s="274">
        <v>85</v>
      </c>
      <c r="L16" s="274">
        <v>85</v>
      </c>
    </row>
    <row r="17" spans="2:12">
      <c r="B17" s="275" t="s">
        <v>43</v>
      </c>
      <c r="C17" s="276" t="s">
        <v>44</v>
      </c>
      <c r="D17" s="277">
        <v>93</v>
      </c>
      <c r="E17" s="277">
        <v>93</v>
      </c>
      <c r="F17" s="277">
        <v>82</v>
      </c>
      <c r="G17" s="277">
        <v>76</v>
      </c>
      <c r="H17" s="277">
        <v>76</v>
      </c>
      <c r="I17" s="277">
        <v>74</v>
      </c>
      <c r="J17" s="277">
        <v>73</v>
      </c>
      <c r="K17" s="277">
        <v>73</v>
      </c>
      <c r="L17" s="277">
        <v>73</v>
      </c>
    </row>
    <row r="18" spans="2:12">
      <c r="B18" s="272" t="s">
        <v>62</v>
      </c>
      <c r="C18" s="273" t="s">
        <v>40</v>
      </c>
      <c r="D18" s="274">
        <v>104</v>
      </c>
      <c r="E18" s="274">
        <v>92</v>
      </c>
      <c r="F18" s="274">
        <v>88</v>
      </c>
      <c r="G18" s="274">
        <v>85</v>
      </c>
      <c r="H18" s="274">
        <v>84</v>
      </c>
      <c r="I18" s="274">
        <v>81</v>
      </c>
      <c r="J18" s="274">
        <v>78</v>
      </c>
      <c r="K18" s="274">
        <v>77</v>
      </c>
      <c r="L18" s="274">
        <v>77</v>
      </c>
    </row>
    <row r="19" spans="2:12">
      <c r="B19" s="275" t="s">
        <v>45</v>
      </c>
      <c r="C19" s="276" t="s">
        <v>46</v>
      </c>
      <c r="D19" s="277">
        <v>95</v>
      </c>
      <c r="E19" s="277">
        <v>89</v>
      </c>
      <c r="F19" s="277">
        <v>89</v>
      </c>
      <c r="G19" s="277">
        <v>80</v>
      </c>
      <c r="H19" s="277">
        <v>78</v>
      </c>
      <c r="I19" s="277">
        <v>78</v>
      </c>
      <c r="J19" s="277">
        <v>78</v>
      </c>
      <c r="K19" s="277">
        <v>76</v>
      </c>
      <c r="L19" s="277">
        <v>76</v>
      </c>
    </row>
    <row r="20" spans="2:12" ht="15.75" thickBot="1">
      <c r="B20" s="278" t="s">
        <v>47</v>
      </c>
      <c r="C20" s="279" t="s">
        <v>27</v>
      </c>
      <c r="D20" s="280">
        <v>122</v>
      </c>
      <c r="E20" s="280">
        <v>99</v>
      </c>
      <c r="F20" s="280">
        <v>94</v>
      </c>
      <c r="G20" s="280">
        <v>92</v>
      </c>
      <c r="H20" s="280">
        <v>90</v>
      </c>
      <c r="I20" s="280">
        <v>86</v>
      </c>
      <c r="J20" s="280">
        <v>85</v>
      </c>
      <c r="K20" s="280">
        <v>85</v>
      </c>
      <c r="L20" s="280">
        <v>84</v>
      </c>
    </row>
  </sheetData>
  <conditionalFormatting sqref="D5:L20">
    <cfRule type="iconSet" priority="1">
      <iconSet iconSet="5ArrowsGray" reverse="1">
        <cfvo type="percent" val="0"/>
        <cfvo type="percent" val="20"/>
        <cfvo type="percent" val="40"/>
        <cfvo type="percent" val="60"/>
        <cfvo type="percent" val="80"/>
      </iconSet>
    </cfRule>
  </conditionalFormatting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DEA90F-CCFD-4ACC-BBFF-3A1F9795008D}">
  <sheetPr>
    <tabColor theme="0" tint="-0.499984740745262"/>
  </sheetPr>
  <dimension ref="B2:W109"/>
  <sheetViews>
    <sheetView tabSelected="1" topLeftCell="A86" workbookViewId="0">
      <selection activeCell="V72" sqref="V72"/>
    </sheetView>
  </sheetViews>
  <sheetFormatPr defaultRowHeight="15"/>
  <cols>
    <col min="3" max="3" width="12.5703125" customWidth="1"/>
    <col min="4" max="4" width="10.7109375" customWidth="1"/>
  </cols>
  <sheetData>
    <row r="2" spans="2:7" ht="30">
      <c r="D2" s="266" t="s">
        <v>196</v>
      </c>
      <c r="E2" s="266" t="s">
        <v>197</v>
      </c>
      <c r="F2" s="266" t="s">
        <v>198</v>
      </c>
      <c r="G2" s="266" t="s">
        <v>199</v>
      </c>
    </row>
    <row r="3" spans="2:7">
      <c r="B3" s="221" t="s">
        <v>20</v>
      </c>
      <c r="C3" s="221" t="s">
        <v>21</v>
      </c>
      <c r="D3" s="265">
        <v>2.4000000000000057</v>
      </c>
      <c r="E3" s="265">
        <v>-1.4699999999999989</v>
      </c>
      <c r="F3" s="265">
        <v>1.2000000000000028</v>
      </c>
      <c r="G3" s="265">
        <v>-0.34000000000000341</v>
      </c>
    </row>
    <row r="4" spans="2:7">
      <c r="B4" s="221" t="s">
        <v>22</v>
      </c>
      <c r="C4" s="221" t="s">
        <v>23</v>
      </c>
      <c r="D4" s="265">
        <v>2.3999999999999915</v>
      </c>
      <c r="E4" s="265">
        <v>0.44999999999998863</v>
      </c>
      <c r="F4" s="265">
        <v>2.3999999999999915</v>
      </c>
      <c r="G4" s="265">
        <v>3.4499999999999886</v>
      </c>
    </row>
    <row r="5" spans="2:7">
      <c r="B5" s="221" t="s">
        <v>24</v>
      </c>
      <c r="C5" s="221" t="s">
        <v>25</v>
      </c>
      <c r="D5" s="265">
        <v>0</v>
      </c>
      <c r="E5" s="265">
        <v>-3.394999999999996</v>
      </c>
      <c r="F5" s="265">
        <v>0.79999999999999716</v>
      </c>
      <c r="G5" s="265">
        <v>-2.6149999999999949</v>
      </c>
    </row>
    <row r="6" spans="2:7">
      <c r="B6" s="221" t="s">
        <v>26</v>
      </c>
      <c r="C6" s="221" t="s">
        <v>135</v>
      </c>
      <c r="D6" s="265">
        <v>1.7999999999999972</v>
      </c>
      <c r="E6" s="265">
        <v>-7.5300000000000011</v>
      </c>
      <c r="F6" s="265">
        <v>0.20000000000000284</v>
      </c>
      <c r="G6" s="265">
        <v>-5.7049999999999983</v>
      </c>
    </row>
    <row r="7" spans="2:7">
      <c r="B7" s="221" t="s">
        <v>28</v>
      </c>
      <c r="C7" s="221" t="s">
        <v>29</v>
      </c>
      <c r="D7" s="265">
        <v>0.20000000000000284</v>
      </c>
      <c r="E7" s="265">
        <v>-1.0250000000000199</v>
      </c>
      <c r="F7" s="265">
        <v>1.4000000000000057</v>
      </c>
      <c r="G7" s="265">
        <v>0.33000000000001251</v>
      </c>
    </row>
    <row r="8" spans="2:7">
      <c r="B8" s="221" t="s">
        <v>30</v>
      </c>
      <c r="C8" s="221" t="s">
        <v>31</v>
      </c>
      <c r="D8" s="265">
        <v>2</v>
      </c>
      <c r="E8" s="265">
        <v>-3.7349999999999994</v>
      </c>
      <c r="F8" s="265">
        <v>1.5999999999999943</v>
      </c>
      <c r="G8" s="265">
        <v>0.53499999999999659</v>
      </c>
    </row>
    <row r="9" spans="2:7">
      <c r="B9" s="221" t="s">
        <v>32</v>
      </c>
      <c r="C9" s="221" t="s">
        <v>33</v>
      </c>
      <c r="D9" s="265">
        <v>-1.6000000000000085</v>
      </c>
      <c r="E9" s="265">
        <v>-1.4500000000000171</v>
      </c>
      <c r="F9" s="265">
        <v>-1</v>
      </c>
      <c r="G9" s="265">
        <v>-1.1949999999999932</v>
      </c>
    </row>
    <row r="10" spans="2:7">
      <c r="B10" s="221" t="s">
        <v>20</v>
      </c>
      <c r="C10" s="221" t="s">
        <v>34</v>
      </c>
      <c r="D10" s="265">
        <v>2.2000000000000028</v>
      </c>
      <c r="E10" s="265">
        <v>1.4000000000000057</v>
      </c>
      <c r="F10" s="265">
        <v>2</v>
      </c>
      <c r="G10" s="265">
        <v>2.7333333333333343</v>
      </c>
    </row>
    <row r="11" spans="2:7">
      <c r="B11" s="221" t="s">
        <v>35</v>
      </c>
      <c r="C11" s="221" t="s">
        <v>36</v>
      </c>
      <c r="D11" s="265">
        <v>-2.5999999999999943</v>
      </c>
      <c r="E11" s="265">
        <v>-12.322222222222209</v>
      </c>
      <c r="F11" s="265">
        <v>-1.3999999999999915</v>
      </c>
      <c r="G11" s="265">
        <v>-4.2499999999999858</v>
      </c>
    </row>
    <row r="12" spans="2:7">
      <c r="B12" s="221" t="s">
        <v>37</v>
      </c>
      <c r="C12" s="221" t="s">
        <v>38</v>
      </c>
      <c r="D12" s="265">
        <v>10.199999999999989</v>
      </c>
      <c r="E12" s="265">
        <v>8.64</v>
      </c>
      <c r="F12" s="265">
        <v>10.400000000000006</v>
      </c>
      <c r="G12" s="265">
        <v>9.9450000000000074</v>
      </c>
    </row>
    <row r="13" spans="2:7">
      <c r="B13" s="221" t="s">
        <v>39</v>
      </c>
      <c r="C13" s="221" t="s">
        <v>40</v>
      </c>
      <c r="D13" s="265">
        <v>14.400000000000006</v>
      </c>
      <c r="E13" s="265">
        <v>3.3625000000000114</v>
      </c>
      <c r="F13" s="265">
        <v>18.800000000000011</v>
      </c>
      <c r="G13" s="265">
        <v>12.33750000000002</v>
      </c>
    </row>
    <row r="14" spans="2:7">
      <c r="B14" s="221" t="s">
        <v>32</v>
      </c>
      <c r="C14" s="221" t="s">
        <v>41</v>
      </c>
      <c r="D14" s="265">
        <v>2.2000000000000028</v>
      </c>
      <c r="E14" s="265">
        <v>-8.7950000000000017</v>
      </c>
      <c r="F14" s="265">
        <v>4.3999999999999915</v>
      </c>
      <c r="G14" s="265">
        <v>0.83124999999998295</v>
      </c>
    </row>
    <row r="15" spans="2:7">
      <c r="B15" s="221" t="s">
        <v>42</v>
      </c>
      <c r="C15" s="221" t="s">
        <v>134</v>
      </c>
      <c r="D15" s="265">
        <v>-6</v>
      </c>
      <c r="E15" s="265">
        <v>-8.3150000000000119</v>
      </c>
      <c r="F15" s="265">
        <v>-3.6000000000000085</v>
      </c>
      <c r="G15" s="265">
        <v>-7.1099999999999994</v>
      </c>
    </row>
    <row r="16" spans="2:7">
      <c r="B16" s="221" t="s">
        <v>43</v>
      </c>
      <c r="C16" s="221" t="s">
        <v>44</v>
      </c>
      <c r="D16" s="265">
        <v>-5.6000000000000085</v>
      </c>
      <c r="E16" s="265">
        <v>-6.7642857142857196</v>
      </c>
      <c r="F16" s="265">
        <v>-5.4000000000000057</v>
      </c>
      <c r="G16" s="265">
        <v>-7.692857142857136</v>
      </c>
    </row>
    <row r="17" spans="2:12">
      <c r="B17" s="221" t="s">
        <v>45</v>
      </c>
      <c r="C17" s="221" t="s">
        <v>46</v>
      </c>
      <c r="D17" s="265">
        <v>-3</v>
      </c>
      <c r="E17" s="265">
        <v>-9.4625000000000057</v>
      </c>
      <c r="F17" s="265">
        <v>-1.4000000000000057</v>
      </c>
      <c r="G17" s="265">
        <v>-5.5437500000000028</v>
      </c>
    </row>
    <row r="21" spans="2:12">
      <c r="D21">
        <v>1</v>
      </c>
      <c r="E21">
        <v>2</v>
      </c>
      <c r="F21">
        <v>3</v>
      </c>
      <c r="G21">
        <v>4</v>
      </c>
      <c r="H21">
        <v>5</v>
      </c>
      <c r="I21">
        <v>6</v>
      </c>
      <c r="J21">
        <v>7</v>
      </c>
      <c r="K21">
        <v>8</v>
      </c>
      <c r="L21">
        <v>9</v>
      </c>
    </row>
    <row r="22" spans="2:12">
      <c r="B22" s="221" t="s">
        <v>20</v>
      </c>
      <c r="C22" s="221" t="s">
        <v>21</v>
      </c>
      <c r="D22">
        <v>9</v>
      </c>
      <c r="E22">
        <v>17</v>
      </c>
      <c r="F22">
        <v>25</v>
      </c>
      <c r="G22">
        <v>32</v>
      </c>
      <c r="H22">
        <v>45</v>
      </c>
      <c r="I22">
        <v>48</v>
      </c>
      <c r="J22">
        <v>55</v>
      </c>
      <c r="K22">
        <v>62</v>
      </c>
      <c r="L22">
        <v>70</v>
      </c>
    </row>
    <row r="23" spans="2:12">
      <c r="B23" s="221" t="s">
        <v>22</v>
      </c>
      <c r="C23" s="221" t="s">
        <v>23</v>
      </c>
      <c r="D23">
        <v>8</v>
      </c>
      <c r="E23">
        <v>18</v>
      </c>
      <c r="F23">
        <v>25</v>
      </c>
      <c r="G23">
        <v>34</v>
      </c>
      <c r="H23">
        <v>42</v>
      </c>
      <c r="I23">
        <v>48</v>
      </c>
      <c r="J23">
        <v>59</v>
      </c>
      <c r="K23">
        <v>67</v>
      </c>
      <c r="L23">
        <v>77</v>
      </c>
    </row>
    <row r="24" spans="2:12">
      <c r="B24" s="221" t="s">
        <v>24</v>
      </c>
      <c r="C24" s="221" t="s">
        <v>25</v>
      </c>
      <c r="D24">
        <v>8</v>
      </c>
      <c r="E24">
        <v>15</v>
      </c>
      <c r="F24">
        <v>22</v>
      </c>
      <c r="G24">
        <v>33</v>
      </c>
      <c r="H24">
        <v>43</v>
      </c>
      <c r="I24">
        <v>50</v>
      </c>
      <c r="J24">
        <v>59</v>
      </c>
      <c r="K24">
        <v>69</v>
      </c>
      <c r="L24">
        <v>76</v>
      </c>
    </row>
    <row r="25" spans="2:12">
      <c r="B25" s="221" t="s">
        <v>26</v>
      </c>
      <c r="C25" s="221" t="s">
        <v>135</v>
      </c>
      <c r="D25">
        <v>7</v>
      </c>
      <c r="E25">
        <v>19</v>
      </c>
      <c r="F25">
        <v>19</v>
      </c>
      <c r="G25">
        <v>28</v>
      </c>
      <c r="H25">
        <v>39</v>
      </c>
      <c r="I25">
        <v>42</v>
      </c>
      <c r="J25">
        <v>48</v>
      </c>
      <c r="K25">
        <v>54</v>
      </c>
      <c r="L25">
        <v>61</v>
      </c>
    </row>
    <row r="26" spans="2:12">
      <c r="B26" s="221" t="s">
        <v>28</v>
      </c>
      <c r="C26" s="221" t="s">
        <v>29</v>
      </c>
      <c r="D26">
        <v>12</v>
      </c>
      <c r="E26">
        <v>20</v>
      </c>
      <c r="F26">
        <v>32</v>
      </c>
      <c r="G26">
        <v>45</v>
      </c>
      <c r="H26">
        <v>54</v>
      </c>
      <c r="I26">
        <v>59</v>
      </c>
      <c r="J26">
        <v>66</v>
      </c>
      <c r="K26">
        <v>76</v>
      </c>
      <c r="L26">
        <v>85</v>
      </c>
    </row>
    <row r="27" spans="2:12">
      <c r="B27" s="221" t="s">
        <v>30</v>
      </c>
      <c r="C27" s="221" t="s">
        <v>31</v>
      </c>
      <c r="D27">
        <v>9</v>
      </c>
      <c r="E27">
        <v>14</v>
      </c>
      <c r="F27">
        <v>21</v>
      </c>
      <c r="G27">
        <v>35</v>
      </c>
      <c r="H27">
        <v>47</v>
      </c>
      <c r="I27">
        <v>51</v>
      </c>
      <c r="J27">
        <v>60</v>
      </c>
      <c r="K27">
        <v>67</v>
      </c>
      <c r="L27">
        <v>73</v>
      </c>
    </row>
    <row r="28" spans="2:12">
      <c r="B28" s="221" t="s">
        <v>32</v>
      </c>
      <c r="C28" s="221" t="s">
        <v>33</v>
      </c>
      <c r="D28">
        <v>10</v>
      </c>
      <c r="E28">
        <v>18</v>
      </c>
      <c r="F28">
        <v>20</v>
      </c>
      <c r="G28">
        <v>28</v>
      </c>
      <c r="H28">
        <v>39</v>
      </c>
      <c r="I28">
        <v>45</v>
      </c>
      <c r="J28">
        <v>52</v>
      </c>
      <c r="K28">
        <v>60</v>
      </c>
      <c r="L28">
        <v>60</v>
      </c>
    </row>
    <row r="29" spans="2:12">
      <c r="B29" s="221" t="s">
        <v>20</v>
      </c>
      <c r="C29" s="221" t="s">
        <v>34</v>
      </c>
      <c r="D29">
        <v>6</v>
      </c>
      <c r="E29">
        <v>6</v>
      </c>
      <c r="F29">
        <v>11</v>
      </c>
      <c r="G29">
        <v>11</v>
      </c>
      <c r="H29">
        <v>23</v>
      </c>
      <c r="I29">
        <v>29</v>
      </c>
      <c r="J29">
        <v>39</v>
      </c>
      <c r="K29">
        <v>46</v>
      </c>
      <c r="L29">
        <v>46</v>
      </c>
    </row>
    <row r="30" spans="2:12">
      <c r="B30" s="221" t="s">
        <v>35</v>
      </c>
      <c r="C30" s="221" t="s">
        <v>36</v>
      </c>
      <c r="D30">
        <v>6</v>
      </c>
      <c r="E30">
        <v>6</v>
      </c>
      <c r="F30">
        <v>6</v>
      </c>
      <c r="G30">
        <v>6</v>
      </c>
      <c r="H30">
        <v>15</v>
      </c>
      <c r="I30">
        <v>22</v>
      </c>
      <c r="J30">
        <v>29</v>
      </c>
      <c r="K30">
        <v>34</v>
      </c>
      <c r="L30">
        <v>43</v>
      </c>
    </row>
    <row r="31" spans="2:12">
      <c r="B31" s="221" t="s">
        <v>37</v>
      </c>
      <c r="C31" s="221" t="s">
        <v>38</v>
      </c>
      <c r="D31">
        <v>6</v>
      </c>
      <c r="E31">
        <v>6</v>
      </c>
      <c r="F31">
        <v>12</v>
      </c>
      <c r="G31">
        <v>25</v>
      </c>
      <c r="H31">
        <v>34</v>
      </c>
      <c r="I31">
        <v>40</v>
      </c>
      <c r="J31">
        <v>47</v>
      </c>
      <c r="K31">
        <v>52</v>
      </c>
      <c r="L31">
        <v>56</v>
      </c>
    </row>
    <row r="32" spans="2:12">
      <c r="B32" s="221" t="s">
        <v>39</v>
      </c>
      <c r="C32" s="221" t="s">
        <v>40</v>
      </c>
      <c r="D32">
        <v>5</v>
      </c>
      <c r="E32">
        <v>14</v>
      </c>
      <c r="F32">
        <v>19</v>
      </c>
      <c r="G32">
        <v>28</v>
      </c>
      <c r="H32">
        <v>41</v>
      </c>
      <c r="I32">
        <v>46</v>
      </c>
      <c r="J32">
        <v>53</v>
      </c>
      <c r="K32">
        <v>59</v>
      </c>
      <c r="L32">
        <v>65</v>
      </c>
    </row>
    <row r="33" spans="2:12">
      <c r="B33" s="221" t="s">
        <v>32</v>
      </c>
      <c r="C33" s="221" t="s">
        <v>41</v>
      </c>
      <c r="D33">
        <v>13</v>
      </c>
      <c r="E33">
        <v>22</v>
      </c>
      <c r="F33">
        <v>29</v>
      </c>
      <c r="G33">
        <v>42</v>
      </c>
      <c r="H33">
        <v>49</v>
      </c>
      <c r="I33">
        <v>49</v>
      </c>
      <c r="J33">
        <v>52</v>
      </c>
      <c r="K33">
        <v>58</v>
      </c>
      <c r="L33">
        <v>58</v>
      </c>
    </row>
    <row r="34" spans="2:12">
      <c r="B34" s="221" t="s">
        <v>42</v>
      </c>
      <c r="C34" s="221" t="s">
        <v>134</v>
      </c>
      <c r="D34">
        <v>8</v>
      </c>
      <c r="E34">
        <v>13</v>
      </c>
      <c r="F34">
        <v>23</v>
      </c>
      <c r="G34">
        <v>33</v>
      </c>
      <c r="H34">
        <v>46</v>
      </c>
      <c r="I34">
        <v>54</v>
      </c>
      <c r="J34">
        <v>54</v>
      </c>
      <c r="K34">
        <v>60</v>
      </c>
      <c r="L34">
        <v>67</v>
      </c>
    </row>
    <row r="35" spans="2:12">
      <c r="B35" s="221" t="s">
        <v>43</v>
      </c>
      <c r="C35" s="221" t="s">
        <v>44</v>
      </c>
      <c r="D35">
        <v>6</v>
      </c>
      <c r="E35">
        <v>11</v>
      </c>
      <c r="F35">
        <v>18</v>
      </c>
      <c r="G35">
        <v>26</v>
      </c>
      <c r="H35">
        <v>26</v>
      </c>
      <c r="I35">
        <v>34</v>
      </c>
      <c r="J35">
        <v>34</v>
      </c>
      <c r="K35">
        <v>44</v>
      </c>
      <c r="L35">
        <v>52</v>
      </c>
    </row>
    <row r="36" spans="2:12">
      <c r="B36" s="221" t="s">
        <v>45</v>
      </c>
      <c r="C36" s="221" t="s">
        <v>46</v>
      </c>
      <c r="D36">
        <v>3</v>
      </c>
      <c r="E36">
        <v>13</v>
      </c>
      <c r="F36">
        <v>19</v>
      </c>
      <c r="G36">
        <v>26</v>
      </c>
      <c r="H36">
        <v>26</v>
      </c>
      <c r="I36">
        <v>26</v>
      </c>
      <c r="J36">
        <v>35</v>
      </c>
      <c r="K36">
        <v>35</v>
      </c>
      <c r="L36">
        <v>44</v>
      </c>
    </row>
    <row r="37" spans="2:12">
      <c r="B37" s="221" t="s">
        <v>47</v>
      </c>
      <c r="C37" s="221" t="s">
        <v>70</v>
      </c>
      <c r="D37">
        <v>5</v>
      </c>
      <c r="E37">
        <v>11</v>
      </c>
      <c r="F37">
        <v>17</v>
      </c>
      <c r="G37">
        <v>27</v>
      </c>
      <c r="H37">
        <v>35</v>
      </c>
      <c r="I37">
        <v>40</v>
      </c>
      <c r="J37">
        <v>52</v>
      </c>
      <c r="K37">
        <v>61</v>
      </c>
      <c r="L37">
        <v>74</v>
      </c>
    </row>
    <row r="56" spans="2:23">
      <c r="B56" t="s">
        <v>200</v>
      </c>
    </row>
    <row r="58" spans="2:23">
      <c r="B58" s="212" t="s">
        <v>30</v>
      </c>
      <c r="C58" s="213" t="s">
        <v>31</v>
      </c>
      <c r="D58" s="285">
        <f>SMALL(Tabell7[1],1)</f>
        <v>0</v>
      </c>
      <c r="E58" s="285">
        <f>SMALL(Tabell7[2],1)</f>
        <v>1</v>
      </c>
      <c r="F58" s="285">
        <v>2</v>
      </c>
      <c r="G58" s="285">
        <v>3</v>
      </c>
      <c r="H58" s="285">
        <v>4</v>
      </c>
      <c r="I58" s="285">
        <v>4</v>
      </c>
      <c r="J58" s="285">
        <v>5</v>
      </c>
      <c r="K58" s="285">
        <v>6</v>
      </c>
      <c r="L58" s="285">
        <v>6</v>
      </c>
      <c r="M58" s="285">
        <v>6</v>
      </c>
      <c r="N58" s="285">
        <v>7</v>
      </c>
      <c r="O58" s="285">
        <v>8</v>
      </c>
      <c r="P58" s="285">
        <v>8</v>
      </c>
      <c r="Q58" s="285">
        <v>9</v>
      </c>
      <c r="R58" s="285">
        <v>9</v>
      </c>
      <c r="S58" s="285">
        <v>10</v>
      </c>
      <c r="T58" s="285">
        <v>11</v>
      </c>
      <c r="U58" s="285">
        <v>11</v>
      </c>
      <c r="W58" s="287">
        <v>83</v>
      </c>
    </row>
    <row r="59" spans="2:23">
      <c r="B59" s="214" t="s">
        <v>28</v>
      </c>
      <c r="C59" s="215" t="s">
        <v>29</v>
      </c>
      <c r="D59" s="286">
        <f>SMALL(Tabell714[1],1)</f>
        <v>0</v>
      </c>
      <c r="E59" s="286">
        <f>SMALL(Tabell714[2],1)</f>
        <v>0</v>
      </c>
      <c r="F59" s="286">
        <f>SMALL(Tabell714[3],1)</f>
        <v>1</v>
      </c>
      <c r="G59" s="286">
        <v>2</v>
      </c>
      <c r="H59" s="286">
        <v>3</v>
      </c>
      <c r="I59" s="286">
        <v>3</v>
      </c>
      <c r="J59" s="286">
        <v>3</v>
      </c>
      <c r="K59" s="286">
        <v>3</v>
      </c>
      <c r="L59" s="286">
        <v>4</v>
      </c>
      <c r="M59" s="286">
        <v>5</v>
      </c>
      <c r="N59" s="286">
        <v>6</v>
      </c>
      <c r="O59" s="286">
        <v>6</v>
      </c>
      <c r="P59" s="286">
        <v>6</v>
      </c>
      <c r="Q59" s="286">
        <v>7</v>
      </c>
      <c r="R59" s="286">
        <v>8</v>
      </c>
      <c r="S59" s="286">
        <v>7</v>
      </c>
      <c r="T59" s="286">
        <v>8</v>
      </c>
      <c r="U59" s="286">
        <v>8</v>
      </c>
      <c r="W59" s="288">
        <v>73</v>
      </c>
    </row>
    <row r="60" spans="2:23">
      <c r="B60" s="216" t="s">
        <v>26</v>
      </c>
      <c r="C60" s="217" t="s">
        <v>27</v>
      </c>
      <c r="D60" s="285">
        <f>SMALL(Tabell71415[1],1)</f>
        <v>0</v>
      </c>
      <c r="E60" s="285">
        <f>SMALL(Tabell71415[2],1)</f>
        <v>0</v>
      </c>
      <c r="F60" s="285">
        <f>SMALL(Tabell71415[3],1)</f>
        <v>0</v>
      </c>
      <c r="G60" s="285">
        <v>1</v>
      </c>
      <c r="H60" s="285">
        <v>1</v>
      </c>
      <c r="I60" s="285">
        <v>2</v>
      </c>
      <c r="J60" s="285">
        <v>3</v>
      </c>
      <c r="K60" s="285">
        <v>3</v>
      </c>
      <c r="L60" s="285">
        <v>4</v>
      </c>
      <c r="M60" s="285">
        <v>3</v>
      </c>
      <c r="N60" s="285">
        <v>3</v>
      </c>
      <c r="O60" s="285">
        <v>3</v>
      </c>
      <c r="P60" s="285">
        <v>3</v>
      </c>
      <c r="Q60" s="285">
        <v>4</v>
      </c>
      <c r="R60" s="285">
        <v>3</v>
      </c>
      <c r="S60" s="285">
        <v>4</v>
      </c>
      <c r="T60" s="285">
        <v>4</v>
      </c>
      <c r="U60" s="285">
        <v>4</v>
      </c>
      <c r="W60" s="287">
        <v>77</v>
      </c>
    </row>
    <row r="61" spans="2:23">
      <c r="B61" s="214" t="s">
        <v>32</v>
      </c>
      <c r="C61" s="215" t="s">
        <v>33</v>
      </c>
      <c r="D61" s="286">
        <f>SMALL(Tabell7141520[1],1)</f>
        <v>0</v>
      </c>
      <c r="E61" s="286">
        <f>SMALL(Tabell7141520[2],1)</f>
        <v>1</v>
      </c>
      <c r="F61" s="286">
        <v>2</v>
      </c>
      <c r="G61" s="286">
        <v>2</v>
      </c>
      <c r="H61" s="286">
        <v>2</v>
      </c>
      <c r="I61" s="286">
        <v>3</v>
      </c>
      <c r="J61" s="286">
        <v>4</v>
      </c>
      <c r="K61" s="286">
        <v>4</v>
      </c>
      <c r="L61" s="286">
        <v>5</v>
      </c>
      <c r="M61" s="286">
        <v>6</v>
      </c>
      <c r="N61" s="286">
        <v>7</v>
      </c>
      <c r="O61" s="286">
        <v>7</v>
      </c>
      <c r="P61" s="286">
        <v>7</v>
      </c>
      <c r="Q61" s="286">
        <v>8</v>
      </c>
      <c r="R61" s="286">
        <v>9</v>
      </c>
      <c r="S61" s="286">
        <v>10</v>
      </c>
      <c r="T61" s="286">
        <v>10</v>
      </c>
      <c r="U61" s="286">
        <v>11</v>
      </c>
      <c r="W61" s="288">
        <v>77</v>
      </c>
    </row>
    <row r="62" spans="2:23">
      <c r="B62" s="216" t="s">
        <v>37</v>
      </c>
      <c r="C62" s="217" t="s">
        <v>38</v>
      </c>
      <c r="D62" s="285">
        <f>SMALL(Tabell714152021[1],1)</f>
        <v>1</v>
      </c>
      <c r="E62" s="285">
        <v>3</v>
      </c>
      <c r="F62" s="285">
        <v>5</v>
      </c>
      <c r="G62" s="285">
        <v>6</v>
      </c>
      <c r="H62" s="285">
        <v>7</v>
      </c>
      <c r="I62" s="285">
        <v>9</v>
      </c>
      <c r="J62" s="285">
        <v>11</v>
      </c>
      <c r="K62" s="285">
        <v>12</v>
      </c>
      <c r="L62" s="285">
        <v>14</v>
      </c>
      <c r="M62" s="285">
        <v>15</v>
      </c>
      <c r="N62" s="285">
        <v>18</v>
      </c>
      <c r="O62" s="285">
        <v>18</v>
      </c>
      <c r="P62" s="285">
        <v>20</v>
      </c>
      <c r="Q62" s="285">
        <v>21</v>
      </c>
      <c r="R62" s="285">
        <v>23</v>
      </c>
      <c r="S62" s="285">
        <v>26</v>
      </c>
      <c r="T62" s="285">
        <v>27</v>
      </c>
      <c r="U62" s="285">
        <v>28</v>
      </c>
      <c r="W62" s="287">
        <v>80</v>
      </c>
    </row>
    <row r="63" spans="2:23">
      <c r="B63" s="214" t="s">
        <v>42</v>
      </c>
      <c r="C63" s="215" t="s">
        <v>27</v>
      </c>
      <c r="D63" s="286">
        <f>SMALL(Tabell71415202134[1],1)</f>
        <v>1</v>
      </c>
      <c r="E63" s="286">
        <v>2</v>
      </c>
      <c r="F63" s="286">
        <v>3</v>
      </c>
      <c r="G63" s="286">
        <v>4</v>
      </c>
      <c r="H63" s="286">
        <v>5</v>
      </c>
      <c r="I63" s="286">
        <v>6</v>
      </c>
      <c r="J63" s="286">
        <v>7</v>
      </c>
      <c r="K63" s="286">
        <v>8</v>
      </c>
      <c r="L63" s="286">
        <v>9</v>
      </c>
      <c r="M63" s="286">
        <v>9</v>
      </c>
      <c r="N63" s="286">
        <v>10</v>
      </c>
      <c r="O63" s="286">
        <v>11</v>
      </c>
      <c r="P63" s="286">
        <v>12</v>
      </c>
      <c r="Q63" s="286">
        <v>12</v>
      </c>
      <c r="R63" s="286">
        <v>13</v>
      </c>
      <c r="S63" s="286">
        <v>14</v>
      </c>
      <c r="T63" s="286">
        <v>16</v>
      </c>
      <c r="U63" s="286">
        <v>16</v>
      </c>
      <c r="W63" s="288">
        <v>80</v>
      </c>
    </row>
    <row r="64" spans="2:23">
      <c r="B64" s="216" t="s">
        <v>22</v>
      </c>
      <c r="C64" s="217" t="s">
        <v>23</v>
      </c>
      <c r="D64" s="285">
        <f>SMALL(Tabell7141520213435[1],1)</f>
        <v>1</v>
      </c>
      <c r="E64" s="285">
        <v>1</v>
      </c>
      <c r="F64" s="285">
        <v>1</v>
      </c>
      <c r="G64" s="285">
        <v>1</v>
      </c>
      <c r="H64" s="285">
        <v>1</v>
      </c>
      <c r="I64" s="285">
        <v>1</v>
      </c>
      <c r="J64" s="285">
        <v>1</v>
      </c>
      <c r="K64" s="285">
        <v>1</v>
      </c>
      <c r="L64" s="285">
        <v>1</v>
      </c>
      <c r="M64" s="285">
        <v>1</v>
      </c>
      <c r="N64" s="285">
        <v>1</v>
      </c>
      <c r="O64" s="285">
        <v>2</v>
      </c>
      <c r="P64" s="285">
        <v>2</v>
      </c>
      <c r="Q64" s="285">
        <v>3</v>
      </c>
      <c r="R64" s="285">
        <v>4</v>
      </c>
      <c r="S64" s="285">
        <v>5</v>
      </c>
      <c r="T64" s="285">
        <v>5</v>
      </c>
      <c r="U64" s="285">
        <v>6</v>
      </c>
      <c r="W64" s="287">
        <v>70</v>
      </c>
    </row>
    <row r="65" spans="2:23">
      <c r="B65" s="214" t="s">
        <v>24</v>
      </c>
      <c r="C65" s="215" t="s">
        <v>25</v>
      </c>
      <c r="D65" s="286">
        <f>SMALL(Tabell714152021343536[1],1)</f>
        <v>3</v>
      </c>
      <c r="E65" s="286">
        <v>4</v>
      </c>
      <c r="F65" s="286">
        <v>6</v>
      </c>
      <c r="G65" s="286">
        <v>8</v>
      </c>
      <c r="H65" s="286">
        <v>9</v>
      </c>
      <c r="I65" s="286">
        <v>10</v>
      </c>
      <c r="J65" s="286">
        <v>12</v>
      </c>
      <c r="K65" s="286">
        <v>12</v>
      </c>
      <c r="L65" s="286">
        <v>13</v>
      </c>
      <c r="M65" s="286">
        <v>14</v>
      </c>
      <c r="N65" s="286">
        <v>16</v>
      </c>
      <c r="O65" s="286">
        <v>18</v>
      </c>
      <c r="P65" s="286">
        <v>23</v>
      </c>
      <c r="Q65" s="286">
        <v>25</v>
      </c>
      <c r="R65" s="286">
        <v>27</v>
      </c>
      <c r="S65" s="286">
        <v>29</v>
      </c>
      <c r="T65" s="286">
        <v>34</v>
      </c>
      <c r="U65" s="286">
        <v>35</v>
      </c>
      <c r="W65" s="288">
        <v>80</v>
      </c>
    </row>
    <row r="66" spans="2:23">
      <c r="B66" s="216" t="s">
        <v>35</v>
      </c>
      <c r="C66" s="217" t="s">
        <v>36</v>
      </c>
      <c r="D66" s="285">
        <f>SMALL(Tabell71415202134353637[1],1)</f>
        <v>1</v>
      </c>
      <c r="E66" s="285">
        <v>1</v>
      </c>
      <c r="F66" s="285">
        <v>2</v>
      </c>
      <c r="G66" s="285">
        <v>3</v>
      </c>
      <c r="H66" s="285">
        <v>4</v>
      </c>
      <c r="I66" s="285">
        <v>6</v>
      </c>
      <c r="J66" s="285">
        <v>6</v>
      </c>
      <c r="K66" s="285">
        <v>7</v>
      </c>
      <c r="L66" s="285">
        <v>8</v>
      </c>
      <c r="M66" s="285">
        <v>9</v>
      </c>
      <c r="N66" s="285">
        <v>9</v>
      </c>
      <c r="O66" s="285">
        <v>10</v>
      </c>
      <c r="P66" s="285">
        <v>11</v>
      </c>
      <c r="Q66" s="285">
        <v>11</v>
      </c>
      <c r="R66" s="285">
        <v>12</v>
      </c>
      <c r="S66" s="285">
        <v>14</v>
      </c>
      <c r="T66" s="285">
        <v>15</v>
      </c>
      <c r="U66" s="285">
        <v>16</v>
      </c>
      <c r="W66" s="287">
        <v>87</v>
      </c>
    </row>
    <row r="67" spans="2:23">
      <c r="B67" s="214" t="s">
        <v>32</v>
      </c>
      <c r="C67" s="215" t="s">
        <v>41</v>
      </c>
      <c r="D67" s="286">
        <f>SMALL(Tabell7141520213435363738[1],1)</f>
        <v>1</v>
      </c>
      <c r="E67" s="286">
        <v>1</v>
      </c>
      <c r="F67" s="286">
        <v>4</v>
      </c>
      <c r="G67" s="286">
        <v>5</v>
      </c>
      <c r="H67" s="286">
        <v>5</v>
      </c>
      <c r="I67" s="286">
        <v>6</v>
      </c>
      <c r="J67" s="286">
        <v>6</v>
      </c>
      <c r="K67" s="286">
        <v>8</v>
      </c>
      <c r="L67" s="286">
        <v>9</v>
      </c>
      <c r="M67" s="286">
        <v>11</v>
      </c>
      <c r="N67" s="286">
        <v>11</v>
      </c>
      <c r="O67" s="286">
        <v>13</v>
      </c>
      <c r="P67" s="286">
        <v>14</v>
      </c>
      <c r="Q67" s="286">
        <v>15</v>
      </c>
      <c r="R67" s="286">
        <v>15</v>
      </c>
      <c r="S67" s="286">
        <v>17</v>
      </c>
      <c r="T67" s="286">
        <v>18</v>
      </c>
      <c r="U67" s="286">
        <v>19</v>
      </c>
      <c r="W67" s="288">
        <v>82</v>
      </c>
    </row>
    <row r="68" spans="2:23">
      <c r="B68" s="216" t="s">
        <v>20</v>
      </c>
      <c r="C68" s="217" t="s">
        <v>21</v>
      </c>
      <c r="D68" s="285">
        <f>SMALL(Tabell71415202134353637383940[1],1)</f>
        <v>0</v>
      </c>
      <c r="E68" s="285">
        <f>SMALL(Tabell71415202134353637383940[2],1)</f>
        <v>-1</v>
      </c>
      <c r="F68" s="285">
        <v>-1</v>
      </c>
      <c r="G68" s="285">
        <v>-1</v>
      </c>
      <c r="H68" s="285">
        <v>-1</v>
      </c>
      <c r="I68" s="285">
        <v>-2</v>
      </c>
      <c r="J68" s="285">
        <v>-2</v>
      </c>
      <c r="K68" s="285">
        <v>-3</v>
      </c>
      <c r="L68" s="285">
        <v>-3</v>
      </c>
      <c r="M68" s="285">
        <v>-3</v>
      </c>
      <c r="N68" s="285">
        <v>-3</v>
      </c>
      <c r="O68" s="285">
        <v>-3</v>
      </c>
      <c r="P68" s="285">
        <v>-3</v>
      </c>
      <c r="Q68" s="285">
        <v>-3</v>
      </c>
      <c r="R68" s="285">
        <v>-3</v>
      </c>
      <c r="S68" s="285">
        <v>-4</v>
      </c>
      <c r="T68" s="285">
        <v>-4</v>
      </c>
      <c r="U68" s="285">
        <v>-3</v>
      </c>
      <c r="W68" s="288">
        <v>73</v>
      </c>
    </row>
    <row r="69" spans="2:23">
      <c r="B69" s="214" t="s">
        <v>43</v>
      </c>
      <c r="C69" s="215" t="s">
        <v>44</v>
      </c>
      <c r="D69" s="286">
        <f>SMALL(Tabell714152021343536373839404142[1],1)</f>
        <v>0</v>
      </c>
      <c r="E69" s="286">
        <f>SMALL(Tabell714152021343536373839404142[2],1)</f>
        <v>0</v>
      </c>
      <c r="F69" s="286">
        <f>SMALL(Tabell714152021343536373839404142[3],1)</f>
        <v>-1</v>
      </c>
      <c r="G69" s="286">
        <v>0</v>
      </c>
      <c r="H69" s="286">
        <f>SMALL(Tabell714152021343536373839404142[5],1)</f>
        <v>-1</v>
      </c>
      <c r="I69" s="286">
        <v>-1</v>
      </c>
      <c r="J69" s="286">
        <v>-1</v>
      </c>
      <c r="K69" s="286">
        <v>-1</v>
      </c>
      <c r="L69" s="286">
        <v>-1</v>
      </c>
      <c r="M69" s="286">
        <v>1</v>
      </c>
      <c r="N69" s="286">
        <v>2</v>
      </c>
      <c r="O69" s="286">
        <v>2</v>
      </c>
      <c r="P69" s="286">
        <v>3</v>
      </c>
      <c r="Q69" s="286">
        <v>2</v>
      </c>
      <c r="R69" s="286">
        <v>2</v>
      </c>
      <c r="S69" s="286">
        <v>2</v>
      </c>
      <c r="T69" s="286">
        <v>2</v>
      </c>
      <c r="U69" s="286">
        <v>2</v>
      </c>
      <c r="W69" s="287">
        <v>73</v>
      </c>
    </row>
    <row r="70" spans="2:23">
      <c r="B70" s="218" t="s">
        <v>39</v>
      </c>
      <c r="C70" s="219" t="s">
        <v>40</v>
      </c>
      <c r="D70" s="285">
        <f>SMALL(Tabell7141520213435363738394041[1],1)</f>
        <v>0</v>
      </c>
      <c r="E70" s="285">
        <f>SMALL(Tabell7141520213435363738394041[2],1)</f>
        <v>1</v>
      </c>
      <c r="F70" s="285">
        <v>2</v>
      </c>
      <c r="G70" s="285">
        <v>2</v>
      </c>
      <c r="H70" s="285">
        <v>2</v>
      </c>
      <c r="I70" s="285">
        <v>2</v>
      </c>
      <c r="J70" s="285">
        <v>4</v>
      </c>
      <c r="K70" s="285">
        <v>5</v>
      </c>
      <c r="L70" s="285">
        <v>5</v>
      </c>
      <c r="M70" s="285">
        <v>4</v>
      </c>
      <c r="N70" s="285">
        <v>5</v>
      </c>
      <c r="O70" s="285">
        <v>6</v>
      </c>
      <c r="P70" s="285">
        <v>7</v>
      </c>
      <c r="Q70" s="285">
        <v>8</v>
      </c>
      <c r="R70" s="285">
        <v>8</v>
      </c>
      <c r="S70" s="285">
        <v>8</v>
      </c>
      <c r="T70" s="285">
        <v>8</v>
      </c>
      <c r="U70" s="285">
        <v>9</v>
      </c>
      <c r="W70" s="288">
        <v>79</v>
      </c>
    </row>
    <row r="71" spans="2:23">
      <c r="B71" s="214" t="s">
        <v>45</v>
      </c>
      <c r="C71" s="215" t="s">
        <v>46</v>
      </c>
      <c r="D71" s="286">
        <f>SMALL(Tabell71415202134353637383940414272[1],1)</f>
        <v>0</v>
      </c>
      <c r="E71" s="286">
        <v>2</v>
      </c>
      <c r="F71" s="286">
        <v>1</v>
      </c>
      <c r="G71" s="286">
        <v>1</v>
      </c>
      <c r="H71" s="286">
        <v>2</v>
      </c>
      <c r="I71" s="286">
        <v>3</v>
      </c>
      <c r="J71" s="286">
        <v>3</v>
      </c>
      <c r="K71" s="286">
        <v>3</v>
      </c>
      <c r="L71" s="286">
        <v>3</v>
      </c>
      <c r="M71" s="286">
        <v>4</v>
      </c>
      <c r="N71" s="286">
        <v>5</v>
      </c>
      <c r="O71" s="286">
        <v>5</v>
      </c>
      <c r="P71" s="286">
        <v>5</v>
      </c>
      <c r="Q71" s="286">
        <v>4</v>
      </c>
      <c r="R71" s="286">
        <v>5</v>
      </c>
      <c r="S71" s="286">
        <v>5</v>
      </c>
      <c r="T71" s="286">
        <v>5</v>
      </c>
      <c r="U71" s="286">
        <v>6</v>
      </c>
      <c r="W71" s="287">
        <v>81</v>
      </c>
    </row>
    <row r="72" spans="2:23">
      <c r="B72" s="218" t="s">
        <v>20</v>
      </c>
      <c r="C72" s="219" t="s">
        <v>34</v>
      </c>
      <c r="D72" s="285">
        <f>SMALL(Tabell714152021343536373839404142722[1],1)</f>
        <v>0</v>
      </c>
      <c r="E72" s="285">
        <f>SMALL(Tabell714152021343536373839404142722[2],1)</f>
        <v>0</v>
      </c>
      <c r="F72" s="285">
        <f>SMALL(Tabell714152021343536373839404142722[3],1)</f>
        <v>1</v>
      </c>
      <c r="G72" s="285">
        <v>2</v>
      </c>
      <c r="H72" s="285">
        <v>3</v>
      </c>
      <c r="I72" s="285">
        <v>3</v>
      </c>
      <c r="J72" s="285">
        <v>3</v>
      </c>
      <c r="K72" s="285">
        <v>3</v>
      </c>
      <c r="L72" s="285">
        <v>4</v>
      </c>
      <c r="M72" s="285">
        <v>4</v>
      </c>
      <c r="N72" s="285">
        <v>5</v>
      </c>
      <c r="O72" s="285">
        <v>5</v>
      </c>
      <c r="P72" s="285">
        <v>6</v>
      </c>
      <c r="Q72" s="285">
        <v>7</v>
      </c>
      <c r="R72" s="285">
        <v>8</v>
      </c>
      <c r="S72" s="285">
        <v>7</v>
      </c>
      <c r="T72" s="285">
        <v>8</v>
      </c>
      <c r="U72" s="285">
        <v>9</v>
      </c>
      <c r="W72" s="288">
        <v>87</v>
      </c>
    </row>
    <row r="73" spans="2:23">
      <c r="B73" s="228" t="s">
        <v>47</v>
      </c>
      <c r="C73" s="324" t="s">
        <v>27</v>
      </c>
      <c r="D73" s="286">
        <f>SMALL(Tabell714152021343536373839[1],1)</f>
        <v>0</v>
      </c>
      <c r="E73" s="286">
        <f>SMALL(Tabell714152021343536373839[2],1)</f>
        <v>0</v>
      </c>
      <c r="F73" s="286">
        <f>SMALL(Tabell714152021343536373839[3],1)</f>
        <v>1</v>
      </c>
      <c r="G73" s="286">
        <v>2</v>
      </c>
      <c r="H73" s="286">
        <v>2</v>
      </c>
      <c r="I73" s="286">
        <v>3</v>
      </c>
      <c r="J73" s="286">
        <v>4</v>
      </c>
      <c r="K73" s="286">
        <v>4</v>
      </c>
      <c r="L73" s="286">
        <v>5</v>
      </c>
      <c r="M73" s="286">
        <v>7</v>
      </c>
      <c r="N73" s="286">
        <v>8</v>
      </c>
      <c r="O73" s="286">
        <v>9</v>
      </c>
      <c r="P73" s="286">
        <v>10</v>
      </c>
      <c r="Q73" s="286">
        <v>11</v>
      </c>
      <c r="R73" s="286">
        <v>11</v>
      </c>
      <c r="S73" s="286">
        <v>12</v>
      </c>
      <c r="T73" s="286">
        <v>13</v>
      </c>
      <c r="U73" s="286">
        <v>14</v>
      </c>
    </row>
    <row r="74" spans="2:23">
      <c r="B74" s="221"/>
      <c r="C74" s="221"/>
      <c r="D74" s="289"/>
      <c r="E74" s="289"/>
      <c r="F74" s="289"/>
      <c r="G74" s="289"/>
      <c r="H74" s="289"/>
      <c r="I74" s="289"/>
      <c r="J74" s="289"/>
      <c r="K74" s="289"/>
      <c r="L74" s="289"/>
      <c r="M74" s="289"/>
      <c r="N74" s="289"/>
      <c r="O74" s="289"/>
      <c r="P74" s="289"/>
      <c r="Q74" s="289"/>
      <c r="R74" s="289"/>
      <c r="S74" s="289"/>
      <c r="T74" s="289"/>
      <c r="U74" s="289"/>
    </row>
    <row r="75" spans="2:23">
      <c r="B75" s="221"/>
      <c r="C75" s="221"/>
      <c r="D75" s="285">
        <f>SMALL(Tabell7[1],1)</f>
        <v>0</v>
      </c>
      <c r="E75" s="285">
        <f>SMALL(Tabell7[2],1)</f>
        <v>1</v>
      </c>
      <c r="F75" s="285">
        <f>SMALL(Tabell7[3],1)</f>
        <v>1</v>
      </c>
      <c r="G75" s="285">
        <f>SMALL(Tabell7[4],1)</f>
        <v>1</v>
      </c>
      <c r="H75" s="285">
        <f>SMALL(Tabell7[5],1)</f>
        <v>1</v>
      </c>
      <c r="I75" s="285">
        <f>SMALL(Tabell7[6],1)</f>
        <v>0</v>
      </c>
      <c r="J75" s="285">
        <f>SMALL(Tabell7[7],1)</f>
        <v>1</v>
      </c>
      <c r="K75" s="285">
        <f>SMALL(Tabell7[8],1)</f>
        <v>0</v>
      </c>
      <c r="L75" s="285">
        <f>SMALL(Tabell7[9],1)</f>
        <v>0</v>
      </c>
      <c r="M75" s="285">
        <f>SMALL(Tabell7[10],1)</f>
        <v>0</v>
      </c>
      <c r="N75" s="285">
        <f>SMALL(Tabell7[11],1)</f>
        <v>1</v>
      </c>
      <c r="O75" s="285">
        <f>SMALL(Tabell7[12],1)</f>
        <v>1</v>
      </c>
      <c r="P75" s="285">
        <f>SMALL(Tabell7[13],1)</f>
        <v>0</v>
      </c>
      <c r="Q75" s="285">
        <f>SMALL(Tabell7[14],1)</f>
        <v>1</v>
      </c>
      <c r="R75" s="285">
        <f>SMALL(Tabell7[15],1)</f>
        <v>0</v>
      </c>
      <c r="S75" s="285">
        <f>SMALL(Tabell7[16],1)</f>
        <v>1</v>
      </c>
      <c r="T75" s="285">
        <f>SMALL(Tabell7[17],1)</f>
        <v>1</v>
      </c>
      <c r="U75" s="285">
        <f>SMALL(Tabell7[18],1)</f>
        <v>0</v>
      </c>
    </row>
    <row r="76" spans="2:23">
      <c r="B76" s="221"/>
      <c r="C76" s="221"/>
      <c r="D76" s="286">
        <f>SMALL(Tabell714[1],1)</f>
        <v>0</v>
      </c>
      <c r="E76" s="286">
        <f>SMALL(Tabell714[2],1)</f>
        <v>0</v>
      </c>
      <c r="F76" s="286">
        <f>SMALL(Tabell714[3],1)</f>
        <v>1</v>
      </c>
      <c r="G76" s="286">
        <f>SMALL(Tabell714[4],1)</f>
        <v>0</v>
      </c>
      <c r="H76" s="286">
        <f>SMALL(Tabell714[5],1)</f>
        <v>0</v>
      </c>
      <c r="I76" s="286">
        <f>SMALL(Tabell714[6],1)</f>
        <v>0</v>
      </c>
      <c r="J76" s="286">
        <f>SMALL(Tabell714[7],1)</f>
        <v>0</v>
      </c>
      <c r="K76" s="286">
        <f>SMALL(Tabell714[8],1)</f>
        <v>0</v>
      </c>
      <c r="L76" s="286">
        <f>SMALL(Tabell714[9],1)</f>
        <v>1</v>
      </c>
      <c r="M76" s="286">
        <f>SMALL(Tabell714[10],1)</f>
        <v>1</v>
      </c>
      <c r="N76" s="286">
        <f>SMALL(Tabell714[11],1)</f>
        <v>0</v>
      </c>
      <c r="O76" s="286">
        <f>SMALL(Tabell714[12],1)</f>
        <v>0</v>
      </c>
      <c r="P76" s="286">
        <f>SMALL(Tabell714[13],1)</f>
        <v>0</v>
      </c>
      <c r="Q76" s="286">
        <f>SMALL(Tabell714[14],1)</f>
        <v>1</v>
      </c>
      <c r="R76" s="286">
        <f>SMALL(Tabell714[15],1)</f>
        <v>1</v>
      </c>
      <c r="S76" s="286">
        <f>SMALL(Tabell714[16],1)</f>
        <v>-1</v>
      </c>
      <c r="T76" s="286">
        <f>SMALL(Tabell714[17],1)</f>
        <v>-1</v>
      </c>
      <c r="U76" s="286">
        <f>SMALL(Tabell714[18],1)</f>
        <v>0</v>
      </c>
    </row>
    <row r="77" spans="2:23">
      <c r="B77" s="221"/>
      <c r="C77" s="221"/>
      <c r="D77" s="285">
        <f>SMALL(Tabell71415[1],1)</f>
        <v>0</v>
      </c>
      <c r="E77" s="285">
        <f>SMALL(Tabell71415[2],1)</f>
        <v>0</v>
      </c>
      <c r="F77" s="285">
        <f>SMALL(Tabell71415[3],1)</f>
        <v>0</v>
      </c>
      <c r="G77" s="285">
        <f>SMALL(Tabell71415[4],1)</f>
        <v>0</v>
      </c>
      <c r="H77" s="285">
        <f>SMALL(Tabell71415[5],1)</f>
        <v>0</v>
      </c>
      <c r="I77" s="285">
        <f>SMALL(Tabell71415[6],1)</f>
        <v>0</v>
      </c>
      <c r="J77" s="285">
        <f>SMALL(Tabell71415[7],1)</f>
        <v>0</v>
      </c>
      <c r="K77" s="285">
        <f>SMALL(Tabell71415[8],1)</f>
        <v>0</v>
      </c>
      <c r="L77" s="285">
        <f>SMALL(Tabell71415[9],1)</f>
        <v>1</v>
      </c>
      <c r="M77" s="285">
        <f>SMALL(Tabell71415[10],1)</f>
        <v>-1</v>
      </c>
      <c r="N77" s="285">
        <f>SMALL(Tabell71415[11],1)</f>
        <v>0</v>
      </c>
      <c r="O77" s="285">
        <f>SMALL(Tabell71415[12],1)</f>
        <v>0</v>
      </c>
      <c r="P77" s="285">
        <f>SMALL(Tabell71415[13],1)</f>
        <v>0</v>
      </c>
      <c r="Q77" s="285">
        <f>SMALL(Tabell71415[14],1)</f>
        <v>1</v>
      </c>
      <c r="R77" s="285">
        <f>SMALL(Tabell71415[15],1)</f>
        <v>-1</v>
      </c>
      <c r="S77" s="285">
        <f>SMALL(Tabell71415[16],1)</f>
        <v>1</v>
      </c>
      <c r="T77" s="285">
        <f>SMALL(Tabell71415[17],1)</f>
        <v>0</v>
      </c>
      <c r="U77" s="285">
        <f>SMALL(Tabell71415[18],1)</f>
        <v>0</v>
      </c>
    </row>
    <row r="78" spans="2:23">
      <c r="B78" s="221"/>
      <c r="C78" s="221"/>
      <c r="D78" s="286">
        <f>SMALL(Tabell7141520[1],1)</f>
        <v>0</v>
      </c>
      <c r="E78" s="286">
        <f>SMALL(Tabell7141520[2],1)</f>
        <v>1</v>
      </c>
      <c r="F78" s="286">
        <f>SMALL(Tabell7141520[3],1)</f>
        <v>1</v>
      </c>
      <c r="G78" s="286">
        <f>SMALL(Tabell7141520[4],1)</f>
        <v>0</v>
      </c>
      <c r="H78" s="286">
        <f>SMALL(Tabell7141520[5],1)</f>
        <v>0</v>
      </c>
      <c r="I78" s="286">
        <f>SMALL(Tabell7141520[6],1)</f>
        <v>1</v>
      </c>
      <c r="J78" s="286">
        <f>SMALL(Tabell7141520[7],1)</f>
        <v>0</v>
      </c>
      <c r="K78" s="286">
        <f>SMALL(Tabell7141520[8],1)</f>
        <v>0</v>
      </c>
      <c r="L78" s="286">
        <f>SMALL(Tabell7141520[9],1)</f>
        <v>1</v>
      </c>
      <c r="M78" s="286">
        <f>SMALL(Tabell7141520[10],1)</f>
        <v>1</v>
      </c>
      <c r="N78" s="286">
        <f>SMALL(Tabell7141520[11],1)</f>
        <v>1</v>
      </c>
      <c r="O78" s="286">
        <f>SMALL(Tabell7141520[12],1)</f>
        <v>0</v>
      </c>
      <c r="P78" s="286">
        <f>SMALL(Tabell7141520[13],1)</f>
        <v>0</v>
      </c>
      <c r="Q78" s="286">
        <f>SMALL(Tabell7141520[14],1)</f>
        <v>1</v>
      </c>
      <c r="R78" s="286">
        <f>SMALL(Tabell7141520[15],1)</f>
        <v>1</v>
      </c>
      <c r="S78" s="286">
        <f>SMALL(Tabell7141520[16],1)</f>
        <v>1</v>
      </c>
      <c r="T78" s="286">
        <f>SMALL(Tabell7141520[17],1)</f>
        <v>0</v>
      </c>
      <c r="U78" s="286">
        <f>SMALL(Tabell7141520[18],1)</f>
        <v>0</v>
      </c>
    </row>
    <row r="79" spans="2:23">
      <c r="B79" s="221"/>
      <c r="C79" s="221"/>
      <c r="D79" s="285">
        <f>SMALL(Tabell714152021[1],1)</f>
        <v>1</v>
      </c>
      <c r="E79" s="285">
        <f>SMALL(Tabell714152021[2],1)</f>
        <v>2</v>
      </c>
      <c r="F79" s="285">
        <f>SMALL(Tabell714152021[3],1)</f>
        <v>2</v>
      </c>
      <c r="G79" s="285">
        <f>SMALL(Tabell714152021[4],1)</f>
        <v>1</v>
      </c>
      <c r="H79" s="285">
        <f>SMALL(Tabell714152021[5],1)</f>
        <v>1</v>
      </c>
      <c r="I79" s="285">
        <f>SMALL(Tabell714152021[6],1)</f>
        <v>2</v>
      </c>
      <c r="J79" s="285">
        <f>SMALL(Tabell714152021[7],1)</f>
        <v>2</v>
      </c>
      <c r="K79" s="285">
        <f>SMALL(Tabell714152021[8],1)</f>
        <v>1</v>
      </c>
      <c r="L79" s="285">
        <f>SMALL(Tabell714152021[9],1)</f>
        <v>1</v>
      </c>
      <c r="M79" s="285">
        <f>SMALL(Tabell714152021[10],1)</f>
        <v>1</v>
      </c>
      <c r="N79" s="285">
        <f>SMALL(Tabell714152021[11],1)</f>
        <v>1</v>
      </c>
      <c r="O79" s="285">
        <f>SMALL(Tabell714152021[12],1)</f>
        <v>0</v>
      </c>
      <c r="P79" s="285">
        <f>SMALL(Tabell714152021[13],1)</f>
        <v>1</v>
      </c>
      <c r="Q79" s="285">
        <f>SMALL(Tabell714152021[14],1)</f>
        <v>1</v>
      </c>
      <c r="R79" s="285">
        <f>SMALL(Tabell714152021[15],1)</f>
        <v>2</v>
      </c>
      <c r="S79" s="285">
        <f>SMALL(Tabell714152021[16],1)</f>
        <v>3</v>
      </c>
      <c r="T79" s="285">
        <f>SMALL(Tabell714152021[17],1)</f>
        <v>1</v>
      </c>
      <c r="U79" s="285">
        <f>SMALL(Tabell714152021[18],1)</f>
        <v>1</v>
      </c>
    </row>
    <row r="80" spans="2:23">
      <c r="B80" s="221"/>
      <c r="C80" s="221"/>
      <c r="D80" s="286">
        <f>SMALL(Tabell71415202134[1],1)</f>
        <v>1</v>
      </c>
      <c r="E80" s="286">
        <f>SMALL(Tabell71415202134[2],1)</f>
        <v>1</v>
      </c>
      <c r="F80" s="286">
        <f>SMALL(Tabell71415202134[3],1)</f>
        <v>1</v>
      </c>
      <c r="G80" s="286">
        <f>SMALL(Tabell71415202134[4],1)</f>
        <v>1</v>
      </c>
      <c r="H80" s="286">
        <f>SMALL(Tabell71415202134[5],1)</f>
        <v>1</v>
      </c>
      <c r="I80" s="286">
        <f>SMALL(Tabell71415202134[6],1)</f>
        <v>1</v>
      </c>
      <c r="J80" s="286">
        <f>SMALL(Tabell71415202134[7],1)</f>
        <v>1</v>
      </c>
      <c r="K80" s="286">
        <f>SMALL(Tabell71415202134[8],1)</f>
        <v>-1</v>
      </c>
      <c r="L80" s="286">
        <f>SMALL(Tabell71415202134[9],1)</f>
        <v>1</v>
      </c>
      <c r="M80" s="286">
        <f>SMALL(Tabell71415202134[10],1)</f>
        <v>0</v>
      </c>
      <c r="N80" s="286">
        <f>SMALL(Tabell71415202134[11],1)</f>
        <v>0</v>
      </c>
      <c r="O80" s="286">
        <f>SMALL(Tabell71415202134[12],1)</f>
        <v>1</v>
      </c>
      <c r="P80" s="286">
        <f>SMALL(Tabell71415202134[13],1)</f>
        <v>1</v>
      </c>
      <c r="Q80" s="286">
        <f>SMALL(Tabell71415202134[14],1)</f>
        <v>0</v>
      </c>
      <c r="R80" s="286">
        <f>SMALL(Tabell71415202134[15],1)</f>
        <v>1</v>
      </c>
      <c r="S80" s="286">
        <f>SMALL(Tabell71415202134[16],1)</f>
        <v>1</v>
      </c>
      <c r="T80" s="286">
        <f>SMALL(Tabell71415202134[17],1)</f>
        <v>1</v>
      </c>
      <c r="U80" s="286">
        <f>SMALL(Tabell71415202134[18],1)</f>
        <v>0</v>
      </c>
    </row>
    <row r="81" spans="2:21">
      <c r="B81" s="221"/>
      <c r="C81" s="221"/>
      <c r="D81" s="285">
        <f>SMALL(Tabell7141520213435[1],1)</f>
        <v>1</v>
      </c>
      <c r="E81" s="285">
        <f>SMALL(Tabell7141520213435[2],1)</f>
        <v>0</v>
      </c>
      <c r="F81" s="285">
        <f>SMALL(Tabell7141520213435[3],1)</f>
        <v>0</v>
      </c>
      <c r="G81" s="285">
        <f>SMALL(Tabell7141520213435[4],1)</f>
        <v>0</v>
      </c>
      <c r="H81" s="285">
        <f>SMALL(Tabell7141520213435[5],1)</f>
        <v>0</v>
      </c>
      <c r="I81" s="285">
        <f>SMALL(Tabell7141520213435[6],1)</f>
        <v>0</v>
      </c>
      <c r="J81" s="285">
        <f>SMALL(Tabell7141520213435[7],1)</f>
        <v>0</v>
      </c>
      <c r="K81" s="285">
        <f>SMALL(Tabell7141520213435[8],1)</f>
        <v>0</v>
      </c>
      <c r="L81" s="285">
        <f>SMALL(Tabell7141520213435[9],1)</f>
        <v>0</v>
      </c>
      <c r="M81" s="285">
        <f>SMALL(Tabell7141520213435[10],1)</f>
        <v>0</v>
      </c>
      <c r="N81" s="285">
        <f>SMALL(Tabell7141520213435[11],1)</f>
        <v>0</v>
      </c>
      <c r="O81" s="285">
        <f>SMALL(Tabell7141520213435[12],1)</f>
        <v>1</v>
      </c>
      <c r="P81" s="285">
        <f>SMALL(Tabell7141520213435[13],1)</f>
        <v>0</v>
      </c>
      <c r="Q81" s="285">
        <f>SMALL(Tabell7141520213435[14],1)</f>
        <v>1</v>
      </c>
      <c r="R81" s="285">
        <f>SMALL(Tabell7141520213435[15],1)</f>
        <v>1</v>
      </c>
      <c r="S81" s="285">
        <f>SMALL(Tabell7141520213435[16],1)</f>
        <v>1</v>
      </c>
      <c r="T81" s="285">
        <f>SMALL(Tabell7141520213435[17],1)</f>
        <v>0</v>
      </c>
      <c r="U81" s="285">
        <f>SMALL(Tabell7141520213435[18],1)</f>
        <v>0</v>
      </c>
    </row>
    <row r="82" spans="2:21">
      <c r="B82" s="221"/>
      <c r="C82" s="221"/>
      <c r="D82" s="286">
        <f>SMALL(Tabell714152021343536[1],1)</f>
        <v>3</v>
      </c>
      <c r="E82" s="286">
        <f>SMALL(Tabell714152021343536[2],1)</f>
        <v>1</v>
      </c>
      <c r="F82" s="286">
        <f>SMALL(Tabell714152021343536[3],1)</f>
        <v>1</v>
      </c>
      <c r="G82" s="286">
        <f>SMALL(Tabell714152021343536[4],1)</f>
        <v>2</v>
      </c>
      <c r="H82" s="286">
        <f>SMALL(Tabell714152021343536[5],1)</f>
        <v>1</v>
      </c>
      <c r="I82" s="286">
        <f>SMALL(Tabell714152021343536[6],1)</f>
        <v>0</v>
      </c>
      <c r="J82" s="286">
        <f>SMALL(Tabell714152021343536[7],1)</f>
        <v>2</v>
      </c>
      <c r="K82" s="286">
        <f>SMALL(Tabell714152021343536[8],1)</f>
        <v>0</v>
      </c>
      <c r="L82" s="286">
        <f>SMALL(Tabell714152021343536[9],1)</f>
        <v>1</v>
      </c>
      <c r="M82" s="286">
        <f>SMALL(Tabell714152021343536[10],1)</f>
        <v>1</v>
      </c>
      <c r="N82" s="286">
        <f>SMALL(Tabell714152021343536[11],1)</f>
        <v>2</v>
      </c>
      <c r="O82" s="286">
        <f>SMALL(Tabell714152021343536[12],1)</f>
        <v>2</v>
      </c>
      <c r="P82" s="286">
        <f>SMALL(Tabell714152021343536[13],1)</f>
        <v>5</v>
      </c>
      <c r="Q82" s="286">
        <f>SMALL(Tabell714152021343536[14],1)</f>
        <v>2</v>
      </c>
      <c r="R82" s="286">
        <f>SMALL(Tabell714152021343536[15],1)</f>
        <v>2</v>
      </c>
      <c r="S82" s="286">
        <f>SMALL(Tabell714152021343536[16],1)</f>
        <v>2</v>
      </c>
      <c r="T82" s="286">
        <f>SMALL(Tabell714152021343536[17],1)</f>
        <v>5</v>
      </c>
      <c r="U82" s="286">
        <f>SMALL(Tabell714152021343536[18],1)</f>
        <v>1</v>
      </c>
    </row>
    <row r="83" spans="2:21">
      <c r="B83" s="221"/>
      <c r="C83" s="221"/>
      <c r="D83" s="285">
        <f>SMALL(Tabell71415202134353637[1],1)</f>
        <v>1</v>
      </c>
      <c r="E83" s="285">
        <f>SMALL(Tabell71415202134353637[2],1)</f>
        <v>0</v>
      </c>
      <c r="F83" s="285">
        <f>SMALL(Tabell71415202134353637[3],1)</f>
        <v>1</v>
      </c>
      <c r="G83" s="285">
        <f>SMALL(Tabell71415202134353637[4],1)</f>
        <v>1</v>
      </c>
      <c r="H83" s="285">
        <f>SMALL(Tabell71415202134353637[5],1)</f>
        <v>1</v>
      </c>
      <c r="I83" s="285">
        <f>SMALL(Tabell71415202134353637[6],1)</f>
        <v>1</v>
      </c>
      <c r="J83" s="285">
        <f>SMALL(Tabell71415202134353637[7],1)</f>
        <v>0</v>
      </c>
      <c r="K83" s="285">
        <f>SMALL(Tabell71415202134353637[8],1)</f>
        <v>0</v>
      </c>
      <c r="L83" s="285">
        <f>SMALL(Tabell71415202134353637[9],1)</f>
        <v>1</v>
      </c>
      <c r="M83" s="285">
        <f>SMALL(Tabell71415202134353637[10],1)</f>
        <v>1</v>
      </c>
      <c r="N83" s="285">
        <f>SMALL(Tabell71415202134353637[11],1)</f>
        <v>0</v>
      </c>
      <c r="O83" s="285">
        <f>SMALL(Tabell71415202134353637[12],1)</f>
        <v>1</v>
      </c>
      <c r="P83" s="285">
        <f>SMALL(Tabell71415202134353637[13],1)</f>
        <v>0</v>
      </c>
      <c r="Q83" s="285">
        <f>SMALL(Tabell71415202134353637[14],1)</f>
        <v>0</v>
      </c>
      <c r="R83" s="285">
        <f>SMALL(Tabell71415202134353637[15],1)</f>
        <v>1</v>
      </c>
      <c r="S83" s="285">
        <f>SMALL(Tabell71415202134353637[16],1)</f>
        <v>2</v>
      </c>
      <c r="T83" s="285">
        <f>SMALL(Tabell71415202134353637[17],1)</f>
        <v>1</v>
      </c>
      <c r="U83" s="285">
        <f>SMALL(Tabell71415202134353637[18],1)</f>
        <v>1</v>
      </c>
    </row>
    <row r="84" spans="2:21">
      <c r="B84" s="221"/>
      <c r="C84" s="221"/>
      <c r="D84" s="286">
        <f>SMALL(Tabell7141520213435363738[1],1)</f>
        <v>1</v>
      </c>
      <c r="E84" s="286">
        <f>SMALL(Tabell7141520213435363738[2],1)</f>
        <v>0</v>
      </c>
      <c r="F84" s="286">
        <f>SMALL(Tabell7141520213435363738[3],1)</f>
        <v>2</v>
      </c>
      <c r="G84" s="286">
        <f>SMALL(Tabell7141520213435363738[4],1)</f>
        <v>1</v>
      </c>
      <c r="H84" s="286">
        <f>SMALL(Tabell7141520213435363738[5],1)</f>
        <v>0</v>
      </c>
      <c r="I84" s="286">
        <f>SMALL(Tabell7141520213435363738[6],1)</f>
        <v>0</v>
      </c>
      <c r="J84" s="286">
        <f>SMALL(Tabell7141520213435363738[7],1)</f>
        <v>0</v>
      </c>
      <c r="K84" s="286">
        <f>SMALL(Tabell7141520213435363738[8],1)</f>
        <v>1</v>
      </c>
      <c r="L84" s="286">
        <f>SMALL(Tabell7141520213435363738[9],1)</f>
        <v>1</v>
      </c>
      <c r="M84" s="286">
        <f>SMALL(Tabell7141520213435363738[10],1)</f>
        <v>2</v>
      </c>
      <c r="N84" s="286">
        <f>SMALL(Tabell7141520213435363738[11],1)</f>
        <v>0</v>
      </c>
      <c r="O84" s="286">
        <f>SMALL(Tabell7141520213435363738[12],1)</f>
        <v>2</v>
      </c>
      <c r="P84" s="286">
        <f>SMALL(Tabell7141520213435363738[13],1)</f>
        <v>1</v>
      </c>
      <c r="Q84" s="286">
        <f>SMALL(Tabell7141520213435363738[14],1)</f>
        <v>1</v>
      </c>
      <c r="R84" s="286">
        <f>SMALL(Tabell7141520213435363738[15],1)</f>
        <v>0</v>
      </c>
      <c r="S84" s="286">
        <f>SMALL(Tabell7141520213435363738[16],1)</f>
        <v>1</v>
      </c>
      <c r="T84" s="286">
        <f>SMALL(Tabell7141520213435363738[17],1)</f>
        <v>1</v>
      </c>
      <c r="U84" s="286">
        <f>SMALL(Tabell7141520213435363738[18],1)</f>
        <v>1</v>
      </c>
    </row>
    <row r="85" spans="2:21">
      <c r="B85" s="221"/>
      <c r="C85" s="221"/>
      <c r="D85" s="286">
        <f>SMALL(Tabell714152021343536373839[1],1)</f>
        <v>0</v>
      </c>
      <c r="E85" s="286">
        <f>SMALL(Tabell714152021343536373839[2],1)</f>
        <v>0</v>
      </c>
      <c r="F85" s="286">
        <f>SMALL(Tabell714152021343536373839[3],1)</f>
        <v>1</v>
      </c>
      <c r="G85" s="286">
        <f>SMALL(Tabell714152021343536373839[4],1)</f>
        <v>1</v>
      </c>
      <c r="H85" s="286">
        <f>SMALL(Tabell714152021343536373839[5],1)</f>
        <v>0</v>
      </c>
      <c r="I85" s="286">
        <f>SMALL(Tabell714152021343536373839[6],1)</f>
        <v>1</v>
      </c>
      <c r="J85" s="286">
        <f>SMALL(Tabell714152021343536373839[7],1)</f>
        <v>1</v>
      </c>
      <c r="K85" s="286">
        <f>SMALL(Tabell714152021343536373839[8],1)</f>
        <v>0</v>
      </c>
      <c r="L85" s="286">
        <f>SMALL(Tabell714152021343536373839[9],1)</f>
        <v>1</v>
      </c>
      <c r="M85" s="286">
        <f>SMALL(Tabell714152021343536373839[10],1)</f>
        <v>1</v>
      </c>
      <c r="N85" s="286">
        <f>SMALL(Tabell714152021343536373839[11],1)</f>
        <v>1</v>
      </c>
      <c r="O85" s="286">
        <f>SMALL(Tabell714152021343536373839[12],1)</f>
        <v>1</v>
      </c>
      <c r="P85" s="286">
        <f>SMALL(Tabell714152021343536373839[13],1)</f>
        <v>1</v>
      </c>
      <c r="Q85" s="286">
        <f>SMALL(Tabell714152021343536373839[14],1)</f>
        <v>1</v>
      </c>
      <c r="R85" s="286">
        <f>SMALL(Tabell714152021343536373839[15],1)</f>
        <v>0</v>
      </c>
      <c r="S85" s="286">
        <f>SMALL(Tabell714152021343536373839[16],1)</f>
        <v>1</v>
      </c>
      <c r="T85" s="286">
        <f>SMALL(Tabell714152021343536373839[17],1)</f>
        <v>1</v>
      </c>
      <c r="U85" s="286">
        <f>SMALL(Tabell714152021343536373839[18],1)</f>
        <v>0</v>
      </c>
    </row>
    <row r="86" spans="2:21">
      <c r="B86" s="221"/>
      <c r="C86" s="221"/>
      <c r="D86" s="285">
        <f>SMALL(Tabell71415202134353637383940[1],1)</f>
        <v>0</v>
      </c>
      <c r="E86" s="285">
        <f>SMALL(Tabell71415202134353637383940[2],1)</f>
        <v>-1</v>
      </c>
      <c r="F86" s="285">
        <f>SMALL(Tabell71415202134353637383940[3],1)</f>
        <v>0</v>
      </c>
      <c r="G86" s="285">
        <f>SMALL(Tabell71415202134353637383940[4],1)</f>
        <v>0</v>
      </c>
      <c r="H86" s="285">
        <f>SMALL(Tabell71415202134353637383940[5],1)</f>
        <v>0</v>
      </c>
      <c r="I86" s="285">
        <f>SMALL(Tabell71415202134353637383940[6],1)</f>
        <v>-1</v>
      </c>
      <c r="J86" s="285">
        <f>SMALL(Tabell71415202134353637383940[7],1)</f>
        <v>0</v>
      </c>
      <c r="K86" s="285">
        <f>SMALL(Tabell71415202134353637383940[8],1)</f>
        <v>-1</v>
      </c>
      <c r="L86" s="285">
        <f>SMALL(Tabell71415202134353637383940[9],1)</f>
        <v>0</v>
      </c>
      <c r="M86" s="285">
        <f>SMALL(Tabell71415202134353637383940[10],1)</f>
        <v>0</v>
      </c>
      <c r="N86" s="285">
        <f>SMALL(Tabell71415202134353637383940[11],1)</f>
        <v>0</v>
      </c>
      <c r="O86" s="285">
        <f>SMALL(Tabell71415202134353637383940[12],1)</f>
        <v>0</v>
      </c>
      <c r="P86" s="285">
        <f>SMALL(Tabell71415202134353637383940[13],1)</f>
        <v>0</v>
      </c>
      <c r="Q86" s="285">
        <f>SMALL(Tabell71415202134353637383940[14],1)</f>
        <v>0</v>
      </c>
      <c r="R86" s="285">
        <f>SMALL(Tabell71415202134353637383940[15],1)</f>
        <v>0</v>
      </c>
      <c r="S86" s="285">
        <f>SMALL(Tabell71415202134353637383940[16],1)</f>
        <v>-1</v>
      </c>
      <c r="T86" s="285">
        <f>SMALL(Tabell71415202134353637383940[17],1)</f>
        <v>0</v>
      </c>
      <c r="U86" s="285">
        <f>SMALL(Tabell71415202134353637383940[18],1)</f>
        <v>1</v>
      </c>
    </row>
    <row r="87" spans="2:21">
      <c r="B87" s="221"/>
      <c r="C87" s="221"/>
      <c r="D87" s="286">
        <f>SMALL(Tabell714152021343536373839404142[1],1)</f>
        <v>0</v>
      </c>
      <c r="E87" s="286">
        <f>SMALL(Tabell714152021343536373839404142[2],1)</f>
        <v>0</v>
      </c>
      <c r="F87" s="286">
        <f>SMALL(Tabell714152021343536373839404142[3],1)</f>
        <v>-1</v>
      </c>
      <c r="G87" s="286">
        <f>SMALL(Tabell714152021343536373839404142[4],1)</f>
        <v>1</v>
      </c>
      <c r="H87" s="286">
        <f>SMALL(Tabell714152021343536373839404142[5],1)</f>
        <v>-1</v>
      </c>
      <c r="I87" s="286">
        <f>SMALL(Tabell714152021343536373839404142[6],1)</f>
        <v>0</v>
      </c>
      <c r="J87" s="286">
        <f>SMALL(Tabell714152021343536373839404142[7],1)</f>
        <v>0</v>
      </c>
      <c r="K87" s="286">
        <f>SMALL(Tabell714152021343536373839404142[8],1)</f>
        <v>0</v>
      </c>
      <c r="L87" s="286">
        <f>SMALL(Tabell714152021343536373839404142[9],1)</f>
        <v>0</v>
      </c>
      <c r="M87" s="286">
        <f>SMALL(Tabell714152021343536373839404142[10],1)</f>
        <v>1</v>
      </c>
      <c r="N87" s="286">
        <f>SMALL(Tabell714152021343536373839404142[11],1)</f>
        <v>1</v>
      </c>
      <c r="O87" s="286">
        <f>SMALL(Tabell714152021343536373839404142[12],1)</f>
        <v>0</v>
      </c>
      <c r="P87" s="286">
        <f>SMALL(Tabell714152021343536373839404142[13],1)</f>
        <v>1</v>
      </c>
      <c r="Q87" s="286">
        <f>SMALL(Tabell714152021343536373839404142[14],1)</f>
        <v>-1</v>
      </c>
      <c r="R87" s="286">
        <f>SMALL(Tabell714152021343536373839404142[15],1)</f>
        <v>0</v>
      </c>
      <c r="S87" s="286">
        <f>SMALL(Tabell714152021343536373839404142[16],1)</f>
        <v>0</v>
      </c>
      <c r="T87" s="286">
        <f>SMALL(Tabell714152021343536373839404142[17],1)</f>
        <v>0</v>
      </c>
      <c r="U87" s="286">
        <f>SMALL(Tabell714152021343536373839404142[18],1)</f>
        <v>0</v>
      </c>
    </row>
    <row r="88" spans="2:21">
      <c r="B88" s="221"/>
      <c r="C88" s="221"/>
      <c r="D88" s="285">
        <f>SMALL(Tabell7141520213435363738394041[1],1)</f>
        <v>0</v>
      </c>
      <c r="E88" s="285">
        <f>SMALL(Tabell7141520213435363738394041[2],1)</f>
        <v>1</v>
      </c>
      <c r="F88" s="285">
        <f>SMALL(Tabell7141520213435363738394041[3],1)</f>
        <v>1</v>
      </c>
      <c r="G88" s="285">
        <f>SMALL(Tabell7141520213435363738394041[4],1)</f>
        <v>0</v>
      </c>
      <c r="H88" s="285">
        <f>SMALL(Tabell7141520213435363738394041[5],1)</f>
        <v>0</v>
      </c>
      <c r="I88" s="285">
        <f>SMALL(Tabell7141520213435363738394041[6],1)</f>
        <v>0</v>
      </c>
      <c r="J88" s="285">
        <f>SMALL(Tabell7141520213435363738394041[7],1)</f>
        <v>1</v>
      </c>
      <c r="K88" s="285">
        <f>SMALL(Tabell7141520213435363738394041[8],1)</f>
        <v>0</v>
      </c>
      <c r="L88" s="285">
        <f>SMALL(Tabell7141520213435363738394041[9],1)</f>
        <v>0</v>
      </c>
      <c r="M88" s="285">
        <f>SMALL(Tabell7141520213435363738394041[10],1)</f>
        <v>-1</v>
      </c>
      <c r="N88" s="285">
        <f>SMALL(Tabell7141520213435363738394041[11],1)</f>
        <v>1</v>
      </c>
      <c r="O88" s="285">
        <f>SMALL(Tabell7141520213435363738394041[12],1)</f>
        <v>0</v>
      </c>
      <c r="P88" s="285">
        <f>SMALL(Tabell7141520213435363738394041[13],1)</f>
        <v>1</v>
      </c>
      <c r="Q88" s="285">
        <f>SMALL(Tabell7141520213435363738394041[14],1)</f>
        <v>1</v>
      </c>
      <c r="R88" s="285">
        <f>SMALL(Tabell7141520213435363738394041[15],1)</f>
        <v>0</v>
      </c>
      <c r="S88" s="285">
        <f>SMALL(Tabell7141520213435363738394041[16],1)</f>
        <v>0</v>
      </c>
      <c r="T88" s="285">
        <f>SMALL(Tabell7141520213435363738394041[17],1)</f>
        <v>0</v>
      </c>
      <c r="U88" s="285">
        <f>SMALL(Tabell7141520213435363738394041[18],1)</f>
        <v>0</v>
      </c>
    </row>
    <row r="89" spans="2:21">
      <c r="B89" s="221"/>
      <c r="C89" s="221"/>
      <c r="D89" s="286">
        <f>SMALL(Tabell71415202134353637383940414272[1],1)</f>
        <v>0</v>
      </c>
      <c r="E89" s="286">
        <f>SMALL(Tabell71415202134353637383940414272[2],1)</f>
        <v>1</v>
      </c>
      <c r="F89" s="286">
        <f>SMALL(Tabell71415202134353637383940414272[3],1)</f>
        <v>-1</v>
      </c>
      <c r="G89" s="286">
        <f>SMALL(Tabell71415202134353637383940414272[4],1)</f>
        <v>0</v>
      </c>
      <c r="H89" s="286">
        <f>SMALL(Tabell71415202134353637383940414272[5],1)</f>
        <v>0</v>
      </c>
      <c r="I89" s="286">
        <f>SMALL(Tabell71415202134353637383940414272[6],1)</f>
        <v>1</v>
      </c>
      <c r="J89" s="286">
        <f>SMALL(Tabell71415202134353637383940414272[7],1)</f>
        <v>0</v>
      </c>
      <c r="K89" s="286">
        <f>SMALL(Tabell71415202134353637383940414272[8],1)</f>
        <v>0</v>
      </c>
      <c r="L89" s="286">
        <f>SMALL(Tabell71415202134353637383940414272[9],1)</f>
        <v>0</v>
      </c>
      <c r="M89" s="286">
        <f>SMALL(Tabell71415202134353637383940414272[10],1)</f>
        <v>1</v>
      </c>
      <c r="N89" s="286">
        <f>SMALL(Tabell71415202134353637383940414272[11],1)</f>
        <v>1</v>
      </c>
      <c r="O89" s="286">
        <f>SMALL(Tabell71415202134353637383940414272[12],1)</f>
        <v>0</v>
      </c>
      <c r="P89" s="286">
        <f>SMALL(Tabell71415202134353637383940414272[13],1)</f>
        <v>0</v>
      </c>
      <c r="Q89" s="286">
        <f>SMALL(Tabell71415202134353637383940414272[14],1)</f>
        <v>-1</v>
      </c>
      <c r="R89" s="286">
        <f>SMALL(Tabell71415202134353637383940414272[15],1)</f>
        <v>1</v>
      </c>
      <c r="S89" s="286">
        <f>SMALL(Tabell71415202134353637383940414272[16],1)</f>
        <v>0</v>
      </c>
      <c r="T89" s="286">
        <f>SMALL(Tabell71415202134353637383940414272[17],1)</f>
        <v>0</v>
      </c>
      <c r="U89" s="286">
        <f>SMALL(Tabell71415202134353637383940414272[18],1)</f>
        <v>1</v>
      </c>
    </row>
    <row r="90" spans="2:21">
      <c r="D90" s="285">
        <f>SMALL(Tabell714152021343536373839404142722[1],1)</f>
        <v>0</v>
      </c>
      <c r="E90" s="285">
        <f>SMALL(Tabell714152021343536373839404142722[2],1)</f>
        <v>0</v>
      </c>
      <c r="F90" s="285">
        <f>SMALL(Tabell714152021343536373839404142722[3],1)</f>
        <v>1</v>
      </c>
      <c r="G90" s="285">
        <f>SMALL(Tabell714152021343536373839404142722[4],1)</f>
        <v>1</v>
      </c>
      <c r="H90" s="285">
        <f>SMALL(Tabell714152021343536373839404142722[5],1)</f>
        <v>1</v>
      </c>
      <c r="I90" s="285">
        <f>SMALL(Tabell714152021343536373839404142722[6],1)</f>
        <v>0</v>
      </c>
      <c r="J90" s="285">
        <f>SMALL(Tabell714152021343536373839404142722[7],1)</f>
        <v>0</v>
      </c>
      <c r="K90" s="285">
        <f>SMALL(Tabell714152021343536373839404142722[8],1)</f>
        <v>-1</v>
      </c>
      <c r="L90" s="285">
        <f>SMALL(Tabell714152021343536373839404142722[9],1)</f>
        <v>1</v>
      </c>
      <c r="M90" s="285">
        <f>SMALL(Tabell714152021343536373839404142722[10],1)</f>
        <v>0</v>
      </c>
      <c r="N90" s="285">
        <f>SMALL(Tabell714152021343536373839404142722[11],1)</f>
        <v>1</v>
      </c>
      <c r="O90" s="285">
        <f>SMALL(Tabell714152021343536373839404142722[12],1)</f>
        <v>0</v>
      </c>
      <c r="P90" s="285">
        <f>SMALL(Tabell714152021343536373839404142722[13],1)</f>
        <v>0</v>
      </c>
      <c r="Q90" s="285">
        <f>SMALL(Tabell714152021343536373839404142722[14],1)</f>
        <v>1</v>
      </c>
      <c r="R90" s="285">
        <f>SMALL(Tabell714152021343536373839404142722[15],1)</f>
        <v>0</v>
      </c>
      <c r="S90" s="285">
        <f>SMALL(Tabell714152021343536373839404142722[16],1)</f>
        <v>-1</v>
      </c>
      <c r="T90" s="285">
        <f>SMALL(Tabell714152021343536373839404142722[17],1)</f>
        <v>0</v>
      </c>
      <c r="U90" s="285">
        <f>SMALL(Tabell714152021343536373839404142722[18],1)</f>
        <v>1</v>
      </c>
    </row>
    <row r="91" spans="2:21">
      <c r="D91" s="286">
        <f>SMALL(Tabell714152021343536373839[1],1)</f>
        <v>0</v>
      </c>
      <c r="E91" s="286">
        <f>SMALL(Tabell714152021343536373839[2],1)</f>
        <v>0</v>
      </c>
      <c r="F91" s="286">
        <f>SMALL(Tabell714152021343536373839[3],1)</f>
        <v>1</v>
      </c>
      <c r="G91" s="286">
        <f>SMALL(Tabell714152021343536373839[4],1)</f>
        <v>1</v>
      </c>
      <c r="H91" s="286">
        <f>SMALL(Tabell714152021343536373839[5],1)</f>
        <v>0</v>
      </c>
      <c r="I91" s="286">
        <f>SMALL(Tabell714152021343536373839[6],1)</f>
        <v>1</v>
      </c>
      <c r="J91" s="286">
        <f>SMALL(Tabell714152021343536373839[7],1)</f>
        <v>1</v>
      </c>
      <c r="K91" s="286">
        <f>SMALL(Tabell714152021343536373839[8],1)</f>
        <v>0</v>
      </c>
      <c r="L91" s="286">
        <f>SMALL(Tabell714152021343536373839[9],1)</f>
        <v>1</v>
      </c>
      <c r="M91" s="286">
        <f>SMALL(Tabell714152021343536373839[10],1)</f>
        <v>1</v>
      </c>
      <c r="N91" s="286">
        <f>SMALL(Tabell714152021343536373839[11],1)</f>
        <v>1</v>
      </c>
      <c r="O91" s="286">
        <f>SMALL(Tabell714152021343536373839[12],1)</f>
        <v>1</v>
      </c>
      <c r="P91" s="286">
        <f>SMALL(Tabell714152021343536373839[13],1)</f>
        <v>1</v>
      </c>
      <c r="Q91" s="286">
        <f>SMALL(Tabell714152021343536373839[14],1)</f>
        <v>1</v>
      </c>
      <c r="R91" s="286">
        <f>SMALL(Tabell714152021343536373839[15],1)</f>
        <v>0</v>
      </c>
      <c r="S91" s="286">
        <f>SMALL(Tabell714152021343536373839[16],1)</f>
        <v>1</v>
      </c>
      <c r="T91" s="286">
        <f>SMALL(Tabell714152021343536373839[17],1)</f>
        <v>1</v>
      </c>
      <c r="U91" s="286">
        <f>SMALL(Tabell714152021343536373839[18],1)</f>
        <v>0</v>
      </c>
    </row>
    <row r="93" spans="2:21">
      <c r="E93" t="s">
        <v>220</v>
      </c>
      <c r="F93" t="s">
        <v>219</v>
      </c>
      <c r="G93" t="s">
        <v>221</v>
      </c>
      <c r="H93" t="s">
        <v>222</v>
      </c>
      <c r="I93" t="s">
        <v>223</v>
      </c>
      <c r="J93" t="s">
        <v>224</v>
      </c>
      <c r="K93" t="s">
        <v>225</v>
      </c>
    </row>
    <row r="94" spans="2:21" ht="15.75">
      <c r="C94" s="311"/>
      <c r="D94" s="312" t="s">
        <v>30</v>
      </c>
      <c r="E94" s="313">
        <v>0</v>
      </c>
      <c r="F94" s="313">
        <v>9.26</v>
      </c>
      <c r="G94" s="313">
        <v>40.74</v>
      </c>
      <c r="H94" s="313">
        <v>27.78</v>
      </c>
      <c r="I94" s="313">
        <v>11.11</v>
      </c>
      <c r="J94" s="313">
        <v>5.56</v>
      </c>
      <c r="K94" s="313">
        <v>5.56</v>
      </c>
    </row>
    <row r="95" spans="2:21">
      <c r="D95" s="314" t="s">
        <v>28</v>
      </c>
      <c r="E95" s="315">
        <v>0</v>
      </c>
      <c r="F95" s="315">
        <v>11.11</v>
      </c>
      <c r="G95" s="315">
        <v>42.59</v>
      </c>
      <c r="H95" s="315">
        <v>29.63</v>
      </c>
      <c r="I95" s="315">
        <v>11.11</v>
      </c>
      <c r="J95" s="315">
        <v>1.85</v>
      </c>
      <c r="K95" s="315">
        <v>3.7</v>
      </c>
    </row>
    <row r="96" spans="2:21">
      <c r="D96" s="312" t="s">
        <v>26</v>
      </c>
      <c r="E96" s="313">
        <v>5.56</v>
      </c>
      <c r="F96" s="313">
        <v>25</v>
      </c>
      <c r="G96" s="313">
        <v>47.22</v>
      </c>
      <c r="H96" s="313">
        <v>22.22</v>
      </c>
      <c r="I96" s="313">
        <v>0</v>
      </c>
      <c r="J96" s="313">
        <v>0</v>
      </c>
      <c r="K96" s="313">
        <v>0</v>
      </c>
    </row>
    <row r="97" spans="4:11" ht="28.5">
      <c r="D97" s="314" t="s">
        <v>33</v>
      </c>
      <c r="E97" s="315">
        <v>0</v>
      </c>
      <c r="F97" s="315">
        <v>5.56</v>
      </c>
      <c r="G97" s="315">
        <v>44.44</v>
      </c>
      <c r="H97" s="315">
        <v>29.63</v>
      </c>
      <c r="I97" s="315">
        <v>12.96</v>
      </c>
      <c r="J97" s="315">
        <v>1.85</v>
      </c>
      <c r="K97" s="315">
        <v>5.56</v>
      </c>
    </row>
    <row r="98" spans="4:11">
      <c r="D98" s="312" t="s">
        <v>37</v>
      </c>
      <c r="E98" s="313">
        <v>0</v>
      </c>
      <c r="F98" s="313">
        <v>5.56</v>
      </c>
      <c r="G98" s="313">
        <v>33.33</v>
      </c>
      <c r="H98" s="313">
        <v>27.78</v>
      </c>
      <c r="I98" s="313">
        <v>16.670000000000002</v>
      </c>
      <c r="J98" s="313">
        <v>16.670000000000002</v>
      </c>
      <c r="K98" s="313">
        <v>0</v>
      </c>
    </row>
    <row r="99" spans="4:11">
      <c r="D99" s="314" t="s">
        <v>42</v>
      </c>
      <c r="E99" s="315">
        <v>0</v>
      </c>
      <c r="F99" s="315">
        <v>2.78</v>
      </c>
      <c r="G99" s="315">
        <v>27.78</v>
      </c>
      <c r="H99" s="315">
        <v>38.89</v>
      </c>
      <c r="I99" s="315">
        <v>19.440000000000001</v>
      </c>
      <c r="J99" s="315">
        <v>2.78</v>
      </c>
      <c r="K99" s="315">
        <v>8.33</v>
      </c>
    </row>
    <row r="100" spans="4:11">
      <c r="D100" s="312" t="s">
        <v>22</v>
      </c>
      <c r="E100" s="313">
        <v>0</v>
      </c>
      <c r="F100" s="313">
        <v>19.440000000000001</v>
      </c>
      <c r="G100" s="313">
        <v>50</v>
      </c>
      <c r="H100" s="313">
        <v>19.440000000000001</v>
      </c>
      <c r="I100" s="313">
        <v>8.33</v>
      </c>
      <c r="J100" s="313">
        <v>2.78</v>
      </c>
      <c r="K100" s="313">
        <v>0</v>
      </c>
    </row>
    <row r="101" spans="4:11">
      <c r="D101" s="314" t="s">
        <v>24</v>
      </c>
      <c r="E101" s="315">
        <v>0</v>
      </c>
      <c r="F101" s="315">
        <v>5.56</v>
      </c>
      <c r="G101" s="315">
        <v>33.33</v>
      </c>
      <c r="H101" s="315">
        <v>44.44</v>
      </c>
      <c r="I101" s="315">
        <v>5.56</v>
      </c>
      <c r="J101" s="315">
        <v>0</v>
      </c>
      <c r="K101" s="315">
        <v>11.11</v>
      </c>
    </row>
    <row r="102" spans="4:11">
      <c r="D102" s="312" t="s">
        <v>35</v>
      </c>
      <c r="E102" s="313">
        <v>0</v>
      </c>
      <c r="F102" s="313">
        <v>7.41</v>
      </c>
      <c r="G102" s="313">
        <v>35.19</v>
      </c>
      <c r="H102" s="313">
        <v>38.89</v>
      </c>
      <c r="I102" s="313">
        <v>16.670000000000002</v>
      </c>
      <c r="J102" s="313">
        <v>1.85</v>
      </c>
      <c r="K102" s="313">
        <v>0</v>
      </c>
    </row>
    <row r="103" spans="4:11">
      <c r="D103" s="314" t="s">
        <v>166</v>
      </c>
      <c r="E103" s="315">
        <v>0</v>
      </c>
      <c r="F103" s="315">
        <v>9.26</v>
      </c>
      <c r="G103" s="315">
        <v>22.22</v>
      </c>
      <c r="H103" s="315">
        <v>22.22</v>
      </c>
      <c r="I103" s="315">
        <v>31.48</v>
      </c>
      <c r="J103" s="315">
        <v>11.11</v>
      </c>
      <c r="K103" s="315">
        <v>3.7</v>
      </c>
    </row>
    <row r="104" spans="4:11">
      <c r="D104" s="312" t="s">
        <v>47</v>
      </c>
      <c r="E104" s="313">
        <v>0</v>
      </c>
      <c r="F104" s="313">
        <v>5.56</v>
      </c>
      <c r="G104" s="313">
        <v>33.33</v>
      </c>
      <c r="H104" s="313">
        <v>22.22</v>
      </c>
      <c r="I104" s="313">
        <v>20.37</v>
      </c>
      <c r="J104" s="313">
        <v>12.96</v>
      </c>
      <c r="K104" s="313">
        <v>5.56</v>
      </c>
    </row>
    <row r="105" spans="4:11">
      <c r="D105" s="314" t="s">
        <v>20</v>
      </c>
      <c r="E105" s="315">
        <v>3.7</v>
      </c>
      <c r="F105" s="315">
        <v>27.78</v>
      </c>
      <c r="G105" s="315">
        <v>40.74</v>
      </c>
      <c r="H105" s="315">
        <v>16.670000000000002</v>
      </c>
      <c r="I105" s="315">
        <v>9.26</v>
      </c>
      <c r="J105" s="315">
        <v>1.85</v>
      </c>
      <c r="K105" s="315">
        <v>0</v>
      </c>
    </row>
    <row r="106" spans="4:11">
      <c r="D106" s="312" t="s">
        <v>39</v>
      </c>
      <c r="E106" s="313">
        <v>0</v>
      </c>
      <c r="F106" s="313">
        <v>12.96</v>
      </c>
      <c r="G106" s="313">
        <v>33.33</v>
      </c>
      <c r="H106" s="313">
        <v>37.04</v>
      </c>
      <c r="I106" s="313">
        <v>11.11</v>
      </c>
      <c r="J106" s="313">
        <v>5.56</v>
      </c>
      <c r="K106" s="313">
        <v>0</v>
      </c>
    </row>
    <row r="107" spans="4:11">
      <c r="D107" s="314" t="s">
        <v>43</v>
      </c>
      <c r="E107" s="315">
        <v>8.33</v>
      </c>
      <c r="F107" s="315">
        <v>22.22</v>
      </c>
      <c r="G107" s="315">
        <v>25</v>
      </c>
      <c r="H107" s="315">
        <v>27.78</v>
      </c>
      <c r="I107" s="315">
        <v>11.11</v>
      </c>
      <c r="J107" s="315">
        <v>0</v>
      </c>
      <c r="K107" s="315">
        <v>5.56</v>
      </c>
    </row>
    <row r="108" spans="4:11">
      <c r="D108" s="312" t="s">
        <v>218</v>
      </c>
      <c r="E108" s="313">
        <v>2.78</v>
      </c>
      <c r="F108" s="313">
        <v>16.670000000000002</v>
      </c>
      <c r="G108" s="313">
        <v>33.33</v>
      </c>
      <c r="H108" s="313">
        <v>25</v>
      </c>
      <c r="I108" s="313">
        <v>13.89</v>
      </c>
      <c r="J108" s="313">
        <v>8.33</v>
      </c>
      <c r="K108" s="313">
        <v>0</v>
      </c>
    </row>
    <row r="109" spans="4:11">
      <c r="D109" s="314" t="s">
        <v>34</v>
      </c>
      <c r="E109" s="315">
        <v>1.85</v>
      </c>
      <c r="F109" s="315">
        <v>11.11</v>
      </c>
      <c r="G109" s="315">
        <v>33.33</v>
      </c>
      <c r="H109" s="315">
        <v>35.19</v>
      </c>
      <c r="I109" s="315">
        <v>11.11</v>
      </c>
      <c r="J109" s="315">
        <v>3.7</v>
      </c>
      <c r="K109" s="315">
        <v>3.7</v>
      </c>
    </row>
  </sheetData>
  <conditionalFormatting sqref="B58:C73">
    <cfRule type="dataBar" priority="732">
      <dataBar>
        <cfvo type="min"/>
        <cfvo type="max"/>
        <color rgb="FFD6007B"/>
      </dataBar>
    </cfRule>
    <cfRule type="colorScale" priority="733">
      <colorScale>
        <cfvo type="min"/>
        <cfvo type="percentile" val="50"/>
        <cfvo type="max"/>
        <color rgb="FFF8696B"/>
        <color rgb="FFFFEB84"/>
        <color rgb="FF5A8AC6"/>
      </colorScale>
    </cfRule>
  </conditionalFormatting>
  <conditionalFormatting sqref="B74:C89">
    <cfRule type="dataBar" priority="718">
      <dataBar>
        <cfvo type="min"/>
        <cfvo type="max"/>
        <color rgb="FFD6007B"/>
      </dataBar>
    </cfRule>
    <cfRule type="colorScale" priority="719">
      <colorScale>
        <cfvo type="min"/>
        <cfvo type="percentile" val="50"/>
        <cfvo type="max"/>
        <color rgb="FFF8696B"/>
        <color rgb="FFFFEB84"/>
        <color rgb="FF5A8AC6"/>
      </colorScale>
    </cfRule>
  </conditionalFormatting>
  <conditionalFormatting sqref="D58:U91">
    <cfRule type="cellIs" dxfId="11" priority="1" operator="greaterThan">
      <formula>2</formula>
    </cfRule>
    <cfRule type="cellIs" dxfId="10" priority="2" operator="equal">
      <formula>2</formula>
    </cfRule>
    <cfRule type="cellIs" dxfId="9" priority="3" operator="equal">
      <formula>1</formula>
    </cfRule>
    <cfRule type="cellIs" dxfId="8" priority="4" operator="equal">
      <formula>0</formula>
    </cfRule>
    <cfRule type="cellIs" dxfId="7" priority="5" operator="equal">
      <formula>-1</formula>
    </cfRule>
    <cfRule type="cellIs" dxfId="6" priority="6" operator="equal">
      <formula>-2</formula>
    </cfRule>
  </conditionalFormatting>
  <conditionalFormatting sqref="W58:W72">
    <cfRule type="cellIs" dxfId="5" priority="23" operator="greaterThan">
      <formula>2</formula>
    </cfRule>
    <cfRule type="cellIs" dxfId="4" priority="24" operator="equal">
      <formula>2</formula>
    </cfRule>
    <cfRule type="cellIs" dxfId="3" priority="25" operator="equal">
      <formula>1</formula>
    </cfRule>
    <cfRule type="cellIs" dxfId="2" priority="26" operator="equal">
      <formula>0</formula>
    </cfRule>
    <cfRule type="cellIs" dxfId="1" priority="27" operator="equal">
      <formula>-1</formula>
    </cfRule>
    <cfRule type="cellIs" dxfId="0" priority="28" operator="equal">
      <formula>-2</formula>
    </cfRule>
  </conditionalFormatting>
  <pageMargins left="0.7" right="0.7" top="0.75" bottom="0.75" header="0.3" footer="0.3"/>
  <pageSetup paperSize="9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3A84D1-C202-4D9A-9E3E-FFC3BB57DEA9}">
  <sheetPr>
    <tabColor theme="7" tint="0.39997558519241921"/>
  </sheetPr>
  <dimension ref="B2:D20"/>
  <sheetViews>
    <sheetView workbookViewId="0">
      <selection activeCell="D21" sqref="D21"/>
    </sheetView>
  </sheetViews>
  <sheetFormatPr defaultRowHeight="15"/>
  <sheetData>
    <row r="2" spans="2:4">
      <c r="B2" t="s">
        <v>230</v>
      </c>
    </row>
    <row r="4" spans="2:4">
      <c r="C4" t="s">
        <v>155</v>
      </c>
      <c r="D4" t="s">
        <v>231</v>
      </c>
    </row>
    <row r="5" spans="2:4">
      <c r="B5" s="222">
        <v>2009</v>
      </c>
      <c r="C5">
        <v>23</v>
      </c>
      <c r="D5" s="265">
        <f>C5/10</f>
        <v>2.2999999999999998</v>
      </c>
    </row>
    <row r="6" spans="2:4">
      <c r="B6">
        <v>2010</v>
      </c>
      <c r="C6">
        <v>28</v>
      </c>
      <c r="D6" s="265">
        <f>C6/9</f>
        <v>3.1111111111111112</v>
      </c>
    </row>
    <row r="7" spans="2:4">
      <c r="B7">
        <v>2011</v>
      </c>
      <c r="C7">
        <v>34</v>
      </c>
      <c r="D7" s="265">
        <f t="shared" ref="D7:D19" si="0">C7/9</f>
        <v>3.7777777777777777</v>
      </c>
    </row>
    <row r="8" spans="2:4">
      <c r="B8">
        <v>2012</v>
      </c>
      <c r="C8">
        <v>25</v>
      </c>
      <c r="D8" s="265">
        <f t="shared" si="0"/>
        <v>2.7777777777777777</v>
      </c>
    </row>
    <row r="9" spans="2:4">
      <c r="B9" s="222">
        <v>2013</v>
      </c>
      <c r="C9">
        <v>20</v>
      </c>
      <c r="D9" s="265">
        <f>C9/10</f>
        <v>2</v>
      </c>
    </row>
    <row r="10" spans="2:4">
      <c r="B10">
        <v>2014</v>
      </c>
      <c r="C10">
        <v>38</v>
      </c>
      <c r="D10" s="265">
        <f t="shared" si="0"/>
        <v>4.2222222222222223</v>
      </c>
    </row>
    <row r="11" spans="2:4">
      <c r="B11">
        <v>2015</v>
      </c>
      <c r="C11">
        <v>43</v>
      </c>
      <c r="D11" s="265">
        <f t="shared" si="0"/>
        <v>4.7777777777777777</v>
      </c>
    </row>
    <row r="12" spans="2:4">
      <c r="B12" s="222">
        <v>2016</v>
      </c>
      <c r="C12">
        <v>32</v>
      </c>
      <c r="D12" s="265">
        <f>C12/10</f>
        <v>3.2</v>
      </c>
    </row>
    <row r="13" spans="2:4">
      <c r="B13">
        <v>2017</v>
      </c>
      <c r="C13">
        <v>36</v>
      </c>
      <c r="D13" s="265">
        <f t="shared" si="0"/>
        <v>4</v>
      </c>
    </row>
    <row r="14" spans="2:4">
      <c r="B14">
        <v>2018</v>
      </c>
      <c r="C14">
        <v>42</v>
      </c>
      <c r="D14" s="265">
        <f t="shared" si="0"/>
        <v>4.666666666666667</v>
      </c>
    </row>
    <row r="15" spans="2:4">
      <c r="B15" s="222">
        <v>2019</v>
      </c>
      <c r="C15">
        <v>38</v>
      </c>
      <c r="D15" s="265">
        <f>C15/10</f>
        <v>3.8</v>
      </c>
    </row>
    <row r="16" spans="2:4">
      <c r="B16">
        <v>2020</v>
      </c>
      <c r="C16">
        <v>8</v>
      </c>
      <c r="D16" s="265">
        <f t="shared" si="0"/>
        <v>0.88888888888888884</v>
      </c>
    </row>
    <row r="17" spans="2:4">
      <c r="B17">
        <v>2021</v>
      </c>
      <c r="C17">
        <v>10</v>
      </c>
      <c r="D17" s="265">
        <f t="shared" si="0"/>
        <v>1.1111111111111112</v>
      </c>
    </row>
    <row r="18" spans="2:4">
      <c r="B18">
        <v>2022</v>
      </c>
      <c r="C18">
        <v>16</v>
      </c>
      <c r="D18" s="265">
        <f t="shared" si="0"/>
        <v>1.7777777777777777</v>
      </c>
    </row>
    <row r="19" spans="2:4">
      <c r="B19">
        <v>2023</v>
      </c>
      <c r="C19">
        <v>31</v>
      </c>
      <c r="D19" s="265">
        <f t="shared" si="0"/>
        <v>3.4444444444444446</v>
      </c>
    </row>
    <row r="20" spans="2:4">
      <c r="B20">
        <v>2024</v>
      </c>
    </row>
  </sheetData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6E0FA4-953E-4F17-9573-ED83316F617C}">
  <dimension ref="A1:A11"/>
  <sheetViews>
    <sheetView workbookViewId="0">
      <selection activeCell="C8" sqref="C8"/>
    </sheetView>
  </sheetViews>
  <sheetFormatPr defaultRowHeight="15"/>
  <sheetData>
    <row r="1" spans="1:1">
      <c r="A1" t="s">
        <v>169</v>
      </c>
    </row>
    <row r="2" spans="1:1">
      <c r="A2" t="s">
        <v>170</v>
      </c>
    </row>
    <row r="3" spans="1:1">
      <c r="A3" t="s">
        <v>171</v>
      </c>
    </row>
    <row r="4" spans="1:1">
      <c r="A4" t="s">
        <v>172</v>
      </c>
    </row>
    <row r="5" spans="1:1">
      <c r="A5" t="s">
        <v>173</v>
      </c>
    </row>
    <row r="6" spans="1:1">
      <c r="A6" t="s">
        <v>174</v>
      </c>
    </row>
    <row r="7" spans="1:1">
      <c r="A7" t="s">
        <v>175</v>
      </c>
    </row>
    <row r="8" spans="1:1">
      <c r="A8" t="s">
        <v>176</v>
      </c>
    </row>
    <row r="9" spans="1:1">
      <c r="A9" t="s">
        <v>177</v>
      </c>
    </row>
    <row r="10" spans="1:1">
      <c r="A10" t="s">
        <v>178</v>
      </c>
    </row>
    <row r="11" spans="1:1">
      <c r="A11" t="s">
        <v>179</v>
      </c>
    </row>
  </sheetData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FC0E2B-865E-4F57-B1A0-49E27D8FFA60}">
  <dimension ref="B2:Z77"/>
  <sheetViews>
    <sheetView zoomScale="70" zoomScaleNormal="70" workbookViewId="0">
      <selection activeCell="V71" sqref="V71"/>
    </sheetView>
  </sheetViews>
  <sheetFormatPr defaultRowHeight="15"/>
  <cols>
    <col min="3" max="3" width="13.42578125" customWidth="1"/>
    <col min="4" max="4" width="16.7109375" bestFit="1" customWidth="1"/>
    <col min="5" max="5" width="13.5703125" bestFit="1" customWidth="1"/>
    <col min="6" max="6" width="13.85546875" bestFit="1" customWidth="1"/>
    <col min="24" max="24" width="14.85546875" customWidth="1"/>
  </cols>
  <sheetData>
    <row r="2" spans="2:26">
      <c r="B2" t="s">
        <v>75</v>
      </c>
      <c r="C2" t="s">
        <v>203</v>
      </c>
      <c r="D2">
        <v>2009</v>
      </c>
      <c r="E2">
        <v>2010</v>
      </c>
      <c r="F2">
        <v>2011</v>
      </c>
      <c r="G2">
        <v>2012</v>
      </c>
      <c r="H2" s="222">
        <v>2013</v>
      </c>
      <c r="I2">
        <v>2014</v>
      </c>
      <c r="J2">
        <v>2015</v>
      </c>
      <c r="K2">
        <v>2016</v>
      </c>
      <c r="L2">
        <v>2017</v>
      </c>
      <c r="M2">
        <v>2018</v>
      </c>
      <c r="N2">
        <v>2019</v>
      </c>
      <c r="O2">
        <v>2020</v>
      </c>
      <c r="P2">
        <v>2021</v>
      </c>
      <c r="Q2">
        <v>2022</v>
      </c>
      <c r="R2">
        <v>2023</v>
      </c>
      <c r="S2" t="s">
        <v>180</v>
      </c>
      <c r="U2" t="s">
        <v>181</v>
      </c>
      <c r="W2" t="s">
        <v>182</v>
      </c>
      <c r="X2" t="s">
        <v>183</v>
      </c>
      <c r="Z2" t="s">
        <v>228</v>
      </c>
    </row>
    <row r="3" spans="2:26">
      <c r="B3" s="221" t="s">
        <v>20</v>
      </c>
      <c r="C3" s="221" t="s">
        <v>21</v>
      </c>
      <c r="D3" s="223">
        <v>85</v>
      </c>
      <c r="E3" s="223">
        <v>88.25</v>
      </c>
      <c r="F3" s="223">
        <v>89.75</v>
      </c>
      <c r="G3" s="223">
        <v>87</v>
      </c>
      <c r="H3" s="223">
        <v>87.6</v>
      </c>
      <c r="I3" s="223">
        <v>91.2</v>
      </c>
      <c r="J3" s="348">
        <v>88.8</v>
      </c>
      <c r="K3" s="223">
        <v>89.25</v>
      </c>
      <c r="L3" s="223">
        <v>89.4</v>
      </c>
      <c r="M3" s="223">
        <v>83.8</v>
      </c>
      <c r="N3" s="223">
        <v>89.2</v>
      </c>
      <c r="O3">
        <v>86.2</v>
      </c>
      <c r="P3" s="223">
        <v>86.2</v>
      </c>
      <c r="Q3" s="155">
        <v>87.2</v>
      </c>
      <c r="R3" s="343">
        <v>88.4</v>
      </c>
      <c r="S3" s="223">
        <f>AVERAGE(D3:R3)</f>
        <v>87.816666666666677</v>
      </c>
      <c r="U3">
        <v>87.4</v>
      </c>
      <c r="W3">
        <f>U3-O3</f>
        <v>1.2000000000000028</v>
      </c>
      <c r="X3" s="223">
        <f>Q3-S3</f>
        <v>-0.61666666666667425</v>
      </c>
      <c r="Z3">
        <f>SMALL(D3:Q3,1)</f>
        <v>83.8</v>
      </c>
    </row>
    <row r="4" spans="2:26">
      <c r="B4" s="221" t="s">
        <v>22</v>
      </c>
      <c r="C4" s="221" t="s">
        <v>23</v>
      </c>
      <c r="D4" s="223">
        <v>90.75</v>
      </c>
      <c r="E4" s="223">
        <v>91.25</v>
      </c>
      <c r="F4" s="223">
        <v>86.5</v>
      </c>
      <c r="G4" s="223">
        <v>85</v>
      </c>
      <c r="H4" s="223">
        <v>87.6</v>
      </c>
      <c r="I4" s="223">
        <v>88</v>
      </c>
      <c r="J4" s="349">
        <v>89.2</v>
      </c>
      <c r="K4" s="223">
        <v>88.75</v>
      </c>
      <c r="L4" s="223">
        <v>89.8</v>
      </c>
      <c r="M4" s="223">
        <v>90.6</v>
      </c>
      <c r="N4" s="223">
        <v>91.8</v>
      </c>
      <c r="O4">
        <v>90.2</v>
      </c>
      <c r="P4" s="223">
        <v>92.4</v>
      </c>
      <c r="Q4" s="155">
        <v>93</v>
      </c>
      <c r="R4" s="344">
        <v>94</v>
      </c>
      <c r="S4" s="223">
        <f t="shared" ref="S4:S18" si="0">AVERAGE(D4:R4)</f>
        <v>89.923333333333346</v>
      </c>
      <c r="U4">
        <v>92.6</v>
      </c>
      <c r="W4">
        <f t="shared" ref="W4:W17" si="1">U4-O4</f>
        <v>2.3999999999999915</v>
      </c>
      <c r="X4" s="223">
        <f t="shared" ref="X4:X37" si="2">Q4-S4</f>
        <v>3.0766666666666538</v>
      </c>
      <c r="Z4">
        <f t="shared" ref="Z4:Z37" si="3">SMALL(D4:Q4,1)</f>
        <v>85</v>
      </c>
    </row>
    <row r="5" spans="2:26">
      <c r="B5" s="221" t="s">
        <v>24</v>
      </c>
      <c r="C5" s="221" t="s">
        <v>25</v>
      </c>
      <c r="D5" s="223">
        <v>94.25</v>
      </c>
      <c r="E5" s="223">
        <v>96</v>
      </c>
      <c r="F5" s="223">
        <v>131.75</v>
      </c>
      <c r="G5" s="223">
        <v>95.75</v>
      </c>
      <c r="H5" s="223">
        <v>95</v>
      </c>
      <c r="I5" s="223">
        <v>96.6</v>
      </c>
      <c r="J5" s="348">
        <v>98</v>
      </c>
      <c r="K5" s="223">
        <v>96.25</v>
      </c>
      <c r="L5" s="223">
        <v>96.6</v>
      </c>
      <c r="M5" s="223">
        <v>100</v>
      </c>
      <c r="N5" s="223">
        <v>95.8</v>
      </c>
      <c r="O5">
        <v>96.4</v>
      </c>
      <c r="P5" s="223">
        <v>97.2</v>
      </c>
      <c r="Q5" s="155">
        <v>101</v>
      </c>
      <c r="R5" s="343"/>
      <c r="S5" s="223">
        <f t="shared" si="0"/>
        <v>99.328571428571436</v>
      </c>
      <c r="U5">
        <v>97.2</v>
      </c>
      <c r="W5">
        <f t="shared" si="1"/>
        <v>0.79999999999999716</v>
      </c>
      <c r="X5" s="223">
        <f t="shared" si="2"/>
        <v>1.6714285714285637</v>
      </c>
      <c r="Z5">
        <f t="shared" si="3"/>
        <v>94.25</v>
      </c>
    </row>
    <row r="6" spans="2:26">
      <c r="B6" s="221" t="s">
        <v>26</v>
      </c>
      <c r="C6" s="221" t="s">
        <v>135</v>
      </c>
      <c r="D6" s="223">
        <v>99</v>
      </c>
      <c r="E6" s="223">
        <v>98.5</v>
      </c>
      <c r="F6" s="223">
        <v>99.25</v>
      </c>
      <c r="G6" s="223">
        <v>88.5</v>
      </c>
      <c r="H6" s="223">
        <v>91.6</v>
      </c>
      <c r="I6" s="223">
        <v>96.8</v>
      </c>
      <c r="J6" s="349">
        <v>101</v>
      </c>
      <c r="K6" s="223">
        <v>115.5</v>
      </c>
      <c r="L6" s="223">
        <v>98.4</v>
      </c>
      <c r="M6" s="223">
        <v>98</v>
      </c>
      <c r="N6" s="223">
        <v>104.4</v>
      </c>
      <c r="O6">
        <v>90.6</v>
      </c>
      <c r="P6" s="223">
        <v>90</v>
      </c>
      <c r="Q6" s="155">
        <v>94.2</v>
      </c>
      <c r="R6" s="344">
        <v>90.4</v>
      </c>
      <c r="S6" s="223">
        <f t="shared" si="0"/>
        <v>97.076666666666668</v>
      </c>
      <c r="U6">
        <v>90.8</v>
      </c>
      <c r="W6">
        <f t="shared" si="1"/>
        <v>0.20000000000000284</v>
      </c>
      <c r="X6" s="223">
        <f t="shared" si="2"/>
        <v>-2.8766666666666652</v>
      </c>
      <c r="Z6">
        <f t="shared" si="3"/>
        <v>88.5</v>
      </c>
    </row>
    <row r="7" spans="2:26">
      <c r="B7" s="221" t="s">
        <v>28</v>
      </c>
      <c r="C7" s="221" t="s">
        <v>29</v>
      </c>
      <c r="D7" s="223">
        <v>96.25</v>
      </c>
      <c r="E7" s="223">
        <v>98.25</v>
      </c>
      <c r="F7" s="223">
        <v>89.5</v>
      </c>
      <c r="G7" s="223">
        <v>101.5</v>
      </c>
      <c r="H7" s="223">
        <v>96.4</v>
      </c>
      <c r="I7" s="223">
        <v>93.4</v>
      </c>
      <c r="J7" s="348">
        <v>94.4</v>
      </c>
      <c r="K7" s="223">
        <v>96</v>
      </c>
      <c r="L7" s="223">
        <v>94.2</v>
      </c>
      <c r="M7" s="223">
        <v>93.8</v>
      </c>
      <c r="N7" s="223">
        <v>91.6</v>
      </c>
      <c r="O7">
        <v>93.8</v>
      </c>
      <c r="P7" s="223">
        <v>93.6</v>
      </c>
      <c r="Q7" s="155">
        <v>96.2</v>
      </c>
      <c r="R7" s="343">
        <v>96.6</v>
      </c>
      <c r="S7" s="223">
        <f t="shared" si="0"/>
        <v>95.033333333333317</v>
      </c>
      <c r="U7">
        <v>95.2</v>
      </c>
      <c r="W7">
        <f t="shared" si="1"/>
        <v>1.4000000000000057</v>
      </c>
      <c r="X7" s="223">
        <f t="shared" si="2"/>
        <v>1.1666666666666856</v>
      </c>
      <c r="Z7">
        <f t="shared" si="3"/>
        <v>89.5</v>
      </c>
    </row>
    <row r="8" spans="2:26">
      <c r="B8" s="221" t="s">
        <v>30</v>
      </c>
      <c r="C8" s="221" t="s">
        <v>31</v>
      </c>
      <c r="D8" s="223">
        <v>98.25</v>
      </c>
      <c r="E8" s="223">
        <v>106.25</v>
      </c>
      <c r="F8" s="223">
        <v>103.25</v>
      </c>
      <c r="G8" s="223">
        <v>102.5</v>
      </c>
      <c r="H8" s="223">
        <v>105.4</v>
      </c>
      <c r="I8" s="223">
        <v>101.4</v>
      </c>
      <c r="J8" s="349">
        <v>95</v>
      </c>
      <c r="K8" s="223">
        <v>98.25</v>
      </c>
      <c r="L8" s="223">
        <v>100.4</v>
      </c>
      <c r="M8" s="223">
        <v>102.2</v>
      </c>
      <c r="N8" s="223">
        <v>103.6</v>
      </c>
      <c r="O8">
        <v>101.4</v>
      </c>
      <c r="P8" s="223">
        <v>101.6</v>
      </c>
      <c r="Q8" s="155">
        <v>103.4</v>
      </c>
      <c r="R8" s="344">
        <v>100.6</v>
      </c>
      <c r="S8" s="223">
        <f t="shared" si="0"/>
        <v>101.56666666666666</v>
      </c>
      <c r="U8">
        <v>103</v>
      </c>
      <c r="W8">
        <f t="shared" si="1"/>
        <v>1.5999999999999943</v>
      </c>
      <c r="X8" s="223">
        <f t="shared" si="2"/>
        <v>1.8333333333333428</v>
      </c>
      <c r="Z8">
        <f t="shared" si="3"/>
        <v>95</v>
      </c>
    </row>
    <row r="9" spans="2:26">
      <c r="B9" s="221" t="s">
        <v>32</v>
      </c>
      <c r="C9" s="221" t="s">
        <v>33</v>
      </c>
      <c r="D9" s="223">
        <v>98.75</v>
      </c>
      <c r="E9" s="223">
        <v>104</v>
      </c>
      <c r="F9" s="223">
        <v>102.75</v>
      </c>
      <c r="G9" s="223">
        <v>95.25</v>
      </c>
      <c r="H9" s="223">
        <v>99.6</v>
      </c>
      <c r="I9" s="223">
        <v>97</v>
      </c>
      <c r="J9" s="348">
        <v>93.6</v>
      </c>
      <c r="K9" s="223">
        <v>96.25</v>
      </c>
      <c r="L9" s="223">
        <v>95.2</v>
      </c>
      <c r="M9" s="223">
        <v>108.2</v>
      </c>
      <c r="N9" s="223">
        <v>95.8</v>
      </c>
      <c r="O9">
        <v>99.4</v>
      </c>
      <c r="P9" s="223">
        <v>95.6</v>
      </c>
      <c r="Q9" s="155">
        <v>100.2</v>
      </c>
      <c r="R9" s="343">
        <v>101.2</v>
      </c>
      <c r="S9" s="223">
        <f t="shared" si="0"/>
        <v>98.853333333333339</v>
      </c>
      <c r="U9">
        <v>98.4</v>
      </c>
      <c r="W9">
        <f t="shared" si="1"/>
        <v>-1</v>
      </c>
      <c r="X9" s="223">
        <f t="shared" si="2"/>
        <v>1.346666666666664</v>
      </c>
      <c r="Z9">
        <f t="shared" si="3"/>
        <v>93.6</v>
      </c>
    </row>
    <row r="10" spans="2:26">
      <c r="B10" s="221" t="s">
        <v>20</v>
      </c>
      <c r="C10" s="221" t="s">
        <v>34</v>
      </c>
      <c r="D10" s="223"/>
      <c r="E10" s="223"/>
      <c r="F10" s="223"/>
      <c r="G10" s="223"/>
      <c r="H10" s="223"/>
      <c r="I10" s="223"/>
      <c r="J10" s="349"/>
      <c r="K10" s="223"/>
      <c r="L10" s="223"/>
      <c r="M10" s="223">
        <v>99.4</v>
      </c>
      <c r="N10" s="223">
        <v>104</v>
      </c>
      <c r="O10">
        <v>102.8</v>
      </c>
      <c r="P10" s="223">
        <v>104.4</v>
      </c>
      <c r="Q10" s="155">
        <v>102.4</v>
      </c>
      <c r="R10" s="344">
        <v>100.6</v>
      </c>
      <c r="S10" s="223">
        <f t="shared" si="0"/>
        <v>102.26666666666667</v>
      </c>
      <c r="U10">
        <v>104.8</v>
      </c>
      <c r="W10">
        <f t="shared" si="1"/>
        <v>2</v>
      </c>
      <c r="X10" s="223">
        <f t="shared" si="2"/>
        <v>0.13333333333333997</v>
      </c>
      <c r="Z10">
        <f t="shared" si="3"/>
        <v>99.4</v>
      </c>
    </row>
    <row r="11" spans="2:26">
      <c r="B11" s="221" t="s">
        <v>35</v>
      </c>
      <c r="C11" s="221" t="s">
        <v>36</v>
      </c>
      <c r="D11" s="223"/>
      <c r="E11" s="223">
        <v>120</v>
      </c>
      <c r="F11" s="223">
        <v>107.5</v>
      </c>
      <c r="G11" s="223">
        <v>103.75</v>
      </c>
      <c r="H11" s="223">
        <v>102</v>
      </c>
      <c r="I11" s="223">
        <v>100.4</v>
      </c>
      <c r="J11" s="348">
        <v>103.6</v>
      </c>
      <c r="K11" s="223">
        <v>108.25</v>
      </c>
      <c r="L11" s="223">
        <v>105</v>
      </c>
      <c r="M11" s="223">
        <v>120.8</v>
      </c>
      <c r="N11" s="223">
        <v>111</v>
      </c>
      <c r="O11">
        <v>105.6</v>
      </c>
      <c r="P11" s="223">
        <v>103.6</v>
      </c>
      <c r="Q11" s="155">
        <v>110.2</v>
      </c>
      <c r="R11" s="343">
        <v>106.6</v>
      </c>
      <c r="S11" s="223">
        <f t="shared" si="0"/>
        <v>107.73571428571427</v>
      </c>
      <c r="U11">
        <v>104.2</v>
      </c>
      <c r="W11">
        <f t="shared" si="1"/>
        <v>-1.3999999999999915</v>
      </c>
      <c r="X11" s="223">
        <f t="shared" si="2"/>
        <v>2.4642857142857366</v>
      </c>
      <c r="Z11">
        <f t="shared" si="3"/>
        <v>100.4</v>
      </c>
    </row>
    <row r="12" spans="2:26">
      <c r="B12" s="221" t="s">
        <v>37</v>
      </c>
      <c r="C12" s="221" t="s">
        <v>38</v>
      </c>
      <c r="D12" s="223">
        <v>100.25</v>
      </c>
      <c r="E12" s="223">
        <v>95.75</v>
      </c>
      <c r="F12" s="223">
        <v>95.75</v>
      </c>
      <c r="G12" s="223">
        <v>95</v>
      </c>
      <c r="H12" s="223">
        <v>98.4</v>
      </c>
      <c r="I12" s="223">
        <v>95</v>
      </c>
      <c r="J12" s="349">
        <v>96.2</v>
      </c>
      <c r="K12" s="223">
        <v>99.25</v>
      </c>
      <c r="L12" s="223">
        <v>99.8</v>
      </c>
      <c r="M12" s="223">
        <v>103</v>
      </c>
      <c r="N12" s="223">
        <v>103.6</v>
      </c>
      <c r="O12">
        <v>98</v>
      </c>
      <c r="P12" s="223">
        <v>104</v>
      </c>
      <c r="Q12" s="155">
        <v>102</v>
      </c>
      <c r="R12" s="344"/>
      <c r="S12" s="223">
        <f t="shared" si="0"/>
        <v>99</v>
      </c>
      <c r="U12">
        <v>108.4</v>
      </c>
      <c r="W12">
        <f t="shared" si="1"/>
        <v>10.400000000000006</v>
      </c>
      <c r="X12" s="223">
        <f t="shared" si="2"/>
        <v>3</v>
      </c>
      <c r="Z12">
        <f t="shared" si="3"/>
        <v>95</v>
      </c>
    </row>
    <row r="13" spans="2:26">
      <c r="B13" s="221" t="s">
        <v>39</v>
      </c>
      <c r="C13" s="221" t="s">
        <v>40</v>
      </c>
      <c r="D13" s="223"/>
      <c r="E13" s="223"/>
      <c r="F13" s="223">
        <v>96.25</v>
      </c>
      <c r="G13" s="223">
        <v>106.25</v>
      </c>
      <c r="H13" s="223">
        <v>107.6</v>
      </c>
      <c r="I13" s="223">
        <v>125.4</v>
      </c>
      <c r="J13" s="348">
        <v>104.4</v>
      </c>
      <c r="K13" s="223">
        <v>107.75</v>
      </c>
      <c r="L13" s="223">
        <v>100.8</v>
      </c>
      <c r="M13" s="223">
        <v>107.8</v>
      </c>
      <c r="N13" s="223">
        <v>104.8</v>
      </c>
      <c r="O13">
        <v>99.6</v>
      </c>
      <c r="P13" s="223">
        <v>118.4</v>
      </c>
      <c r="Q13" s="155">
        <v>99.2</v>
      </c>
      <c r="R13" s="343">
        <v>98.6</v>
      </c>
      <c r="S13" s="223">
        <f t="shared" si="0"/>
        <v>105.91153846153846</v>
      </c>
      <c r="U13">
        <v>118.4</v>
      </c>
      <c r="W13">
        <f t="shared" si="1"/>
        <v>18.800000000000011</v>
      </c>
      <c r="X13" s="223">
        <f t="shared" si="2"/>
        <v>-6.7115384615384528</v>
      </c>
      <c r="Z13">
        <f t="shared" si="3"/>
        <v>96.25</v>
      </c>
    </row>
    <row r="14" spans="2:26">
      <c r="B14" s="221" t="s">
        <v>32</v>
      </c>
      <c r="C14" s="221" t="s">
        <v>41</v>
      </c>
      <c r="D14" s="223">
        <v>110.25</v>
      </c>
      <c r="E14" s="223">
        <v>114.25</v>
      </c>
      <c r="F14" s="223"/>
      <c r="G14" s="223">
        <v>104.25</v>
      </c>
      <c r="H14" s="223">
        <v>104.8</v>
      </c>
      <c r="I14" s="223">
        <v>109.2</v>
      </c>
      <c r="J14" s="349">
        <v>127.8</v>
      </c>
      <c r="K14" s="223">
        <v>109.5</v>
      </c>
      <c r="L14" s="223">
        <v>114</v>
      </c>
      <c r="M14" s="223"/>
      <c r="N14" s="223">
        <v>136.19999999999999</v>
      </c>
      <c r="O14">
        <v>109.2</v>
      </c>
      <c r="P14" s="223">
        <v>110.8</v>
      </c>
      <c r="Q14" s="155">
        <v>109.4</v>
      </c>
      <c r="R14" s="344">
        <v>111.8</v>
      </c>
      <c r="S14" s="223">
        <f t="shared" si="0"/>
        <v>113.18846153846154</v>
      </c>
      <c r="U14">
        <v>113.6</v>
      </c>
      <c r="W14">
        <f t="shared" si="1"/>
        <v>4.3999999999999915</v>
      </c>
      <c r="X14" s="223">
        <f t="shared" si="2"/>
        <v>-3.788461538461533</v>
      </c>
      <c r="Z14">
        <f t="shared" si="3"/>
        <v>104.25</v>
      </c>
    </row>
    <row r="15" spans="2:26">
      <c r="B15" s="221" t="s">
        <v>42</v>
      </c>
      <c r="C15" s="221" t="s">
        <v>134</v>
      </c>
      <c r="D15" s="223">
        <v>116</v>
      </c>
      <c r="E15" s="223">
        <v>117.75</v>
      </c>
      <c r="F15" s="223">
        <v>108.75</v>
      </c>
      <c r="G15" s="223">
        <v>104</v>
      </c>
      <c r="H15" s="223">
        <v>102.4</v>
      </c>
      <c r="I15" s="223">
        <v>110.8</v>
      </c>
      <c r="J15" s="348">
        <v>111.6</v>
      </c>
      <c r="K15" s="223">
        <v>129</v>
      </c>
      <c r="L15" s="223">
        <v>105.8</v>
      </c>
      <c r="M15" s="223">
        <v>104.2</v>
      </c>
      <c r="N15" s="223">
        <v>103.2</v>
      </c>
      <c r="O15">
        <v>104.2</v>
      </c>
      <c r="P15" s="223">
        <v>100.6</v>
      </c>
      <c r="Q15" s="155">
        <v>102.8</v>
      </c>
      <c r="R15" s="343">
        <v>105.6</v>
      </c>
      <c r="S15" s="223">
        <f t="shared" si="0"/>
        <v>108.44666666666666</v>
      </c>
      <c r="U15">
        <v>100.6</v>
      </c>
      <c r="W15">
        <f t="shared" si="1"/>
        <v>-3.6000000000000085</v>
      </c>
      <c r="X15" s="223">
        <f t="shared" si="2"/>
        <v>-5.6466666666666612</v>
      </c>
      <c r="Z15">
        <f t="shared" si="3"/>
        <v>100.6</v>
      </c>
    </row>
    <row r="16" spans="2:26">
      <c r="B16" s="221" t="s">
        <v>43</v>
      </c>
      <c r="C16" s="221" t="s">
        <v>44</v>
      </c>
      <c r="D16" s="223"/>
      <c r="E16" s="223"/>
      <c r="F16" s="223"/>
      <c r="G16" s="223">
        <v>101.25</v>
      </c>
      <c r="H16" s="223">
        <v>96.2</v>
      </c>
      <c r="I16" s="223">
        <v>98</v>
      </c>
      <c r="J16" s="349">
        <v>101</v>
      </c>
      <c r="K16" s="223">
        <v>101.5</v>
      </c>
      <c r="L16" s="223">
        <v>104.2</v>
      </c>
      <c r="M16" s="223">
        <v>101.8</v>
      </c>
      <c r="N16" s="223">
        <v>96.6</v>
      </c>
      <c r="O16">
        <v>97</v>
      </c>
      <c r="P16" s="223">
        <v>91</v>
      </c>
      <c r="Q16" s="155">
        <v>96.6</v>
      </c>
      <c r="R16" s="344">
        <v>99</v>
      </c>
      <c r="S16" s="223">
        <f t="shared" si="0"/>
        <v>98.67916666666666</v>
      </c>
      <c r="U16">
        <v>91.6</v>
      </c>
      <c r="W16">
        <f t="shared" si="1"/>
        <v>-5.4000000000000057</v>
      </c>
      <c r="X16" s="223">
        <f t="shared" si="2"/>
        <v>-2.0791666666666657</v>
      </c>
      <c r="Z16">
        <f t="shared" si="3"/>
        <v>91</v>
      </c>
    </row>
    <row r="17" spans="2:26">
      <c r="B17" s="221" t="s">
        <v>45</v>
      </c>
      <c r="C17" s="221" t="s">
        <v>46</v>
      </c>
      <c r="D17" s="223"/>
      <c r="E17" s="223"/>
      <c r="F17" s="223">
        <v>86</v>
      </c>
      <c r="G17" s="223">
        <v>89.75</v>
      </c>
      <c r="H17" s="223">
        <v>88.6</v>
      </c>
      <c r="I17" s="223">
        <v>87.2</v>
      </c>
      <c r="J17" s="223"/>
      <c r="K17" s="223">
        <v>89.75</v>
      </c>
      <c r="L17" s="223">
        <v>105.6</v>
      </c>
      <c r="M17" s="223">
        <v>138.19999999999999</v>
      </c>
      <c r="N17" s="223">
        <v>97.2</v>
      </c>
      <c r="O17">
        <v>94.2</v>
      </c>
      <c r="P17" s="223">
        <v>92.8</v>
      </c>
      <c r="Q17" s="155">
        <v>99.4</v>
      </c>
      <c r="R17" s="343">
        <v>97.8</v>
      </c>
      <c r="S17" s="223">
        <f t="shared" si="0"/>
        <v>97.208333333333329</v>
      </c>
      <c r="U17">
        <v>92.8</v>
      </c>
      <c r="W17">
        <f t="shared" si="1"/>
        <v>-1.4000000000000057</v>
      </c>
      <c r="X17" s="223">
        <f t="shared" si="2"/>
        <v>2.1916666666666771</v>
      </c>
      <c r="Z17">
        <f t="shared" si="3"/>
        <v>86</v>
      </c>
    </row>
    <row r="18" spans="2:26">
      <c r="B18" s="221"/>
      <c r="C18" s="221" t="s">
        <v>70</v>
      </c>
      <c r="D18" s="223"/>
      <c r="E18" s="223"/>
      <c r="F18" s="223"/>
      <c r="G18" s="223"/>
      <c r="H18" s="223"/>
      <c r="I18" s="223"/>
      <c r="J18" s="223"/>
      <c r="K18" s="223"/>
      <c r="L18" s="223"/>
      <c r="M18" s="223"/>
      <c r="N18" s="223"/>
      <c r="O18" s="223"/>
      <c r="P18" s="223">
        <v>113.7</v>
      </c>
      <c r="Q18" s="155">
        <v>112.2</v>
      </c>
      <c r="R18" s="344">
        <v>110.8</v>
      </c>
      <c r="S18" s="223">
        <f t="shared" si="0"/>
        <v>112.23333333333333</v>
      </c>
      <c r="X18" s="223">
        <f t="shared" si="2"/>
        <v>-3.3333333333331439E-2</v>
      </c>
      <c r="Z18">
        <f t="shared" si="3"/>
        <v>112.2</v>
      </c>
    </row>
    <row r="19" spans="2:26">
      <c r="B19" s="221"/>
      <c r="C19" s="221"/>
      <c r="D19" s="351">
        <f t="shared" ref="D19:P19" si="4">AVERAGE(D3:D18)</f>
        <v>98.875</v>
      </c>
      <c r="E19" s="351">
        <f t="shared" si="4"/>
        <v>102.75</v>
      </c>
      <c r="F19" s="351">
        <f t="shared" si="4"/>
        <v>99.75</v>
      </c>
      <c r="G19" s="351">
        <f t="shared" si="4"/>
        <v>97.125</v>
      </c>
      <c r="H19" s="351">
        <f t="shared" si="4"/>
        <v>97.371428571428581</v>
      </c>
      <c r="I19" s="351">
        <f t="shared" si="4"/>
        <v>99.314285714285703</v>
      </c>
      <c r="J19" s="351">
        <f t="shared" si="4"/>
        <v>100.35384615384615</v>
      </c>
      <c r="K19" s="351">
        <f t="shared" si="4"/>
        <v>101.80357142857143</v>
      </c>
      <c r="L19" s="351">
        <f t="shared" si="4"/>
        <v>99.942857142857136</v>
      </c>
      <c r="M19" s="351">
        <f t="shared" si="4"/>
        <v>103.7</v>
      </c>
      <c r="N19" s="351">
        <f t="shared" si="4"/>
        <v>101.92000000000002</v>
      </c>
      <c r="O19" s="351">
        <f t="shared" si="4"/>
        <v>97.90666666666668</v>
      </c>
      <c r="P19" s="351">
        <f t="shared" si="4"/>
        <v>99.743749999999991</v>
      </c>
      <c r="Q19" s="351">
        <f>AVERAGE(Q3:Q18)</f>
        <v>100.58750000000001</v>
      </c>
      <c r="R19" s="351">
        <f>AVERAGE(R3:R18)</f>
        <v>100.14285714285714</v>
      </c>
      <c r="S19" s="351">
        <f>AVERAGE(S3:S18)</f>
        <v>100.89177827380951</v>
      </c>
      <c r="X19" s="223"/>
    </row>
    <row r="20" spans="2:26">
      <c r="S20" s="223"/>
      <c r="X20" s="223"/>
    </row>
    <row r="21" spans="2:26">
      <c r="B21" s="221" t="s">
        <v>55</v>
      </c>
      <c r="D21">
        <v>2009</v>
      </c>
      <c r="E21">
        <v>2010</v>
      </c>
      <c r="F21">
        <v>2011</v>
      </c>
      <c r="G21">
        <v>2012</v>
      </c>
      <c r="H21" s="222">
        <v>2013</v>
      </c>
      <c r="I21">
        <v>2014</v>
      </c>
      <c r="J21">
        <v>2015</v>
      </c>
      <c r="K21">
        <v>2016</v>
      </c>
      <c r="L21">
        <v>2017</v>
      </c>
      <c r="M21">
        <v>2018</v>
      </c>
      <c r="N21">
        <v>2019</v>
      </c>
      <c r="O21">
        <v>2020</v>
      </c>
      <c r="P21">
        <v>2021</v>
      </c>
      <c r="Q21">
        <v>2022</v>
      </c>
      <c r="R21">
        <v>2023</v>
      </c>
      <c r="S21" s="223" t="s">
        <v>184</v>
      </c>
      <c r="U21" t="s">
        <v>181</v>
      </c>
      <c r="X21" s="223"/>
    </row>
    <row r="22" spans="2:26">
      <c r="B22" s="221" t="s">
        <v>20</v>
      </c>
      <c r="C22" s="221" t="s">
        <v>21</v>
      </c>
      <c r="D22">
        <v>71.5</v>
      </c>
      <c r="E22">
        <v>72.75</v>
      </c>
      <c r="F22">
        <v>76.25</v>
      </c>
      <c r="G22">
        <v>72</v>
      </c>
      <c r="H22">
        <v>72.8</v>
      </c>
      <c r="I22">
        <v>85.4</v>
      </c>
      <c r="J22" s="345">
        <v>73.599999999999994</v>
      </c>
      <c r="K22">
        <v>73.2</v>
      </c>
      <c r="L22">
        <v>76.2</v>
      </c>
      <c r="M22">
        <v>70.8</v>
      </c>
      <c r="N22">
        <v>76.400000000000006</v>
      </c>
      <c r="O22">
        <v>70.599999999999994</v>
      </c>
      <c r="P22" s="223">
        <v>72.2</v>
      </c>
      <c r="Q22" s="223">
        <v>71.8</v>
      </c>
      <c r="R22" s="223">
        <v>73</v>
      </c>
      <c r="S22" s="223">
        <f>AVERAGE(D22:R22)</f>
        <v>73.90000000000002</v>
      </c>
      <c r="U22">
        <v>73</v>
      </c>
      <c r="W22" s="223">
        <f>U22-O22</f>
        <v>2.4000000000000057</v>
      </c>
      <c r="X22" s="223">
        <f t="shared" si="2"/>
        <v>-2.1000000000000227</v>
      </c>
      <c r="Y22" s="265"/>
      <c r="Z22">
        <f t="shared" si="3"/>
        <v>70.599999999999994</v>
      </c>
    </row>
    <row r="23" spans="2:26">
      <c r="B23" s="221" t="s">
        <v>22</v>
      </c>
      <c r="C23" s="221" t="s">
        <v>23</v>
      </c>
      <c r="D23">
        <v>76</v>
      </c>
      <c r="E23">
        <v>75.25</v>
      </c>
      <c r="F23">
        <v>72</v>
      </c>
      <c r="G23">
        <v>71.25</v>
      </c>
      <c r="H23">
        <v>74</v>
      </c>
      <c r="I23">
        <v>75</v>
      </c>
      <c r="J23" s="346">
        <v>75.2</v>
      </c>
      <c r="K23">
        <v>75.400000000000006</v>
      </c>
      <c r="L23">
        <v>74</v>
      </c>
      <c r="M23">
        <v>75.599999999999994</v>
      </c>
      <c r="N23">
        <v>76.2</v>
      </c>
      <c r="O23">
        <v>72.2</v>
      </c>
      <c r="P23" s="223">
        <v>74.2</v>
      </c>
      <c r="Q23" s="223">
        <v>74.2</v>
      </c>
      <c r="R23" s="223">
        <v>75.2</v>
      </c>
      <c r="S23" s="223">
        <f t="shared" ref="S23:S37" si="5">AVERAGE(D23:R23)</f>
        <v>74.380000000000024</v>
      </c>
      <c r="U23">
        <v>74.599999999999994</v>
      </c>
      <c r="W23" s="223">
        <f t="shared" ref="W23:W36" si="6">U23-O23</f>
        <v>2.3999999999999915</v>
      </c>
      <c r="X23" s="223">
        <f t="shared" si="2"/>
        <v>-0.18000000000002103</v>
      </c>
      <c r="Y23" s="265"/>
      <c r="Z23">
        <f t="shared" si="3"/>
        <v>71.25</v>
      </c>
    </row>
    <row r="24" spans="2:26">
      <c r="B24" s="221" t="s">
        <v>24</v>
      </c>
      <c r="C24" s="221" t="s">
        <v>25</v>
      </c>
      <c r="D24">
        <v>73</v>
      </c>
      <c r="E24">
        <v>73.75</v>
      </c>
      <c r="F24">
        <v>102.5</v>
      </c>
      <c r="G24">
        <v>75.5</v>
      </c>
      <c r="H24">
        <v>76</v>
      </c>
      <c r="I24">
        <v>77.2</v>
      </c>
      <c r="J24" s="345">
        <v>78</v>
      </c>
      <c r="K24">
        <v>75.599999999999994</v>
      </c>
      <c r="L24">
        <v>77.8</v>
      </c>
      <c r="M24">
        <v>79.2</v>
      </c>
      <c r="N24">
        <v>75.8</v>
      </c>
      <c r="O24">
        <v>75.2</v>
      </c>
      <c r="P24" s="223">
        <v>75.2</v>
      </c>
      <c r="Q24" s="223">
        <v>76.599999999999994</v>
      </c>
      <c r="R24" s="223"/>
      <c r="S24" s="223">
        <f t="shared" si="5"/>
        <v>77.953571428571436</v>
      </c>
      <c r="U24">
        <v>75.2</v>
      </c>
      <c r="W24" s="223">
        <f t="shared" si="6"/>
        <v>0</v>
      </c>
      <c r="X24" s="223">
        <f t="shared" si="2"/>
        <v>-1.353571428571442</v>
      </c>
      <c r="Y24" s="265"/>
      <c r="Z24">
        <f t="shared" si="3"/>
        <v>73</v>
      </c>
    </row>
    <row r="25" spans="2:26">
      <c r="B25" s="221" t="s">
        <v>26</v>
      </c>
      <c r="C25" s="221" t="s">
        <v>135</v>
      </c>
      <c r="D25">
        <v>84.25</v>
      </c>
      <c r="E25">
        <v>82.75</v>
      </c>
      <c r="F25">
        <v>85.5</v>
      </c>
      <c r="G25">
        <v>75</v>
      </c>
      <c r="H25">
        <v>78</v>
      </c>
      <c r="I25">
        <v>83.8</v>
      </c>
      <c r="J25" s="346">
        <v>85.2</v>
      </c>
      <c r="K25">
        <v>101.8</v>
      </c>
      <c r="L25">
        <v>80.599999999999994</v>
      </c>
      <c r="M25">
        <v>77.8</v>
      </c>
      <c r="N25">
        <v>84.6</v>
      </c>
      <c r="O25">
        <v>71</v>
      </c>
      <c r="P25" s="223">
        <v>74.2</v>
      </c>
      <c r="Q25" s="223">
        <v>74.599999999999994</v>
      </c>
      <c r="R25" s="223">
        <v>75</v>
      </c>
      <c r="S25" s="223">
        <f t="shared" si="5"/>
        <v>80.94</v>
      </c>
      <c r="U25">
        <v>72.8</v>
      </c>
      <c r="W25" s="223">
        <f t="shared" si="6"/>
        <v>1.7999999999999972</v>
      </c>
      <c r="X25" s="223">
        <f t="shared" si="2"/>
        <v>-6.3400000000000034</v>
      </c>
      <c r="Y25" s="265"/>
      <c r="Z25">
        <f t="shared" si="3"/>
        <v>71</v>
      </c>
    </row>
    <row r="26" spans="2:26">
      <c r="B26" s="221" t="s">
        <v>28</v>
      </c>
      <c r="C26" s="221" t="s">
        <v>29</v>
      </c>
      <c r="D26">
        <v>75</v>
      </c>
      <c r="E26">
        <v>75.75</v>
      </c>
      <c r="F26">
        <v>69.5</v>
      </c>
      <c r="G26">
        <v>82</v>
      </c>
      <c r="H26">
        <v>74</v>
      </c>
      <c r="I26">
        <v>73.400000000000006</v>
      </c>
      <c r="J26" s="345">
        <v>74.2</v>
      </c>
      <c r="K26">
        <v>74</v>
      </c>
      <c r="L26">
        <v>75.2</v>
      </c>
      <c r="M26">
        <v>75.2</v>
      </c>
      <c r="N26">
        <v>74.599999999999994</v>
      </c>
      <c r="O26">
        <v>73.599999999999994</v>
      </c>
      <c r="P26" s="223">
        <v>72.400000000000006</v>
      </c>
      <c r="Q26" s="223">
        <v>73</v>
      </c>
      <c r="R26" s="223">
        <v>73.8</v>
      </c>
      <c r="S26" s="223">
        <f t="shared" si="5"/>
        <v>74.376666666666679</v>
      </c>
      <c r="U26">
        <v>73.8</v>
      </c>
      <c r="W26" s="223">
        <f t="shared" si="6"/>
        <v>0.20000000000000284</v>
      </c>
      <c r="X26" s="223">
        <f t="shared" si="2"/>
        <v>-1.3766666666666794</v>
      </c>
      <c r="Y26" s="265"/>
      <c r="Z26">
        <f t="shared" si="3"/>
        <v>69.5</v>
      </c>
    </row>
    <row r="27" spans="2:26">
      <c r="B27" s="221" t="s">
        <v>30</v>
      </c>
      <c r="C27" s="221" t="s">
        <v>31</v>
      </c>
      <c r="D27">
        <v>76.75</v>
      </c>
      <c r="E27">
        <v>83.25</v>
      </c>
      <c r="F27">
        <v>81</v>
      </c>
      <c r="G27">
        <v>79.75</v>
      </c>
      <c r="H27">
        <v>82.4</v>
      </c>
      <c r="I27">
        <v>76</v>
      </c>
      <c r="J27" s="346">
        <v>73.2</v>
      </c>
      <c r="K27">
        <v>75</v>
      </c>
      <c r="L27">
        <v>78</v>
      </c>
      <c r="M27">
        <v>77</v>
      </c>
      <c r="N27">
        <v>78.400000000000006</v>
      </c>
      <c r="O27">
        <v>72.8</v>
      </c>
      <c r="P27" s="223">
        <v>73.400000000000006</v>
      </c>
      <c r="Q27" s="223">
        <v>75.2</v>
      </c>
      <c r="R27" s="223">
        <v>71.400000000000006</v>
      </c>
      <c r="S27" s="223">
        <f t="shared" si="5"/>
        <v>76.903333333333336</v>
      </c>
      <c r="U27">
        <v>74.8</v>
      </c>
      <c r="W27" s="223">
        <f t="shared" si="6"/>
        <v>2</v>
      </c>
      <c r="X27" s="223">
        <f t="shared" si="2"/>
        <v>-1.7033333333333331</v>
      </c>
      <c r="Y27" s="265"/>
      <c r="Z27">
        <f t="shared" si="3"/>
        <v>72.8</v>
      </c>
    </row>
    <row r="28" spans="2:26">
      <c r="B28" s="221" t="s">
        <v>32</v>
      </c>
      <c r="C28" s="221" t="s">
        <v>33</v>
      </c>
      <c r="D28">
        <v>74.5</v>
      </c>
      <c r="E28">
        <v>79.75</v>
      </c>
      <c r="F28">
        <v>79.75</v>
      </c>
      <c r="G28">
        <v>73.5</v>
      </c>
      <c r="H28">
        <v>77.400000000000006</v>
      </c>
      <c r="I28">
        <v>77.8</v>
      </c>
      <c r="J28" s="345">
        <v>76.400000000000006</v>
      </c>
      <c r="K28">
        <v>78.599999999999994</v>
      </c>
      <c r="L28">
        <v>79.400000000000006</v>
      </c>
      <c r="M28">
        <v>82.2</v>
      </c>
      <c r="N28">
        <v>78</v>
      </c>
      <c r="O28">
        <v>78.2</v>
      </c>
      <c r="P28" s="223">
        <v>74</v>
      </c>
      <c r="Q28" s="223">
        <v>78</v>
      </c>
      <c r="R28" s="223">
        <v>77</v>
      </c>
      <c r="S28" s="223">
        <f t="shared" si="5"/>
        <v>77.63333333333334</v>
      </c>
      <c r="U28">
        <v>76.599999999999994</v>
      </c>
      <c r="W28" s="223">
        <f t="shared" si="6"/>
        <v>-1.6000000000000085</v>
      </c>
      <c r="X28" s="223">
        <f t="shared" si="2"/>
        <v>0.36666666666666003</v>
      </c>
      <c r="Y28" s="265"/>
      <c r="Z28">
        <f t="shared" si="3"/>
        <v>73.5</v>
      </c>
    </row>
    <row r="29" spans="2:26">
      <c r="B29" s="221" t="s">
        <v>20</v>
      </c>
      <c r="C29" s="221" t="s">
        <v>34</v>
      </c>
      <c r="J29" s="346"/>
      <c r="M29">
        <v>77.599999999999994</v>
      </c>
      <c r="N29">
        <v>81.2</v>
      </c>
      <c r="O29">
        <v>78.2</v>
      </c>
      <c r="P29" s="223">
        <v>80</v>
      </c>
      <c r="Q29" s="223">
        <v>79.2</v>
      </c>
      <c r="R29" s="223">
        <v>79.2</v>
      </c>
      <c r="S29" s="223">
        <f t="shared" si="5"/>
        <v>79.233333333333334</v>
      </c>
      <c r="U29">
        <v>80.400000000000006</v>
      </c>
      <c r="W29" s="223">
        <f t="shared" si="6"/>
        <v>2.2000000000000028</v>
      </c>
      <c r="X29" s="223">
        <f t="shared" si="2"/>
        <v>-3.3333333333331439E-2</v>
      </c>
      <c r="Y29" s="265"/>
      <c r="Z29">
        <f t="shared" si="3"/>
        <v>77.599999999999994</v>
      </c>
    </row>
    <row r="30" spans="2:26">
      <c r="B30" s="221" t="s">
        <v>35</v>
      </c>
      <c r="C30" s="221" t="s">
        <v>36</v>
      </c>
      <c r="E30">
        <v>95.5</v>
      </c>
      <c r="F30">
        <v>85.25</v>
      </c>
      <c r="G30">
        <v>81.75</v>
      </c>
      <c r="H30">
        <v>83.2</v>
      </c>
      <c r="I30">
        <v>79.599999999999994</v>
      </c>
      <c r="J30" s="345">
        <v>85</v>
      </c>
      <c r="K30">
        <v>88.2</v>
      </c>
      <c r="L30">
        <v>87</v>
      </c>
      <c r="M30">
        <v>95.4</v>
      </c>
      <c r="N30">
        <v>86.2</v>
      </c>
      <c r="O30">
        <v>75.8</v>
      </c>
      <c r="P30" s="223">
        <v>72.8</v>
      </c>
      <c r="Q30" s="223">
        <v>80.2</v>
      </c>
      <c r="R30" s="223">
        <v>77</v>
      </c>
      <c r="S30" s="223">
        <f t="shared" si="5"/>
        <v>83.778571428571425</v>
      </c>
      <c r="U30">
        <v>73.2</v>
      </c>
      <c r="W30" s="223">
        <f t="shared" si="6"/>
        <v>-2.5999999999999943</v>
      </c>
      <c r="X30" s="223">
        <f t="shared" si="2"/>
        <v>-3.5785714285714221</v>
      </c>
      <c r="Y30" s="265"/>
      <c r="Z30">
        <f t="shared" si="3"/>
        <v>72.8</v>
      </c>
    </row>
    <row r="31" spans="2:26">
      <c r="B31" s="221" t="s">
        <v>37</v>
      </c>
      <c r="C31" s="221" t="s">
        <v>38</v>
      </c>
      <c r="D31">
        <v>76.75</v>
      </c>
      <c r="E31">
        <v>71.75</v>
      </c>
      <c r="F31">
        <v>74.25</v>
      </c>
      <c r="G31">
        <v>75.25</v>
      </c>
      <c r="H31">
        <v>76.400000000000006</v>
      </c>
      <c r="I31">
        <v>77.400000000000006</v>
      </c>
      <c r="J31" s="346">
        <v>77.2</v>
      </c>
      <c r="K31">
        <v>81.8</v>
      </c>
      <c r="L31">
        <v>81.2</v>
      </c>
      <c r="M31">
        <v>80.400000000000006</v>
      </c>
      <c r="N31">
        <v>80.8</v>
      </c>
      <c r="O31">
        <v>75.400000000000006</v>
      </c>
      <c r="P31" s="223">
        <v>80</v>
      </c>
      <c r="Q31" s="223">
        <v>75.400000000000006</v>
      </c>
      <c r="R31" s="223"/>
      <c r="S31" s="223">
        <f t="shared" si="5"/>
        <v>77.428571428571431</v>
      </c>
      <c r="U31">
        <v>85.6</v>
      </c>
      <c r="W31" s="223">
        <f t="shared" si="6"/>
        <v>10.199999999999989</v>
      </c>
      <c r="X31" s="223">
        <f t="shared" si="2"/>
        <v>-2.0285714285714249</v>
      </c>
      <c r="Y31" s="265"/>
      <c r="Z31">
        <f t="shared" si="3"/>
        <v>71.75</v>
      </c>
    </row>
    <row r="32" spans="2:26">
      <c r="B32" s="221" t="s">
        <v>39</v>
      </c>
      <c r="C32" s="221" t="s">
        <v>40</v>
      </c>
      <c r="F32">
        <v>84.75</v>
      </c>
      <c r="G32">
        <v>93.75</v>
      </c>
      <c r="H32">
        <v>94.6</v>
      </c>
      <c r="I32">
        <v>110.4</v>
      </c>
      <c r="J32" s="345">
        <v>89.4</v>
      </c>
      <c r="K32">
        <v>93.2</v>
      </c>
      <c r="L32">
        <v>89.4</v>
      </c>
      <c r="M32">
        <v>92.6</v>
      </c>
      <c r="N32">
        <v>89.8</v>
      </c>
      <c r="O32">
        <v>81</v>
      </c>
      <c r="P32" s="223">
        <v>95.4</v>
      </c>
      <c r="Q32" s="223">
        <v>78.400000000000006</v>
      </c>
      <c r="R32" s="223">
        <v>74.400000000000006</v>
      </c>
      <c r="S32" s="223">
        <f t="shared" si="5"/>
        <v>89.776923076923083</v>
      </c>
      <c r="U32">
        <v>95.4</v>
      </c>
      <c r="W32" s="223">
        <f t="shared" si="6"/>
        <v>14.400000000000006</v>
      </c>
      <c r="X32" s="223">
        <f t="shared" si="2"/>
        <v>-11.376923076923077</v>
      </c>
      <c r="Y32" s="265"/>
      <c r="Z32">
        <f t="shared" si="3"/>
        <v>78.400000000000006</v>
      </c>
    </row>
    <row r="33" spans="2:26">
      <c r="B33" s="221" t="s">
        <v>32</v>
      </c>
      <c r="C33" s="221" t="s">
        <v>41</v>
      </c>
      <c r="D33">
        <v>79.75</v>
      </c>
      <c r="E33">
        <v>83</v>
      </c>
      <c r="F33">
        <v>126</v>
      </c>
      <c r="G33">
        <v>75</v>
      </c>
      <c r="H33">
        <v>76.599999999999994</v>
      </c>
      <c r="I33">
        <v>83.4</v>
      </c>
      <c r="J33" s="346">
        <v>106.8</v>
      </c>
      <c r="K33">
        <v>82</v>
      </c>
      <c r="L33">
        <v>85.8</v>
      </c>
      <c r="N33">
        <v>105.2</v>
      </c>
      <c r="O33">
        <v>81.2</v>
      </c>
      <c r="P33" s="223">
        <v>79.2</v>
      </c>
      <c r="Q33" s="223">
        <v>75.2</v>
      </c>
      <c r="R33" s="223">
        <v>79.599999999999994</v>
      </c>
      <c r="S33" s="223">
        <f t="shared" si="5"/>
        <v>87.053571428571431</v>
      </c>
      <c r="U33">
        <v>83.4</v>
      </c>
      <c r="W33" s="223">
        <f t="shared" si="6"/>
        <v>2.2000000000000028</v>
      </c>
      <c r="X33" s="223">
        <f t="shared" si="2"/>
        <v>-11.853571428571428</v>
      </c>
      <c r="Y33" s="265"/>
      <c r="Z33">
        <f t="shared" si="3"/>
        <v>75</v>
      </c>
    </row>
    <row r="34" spans="2:26">
      <c r="B34" s="221" t="s">
        <v>42</v>
      </c>
      <c r="C34" s="221" t="s">
        <v>134</v>
      </c>
      <c r="D34">
        <v>82.5</v>
      </c>
      <c r="E34">
        <v>82.75</v>
      </c>
      <c r="F34">
        <v>76</v>
      </c>
      <c r="G34">
        <v>72.5</v>
      </c>
      <c r="H34">
        <v>75.599999999999994</v>
      </c>
      <c r="I34">
        <v>95.2</v>
      </c>
      <c r="J34" s="345">
        <v>90</v>
      </c>
      <c r="K34">
        <v>106.6</v>
      </c>
      <c r="L34">
        <v>80.400000000000006</v>
      </c>
      <c r="M34">
        <v>77</v>
      </c>
      <c r="N34">
        <v>79.599999999999994</v>
      </c>
      <c r="O34">
        <v>77.599999999999994</v>
      </c>
      <c r="P34" s="223">
        <v>71.599999999999994</v>
      </c>
      <c r="Q34" s="223">
        <v>75.400000000000006</v>
      </c>
      <c r="R34" s="223">
        <v>78.400000000000006</v>
      </c>
      <c r="S34" s="223">
        <f t="shared" si="5"/>
        <v>81.410000000000011</v>
      </c>
      <c r="U34">
        <v>71.599999999999994</v>
      </c>
      <c r="W34" s="223">
        <f t="shared" si="6"/>
        <v>-6</v>
      </c>
      <c r="X34" s="223">
        <f t="shared" si="2"/>
        <v>-6.0100000000000051</v>
      </c>
      <c r="Y34" s="265"/>
      <c r="Z34">
        <f t="shared" si="3"/>
        <v>71.599999999999994</v>
      </c>
    </row>
    <row r="35" spans="2:26">
      <c r="B35" s="221" t="s">
        <v>43</v>
      </c>
      <c r="C35" s="221" t="s">
        <v>44</v>
      </c>
      <c r="G35">
        <v>80.75</v>
      </c>
      <c r="H35">
        <v>77.8</v>
      </c>
      <c r="I35">
        <v>81.2</v>
      </c>
      <c r="J35" s="346">
        <v>80.400000000000006</v>
      </c>
      <c r="K35">
        <v>80.2</v>
      </c>
      <c r="L35">
        <v>81.400000000000006</v>
      </c>
      <c r="M35">
        <v>79.2</v>
      </c>
      <c r="N35">
        <v>77</v>
      </c>
      <c r="O35">
        <v>78.2</v>
      </c>
      <c r="P35" s="223">
        <v>72</v>
      </c>
      <c r="Q35" s="223">
        <v>76.599999999999994</v>
      </c>
      <c r="R35" s="223">
        <v>77.8</v>
      </c>
      <c r="S35" s="223">
        <f t="shared" si="5"/>
        <v>78.545833333333334</v>
      </c>
      <c r="U35">
        <v>72.599999999999994</v>
      </c>
      <c r="W35" s="223">
        <f t="shared" si="6"/>
        <v>-5.6000000000000085</v>
      </c>
      <c r="X35" s="223">
        <f t="shared" si="2"/>
        <v>-1.94583333333334</v>
      </c>
      <c r="Y35" s="265"/>
      <c r="Z35">
        <f t="shared" si="3"/>
        <v>72</v>
      </c>
    </row>
    <row r="36" spans="2:26" ht="15.75" thickBot="1">
      <c r="B36" s="221" t="s">
        <v>45</v>
      </c>
      <c r="C36" s="221" t="s">
        <v>46</v>
      </c>
      <c r="F36">
        <v>71.25</v>
      </c>
      <c r="G36">
        <v>77.25</v>
      </c>
      <c r="H36">
        <v>75.2</v>
      </c>
      <c r="I36">
        <v>74.2</v>
      </c>
      <c r="J36" s="347">
        <v>74.8</v>
      </c>
      <c r="K36">
        <v>76.8</v>
      </c>
      <c r="L36">
        <v>98.8</v>
      </c>
      <c r="M36">
        <v>111</v>
      </c>
      <c r="N36">
        <v>83</v>
      </c>
      <c r="O36">
        <v>77</v>
      </c>
      <c r="P36" s="223">
        <v>74</v>
      </c>
      <c r="Q36" s="223">
        <v>80.599999999999994</v>
      </c>
      <c r="R36" s="223">
        <v>79.400000000000006</v>
      </c>
      <c r="S36" s="223">
        <f t="shared" si="5"/>
        <v>81.023076923076914</v>
      </c>
      <c r="U36">
        <v>74</v>
      </c>
      <c r="W36" s="223">
        <f t="shared" si="6"/>
        <v>-3</v>
      </c>
      <c r="X36" s="223">
        <f t="shared" si="2"/>
        <v>-0.4230769230769198</v>
      </c>
      <c r="Y36" s="265"/>
      <c r="Z36">
        <f t="shared" si="3"/>
        <v>71.25</v>
      </c>
    </row>
    <row r="37" spans="2:26">
      <c r="C37" s="221" t="s">
        <v>70</v>
      </c>
      <c r="P37">
        <v>77.2</v>
      </c>
      <c r="Q37">
        <v>78.2</v>
      </c>
      <c r="R37">
        <v>77.2</v>
      </c>
      <c r="S37" s="223">
        <f t="shared" si="5"/>
        <v>77.533333333333346</v>
      </c>
      <c r="W37" s="223"/>
      <c r="X37" s="223">
        <f t="shared" si="2"/>
        <v>0.66666666666665719</v>
      </c>
      <c r="Y37" s="265"/>
      <c r="Z37">
        <f t="shared" si="3"/>
        <v>77.2</v>
      </c>
    </row>
    <row r="38" spans="2:26">
      <c r="C38" s="221"/>
      <c r="D38" s="350">
        <f t="shared" ref="D38:Q38" si="7">AVERAGE(D22:D37)</f>
        <v>77</v>
      </c>
      <c r="E38" s="350">
        <f t="shared" si="7"/>
        <v>79.659090909090907</v>
      </c>
      <c r="F38" s="350">
        <f t="shared" si="7"/>
        <v>83.384615384615387</v>
      </c>
      <c r="G38" s="350">
        <f t="shared" si="7"/>
        <v>77.517857142857139</v>
      </c>
      <c r="H38" s="350">
        <f t="shared" si="7"/>
        <v>78.142857142857139</v>
      </c>
      <c r="I38" s="350">
        <f t="shared" si="7"/>
        <v>82.142857142857139</v>
      </c>
      <c r="J38" s="350">
        <f t="shared" si="7"/>
        <v>81.385714285714272</v>
      </c>
      <c r="K38" s="350">
        <f t="shared" si="7"/>
        <v>83.028571428571439</v>
      </c>
      <c r="L38" s="350">
        <f t="shared" si="7"/>
        <v>81.8</v>
      </c>
      <c r="M38" s="350">
        <f t="shared" si="7"/>
        <v>82.214285714285708</v>
      </c>
      <c r="N38" s="350">
        <f t="shared" si="7"/>
        <v>81.786666666666662</v>
      </c>
      <c r="O38" s="350">
        <f t="shared" si="7"/>
        <v>75.86666666666666</v>
      </c>
      <c r="P38" s="350">
        <f t="shared" si="7"/>
        <v>76.112499999999997</v>
      </c>
      <c r="Q38" s="350">
        <f t="shared" si="7"/>
        <v>76.412499999999994</v>
      </c>
      <c r="R38" s="350">
        <f>AVERAGE(R22:R37)</f>
        <v>76.314285714285703</v>
      </c>
      <c r="S38" s="350">
        <f>AVERAGE(S22:S37)</f>
        <v>79.491882440476189</v>
      </c>
      <c r="W38" s="223"/>
      <c r="X38" s="223"/>
      <c r="Y38" s="265"/>
    </row>
    <row r="39" spans="2:26">
      <c r="S39" s="223"/>
      <c r="U39">
        <v>77.13333333333334</v>
      </c>
    </row>
    <row r="40" spans="2:26">
      <c r="C40" s="221" t="s">
        <v>185</v>
      </c>
      <c r="D40" s="223">
        <f>D3+D11</f>
        <v>85</v>
      </c>
      <c r="E40" s="223">
        <f>(E3+E11)/2</f>
        <v>104.125</v>
      </c>
      <c r="F40" s="223">
        <f t="shared" ref="F40:N40" si="8">(F3+F11)/2</f>
        <v>98.625</v>
      </c>
      <c r="G40" s="223">
        <f t="shared" si="8"/>
        <v>95.375</v>
      </c>
      <c r="H40" s="223">
        <f t="shared" si="8"/>
        <v>94.8</v>
      </c>
      <c r="I40" s="223">
        <f t="shared" si="8"/>
        <v>95.800000000000011</v>
      </c>
      <c r="J40" s="223"/>
      <c r="K40" s="223"/>
      <c r="L40" s="223">
        <f t="shared" si="8"/>
        <v>97.2</v>
      </c>
      <c r="M40" s="223">
        <f t="shared" si="8"/>
        <v>102.3</v>
      </c>
      <c r="N40" s="223">
        <f t="shared" si="8"/>
        <v>100.1</v>
      </c>
      <c r="S40" s="223">
        <f t="shared" ref="S40:S56" si="9">AVERAGE(D40:N40)</f>
        <v>97.036111111111111</v>
      </c>
    </row>
    <row r="41" spans="2:26">
      <c r="C41" s="221" t="s">
        <v>186</v>
      </c>
      <c r="D41" s="223">
        <f>D5</f>
        <v>94.25</v>
      </c>
      <c r="E41" s="223">
        <f t="shared" ref="E41:L41" si="10">E5</f>
        <v>96</v>
      </c>
      <c r="F41" s="223">
        <f t="shared" si="10"/>
        <v>131.75</v>
      </c>
      <c r="G41" s="223">
        <f t="shared" si="10"/>
        <v>95.75</v>
      </c>
      <c r="H41" s="223">
        <f t="shared" si="10"/>
        <v>95</v>
      </c>
      <c r="I41" s="223">
        <f t="shared" si="10"/>
        <v>96.6</v>
      </c>
      <c r="J41" s="223"/>
      <c r="K41" s="223"/>
      <c r="L41" s="223">
        <f t="shared" si="10"/>
        <v>96.6</v>
      </c>
      <c r="M41" s="223">
        <f>(M5+M10)/2</f>
        <v>99.7</v>
      </c>
      <c r="N41" s="223">
        <f>(N5+N10)/2</f>
        <v>99.9</v>
      </c>
      <c r="S41" s="223">
        <f t="shared" si="9"/>
        <v>100.61666666666667</v>
      </c>
    </row>
    <row r="42" spans="2:26">
      <c r="C42" s="221" t="s">
        <v>187</v>
      </c>
      <c r="D42" s="223">
        <f>(D6+D9)/2</f>
        <v>98.875</v>
      </c>
      <c r="E42" s="223">
        <f t="shared" ref="E42:N42" si="11">(E6+E9)/2</f>
        <v>101.25</v>
      </c>
      <c r="F42" s="223">
        <f t="shared" si="11"/>
        <v>101</v>
      </c>
      <c r="G42" s="223">
        <f t="shared" si="11"/>
        <v>91.875</v>
      </c>
      <c r="H42" s="223">
        <f t="shared" si="11"/>
        <v>95.6</v>
      </c>
      <c r="I42" s="223">
        <f t="shared" si="11"/>
        <v>96.9</v>
      </c>
      <c r="J42" s="223"/>
      <c r="K42" s="223"/>
      <c r="L42" s="223">
        <f t="shared" si="11"/>
        <v>96.800000000000011</v>
      </c>
      <c r="M42" s="223">
        <f t="shared" si="11"/>
        <v>103.1</v>
      </c>
      <c r="N42" s="223">
        <f t="shared" si="11"/>
        <v>100.1</v>
      </c>
      <c r="S42" s="223">
        <f t="shared" si="9"/>
        <v>98.388888888888886</v>
      </c>
    </row>
    <row r="43" spans="2:26">
      <c r="C43" s="221" t="s">
        <v>188</v>
      </c>
      <c r="D43" s="223">
        <f>(D4+D12)/2</f>
        <v>95.5</v>
      </c>
      <c r="E43" s="223">
        <f t="shared" ref="E43:N43" si="12">(E4+E12)/2</f>
        <v>93.5</v>
      </c>
      <c r="F43" s="223">
        <f t="shared" si="12"/>
        <v>91.125</v>
      </c>
      <c r="G43" s="223">
        <f t="shared" si="12"/>
        <v>90</v>
      </c>
      <c r="H43" s="223">
        <f t="shared" si="12"/>
        <v>93</v>
      </c>
      <c r="I43" s="223">
        <f t="shared" si="12"/>
        <v>91.5</v>
      </c>
      <c r="J43" s="223"/>
      <c r="K43" s="223"/>
      <c r="L43" s="223">
        <f t="shared" si="12"/>
        <v>94.8</v>
      </c>
      <c r="M43" s="223">
        <f t="shared" si="12"/>
        <v>96.8</v>
      </c>
      <c r="N43" s="223">
        <f t="shared" si="12"/>
        <v>97.699999999999989</v>
      </c>
      <c r="S43" s="223">
        <f t="shared" si="9"/>
        <v>93.769444444444446</v>
      </c>
    </row>
    <row r="44" spans="2:26">
      <c r="C44" s="221" t="s">
        <v>189</v>
      </c>
      <c r="D44" s="223">
        <f>(D7+D13)/1</f>
        <v>96.25</v>
      </c>
      <c r="E44" s="223">
        <f>(E7+E13)/1</f>
        <v>98.25</v>
      </c>
      <c r="F44" s="223">
        <f t="shared" ref="F44:N44" si="13">(F7+F13)/2</f>
        <v>92.875</v>
      </c>
      <c r="G44" s="223">
        <f t="shared" si="13"/>
        <v>103.875</v>
      </c>
      <c r="H44" s="223">
        <f t="shared" si="13"/>
        <v>102</v>
      </c>
      <c r="I44" s="223">
        <f t="shared" si="13"/>
        <v>109.4</v>
      </c>
      <c r="J44" s="223"/>
      <c r="K44" s="223"/>
      <c r="L44" s="223">
        <f t="shared" si="13"/>
        <v>97.5</v>
      </c>
      <c r="M44" s="223">
        <f t="shared" si="13"/>
        <v>100.8</v>
      </c>
      <c r="N44" s="223">
        <f t="shared" si="13"/>
        <v>98.199999999999989</v>
      </c>
      <c r="S44" s="223">
        <f t="shared" si="9"/>
        <v>99.905555555555537</v>
      </c>
    </row>
    <row r="45" spans="2:26">
      <c r="C45" s="221" t="s">
        <v>190</v>
      </c>
      <c r="D45" s="223">
        <f>(D14+D16+D17)/1</f>
        <v>110.25</v>
      </c>
      <c r="E45" s="223">
        <f>(E14+E16+E17)/1</f>
        <v>114.25</v>
      </c>
      <c r="F45" s="223">
        <f>(F14+F16+F17)/1</f>
        <v>86</v>
      </c>
      <c r="G45" s="223">
        <f t="shared" ref="G45:N45" si="14">(G14+G16+G17)/3</f>
        <v>98.416666666666671</v>
      </c>
      <c r="H45" s="223">
        <f t="shared" si="14"/>
        <v>96.533333333333346</v>
      </c>
      <c r="I45" s="223">
        <f t="shared" si="14"/>
        <v>98.133333333333326</v>
      </c>
      <c r="J45" s="223"/>
      <c r="K45" s="223"/>
      <c r="L45" s="223">
        <f t="shared" si="14"/>
        <v>107.93333333333332</v>
      </c>
      <c r="M45" s="223">
        <f>(M14+M16+M17)/2</f>
        <v>120</v>
      </c>
      <c r="N45" s="223">
        <f t="shared" si="14"/>
        <v>110</v>
      </c>
      <c r="S45" s="223">
        <f t="shared" si="9"/>
        <v>104.61296296296297</v>
      </c>
    </row>
    <row r="46" spans="2:26">
      <c r="C46" s="221" t="s">
        <v>191</v>
      </c>
      <c r="D46" s="223">
        <f>(D8+D15)/2</f>
        <v>107.125</v>
      </c>
      <c r="E46" s="223">
        <f t="shared" ref="E46:N46" si="15">(E8+E15)/2</f>
        <v>112</v>
      </c>
      <c r="F46" s="223">
        <f t="shared" si="15"/>
        <v>106</v>
      </c>
      <c r="G46" s="223">
        <f t="shared" si="15"/>
        <v>103.25</v>
      </c>
      <c r="H46" s="223">
        <f t="shared" si="15"/>
        <v>103.9</v>
      </c>
      <c r="I46" s="223">
        <f t="shared" si="15"/>
        <v>106.1</v>
      </c>
      <c r="J46" s="223"/>
      <c r="K46" s="223"/>
      <c r="L46" s="223">
        <f t="shared" si="15"/>
        <v>103.1</v>
      </c>
      <c r="M46" s="223">
        <f t="shared" si="15"/>
        <v>103.2</v>
      </c>
      <c r="N46" s="223">
        <f t="shared" si="15"/>
        <v>103.4</v>
      </c>
      <c r="S46" s="223">
        <f t="shared" si="9"/>
        <v>105.34166666666667</v>
      </c>
    </row>
    <row r="47" spans="2:26">
      <c r="S47" s="223"/>
    </row>
    <row r="48" spans="2:26">
      <c r="S48" s="223"/>
    </row>
    <row r="49" spans="3:19">
      <c r="S49" s="223"/>
    </row>
    <row r="50" spans="3:19">
      <c r="C50" s="221" t="s">
        <v>185</v>
      </c>
      <c r="D50" s="223">
        <f>(D22+D30)/1</f>
        <v>71.5</v>
      </c>
      <c r="E50" s="223">
        <f t="shared" ref="E50:N50" si="16">(E22+E30)/2</f>
        <v>84.125</v>
      </c>
      <c r="F50" s="223">
        <f t="shared" si="16"/>
        <v>80.75</v>
      </c>
      <c r="G50" s="223">
        <f t="shared" si="16"/>
        <v>76.875</v>
      </c>
      <c r="H50" s="223">
        <f t="shared" si="16"/>
        <v>78</v>
      </c>
      <c r="I50" s="223">
        <f t="shared" si="16"/>
        <v>82.5</v>
      </c>
      <c r="J50" s="223"/>
      <c r="K50" s="223"/>
      <c r="L50" s="223">
        <f t="shared" si="16"/>
        <v>81.599999999999994</v>
      </c>
      <c r="M50" s="223">
        <f t="shared" si="16"/>
        <v>83.1</v>
      </c>
      <c r="N50" s="223">
        <f t="shared" si="16"/>
        <v>81.300000000000011</v>
      </c>
      <c r="S50" s="223">
        <f t="shared" si="9"/>
        <v>79.972222222222229</v>
      </c>
    </row>
    <row r="51" spans="3:19">
      <c r="C51" s="221" t="s">
        <v>186</v>
      </c>
      <c r="D51" s="223">
        <f t="shared" ref="D51:I51" si="17">(D24+D29)/1</f>
        <v>73</v>
      </c>
      <c r="E51" s="223">
        <f t="shared" si="17"/>
        <v>73.75</v>
      </c>
      <c r="F51" s="223">
        <f t="shared" si="17"/>
        <v>102.5</v>
      </c>
      <c r="G51" s="223">
        <f t="shared" si="17"/>
        <v>75.5</v>
      </c>
      <c r="H51" s="223">
        <f t="shared" si="17"/>
        <v>76</v>
      </c>
      <c r="I51" s="223">
        <f t="shared" si="17"/>
        <v>77.2</v>
      </c>
      <c r="J51" s="223"/>
      <c r="K51" s="223"/>
      <c r="L51" s="223">
        <f>(L24+L29)/1</f>
        <v>77.8</v>
      </c>
      <c r="M51" s="223">
        <f>(M24+M29)/2</f>
        <v>78.400000000000006</v>
      </c>
      <c r="N51" s="223">
        <f>(N24+N29)/2</f>
        <v>78.5</v>
      </c>
      <c r="O51" s="223"/>
      <c r="P51" s="223"/>
      <c r="Q51" s="223"/>
      <c r="R51" s="223"/>
      <c r="S51" s="223">
        <f t="shared" si="9"/>
        <v>79.183333333333337</v>
      </c>
    </row>
    <row r="52" spans="3:19">
      <c r="C52" s="221" t="s">
        <v>187</v>
      </c>
      <c r="D52" s="223">
        <f>(D25+D28)/2</f>
        <v>79.375</v>
      </c>
      <c r="E52" s="223">
        <f t="shared" ref="E52:N52" si="18">(E25+E28)/2</f>
        <v>81.25</v>
      </c>
      <c r="F52" s="223">
        <f t="shared" si="18"/>
        <v>82.625</v>
      </c>
      <c r="G52" s="223">
        <f t="shared" si="18"/>
        <v>74.25</v>
      </c>
      <c r="H52" s="223">
        <f t="shared" si="18"/>
        <v>77.7</v>
      </c>
      <c r="I52" s="223">
        <f t="shared" si="18"/>
        <v>80.8</v>
      </c>
      <c r="J52" s="223"/>
      <c r="K52" s="223"/>
      <c r="L52" s="223">
        <f t="shared" si="18"/>
        <v>80</v>
      </c>
      <c r="M52" s="223">
        <f t="shared" si="18"/>
        <v>80</v>
      </c>
      <c r="N52" s="223">
        <f t="shared" si="18"/>
        <v>81.3</v>
      </c>
      <c r="O52" s="223"/>
      <c r="P52" s="223"/>
      <c r="Q52" s="223"/>
      <c r="R52" s="223"/>
      <c r="S52" s="223">
        <f t="shared" si="9"/>
        <v>79.699999999999989</v>
      </c>
    </row>
    <row r="53" spans="3:19">
      <c r="C53" s="221" t="s">
        <v>188</v>
      </c>
      <c r="D53" s="223">
        <f>(D23+D31)/2</f>
        <v>76.375</v>
      </c>
      <c r="E53" s="223">
        <f t="shared" ref="E53:N53" si="19">(E23+E31)/2</f>
        <v>73.5</v>
      </c>
      <c r="F53" s="223">
        <f t="shared" si="19"/>
        <v>73.125</v>
      </c>
      <c r="G53" s="223">
        <f t="shared" si="19"/>
        <v>73.25</v>
      </c>
      <c r="H53" s="223">
        <f t="shared" si="19"/>
        <v>75.2</v>
      </c>
      <c r="I53" s="223">
        <f t="shared" si="19"/>
        <v>76.2</v>
      </c>
      <c r="J53" s="223"/>
      <c r="K53" s="223"/>
      <c r="L53" s="223">
        <f t="shared" si="19"/>
        <v>77.599999999999994</v>
      </c>
      <c r="M53" s="223">
        <f t="shared" si="19"/>
        <v>78</v>
      </c>
      <c r="N53" s="223">
        <f t="shared" si="19"/>
        <v>78.5</v>
      </c>
      <c r="S53" s="223">
        <f t="shared" si="9"/>
        <v>75.75</v>
      </c>
    </row>
    <row r="54" spans="3:19">
      <c r="C54" s="221" t="s">
        <v>189</v>
      </c>
      <c r="D54" s="223">
        <f>(D26+D32)/1</f>
        <v>75</v>
      </c>
      <c r="E54" s="223">
        <f>(E26+E32)/1</f>
        <v>75.75</v>
      </c>
      <c r="F54" s="223">
        <f t="shared" ref="F54:N54" si="20">(F26+F32)/2</f>
        <v>77.125</v>
      </c>
      <c r="G54" s="223">
        <f t="shared" si="20"/>
        <v>87.875</v>
      </c>
      <c r="H54" s="223">
        <f t="shared" si="20"/>
        <v>84.3</v>
      </c>
      <c r="I54" s="223">
        <f t="shared" si="20"/>
        <v>91.9</v>
      </c>
      <c r="J54" s="223"/>
      <c r="K54" s="223"/>
      <c r="L54" s="223">
        <f t="shared" si="20"/>
        <v>82.300000000000011</v>
      </c>
      <c r="M54" s="223">
        <f t="shared" si="20"/>
        <v>83.9</v>
      </c>
      <c r="N54" s="223">
        <f t="shared" si="20"/>
        <v>82.199999999999989</v>
      </c>
      <c r="O54" s="223"/>
      <c r="P54" s="223"/>
      <c r="Q54" s="223"/>
      <c r="R54" s="223"/>
      <c r="S54" s="223">
        <f t="shared" si="9"/>
        <v>82.261111111111106</v>
      </c>
    </row>
    <row r="55" spans="3:19">
      <c r="C55" s="221" t="s">
        <v>190</v>
      </c>
      <c r="D55" s="223">
        <f>(D33+D35+D36)/1</f>
        <v>79.75</v>
      </c>
      <c r="E55" s="223">
        <f>(E33+E35+E36)/1</f>
        <v>83</v>
      </c>
      <c r="F55" s="223">
        <f>(F33+F35+F36)/2</f>
        <v>98.625</v>
      </c>
      <c r="G55" s="223">
        <f t="shared" ref="G55:N55" si="21">(G33+G35+G36)/3</f>
        <v>77.666666666666671</v>
      </c>
      <c r="H55" s="223">
        <f t="shared" si="21"/>
        <v>76.533333333333317</v>
      </c>
      <c r="I55" s="223">
        <f t="shared" si="21"/>
        <v>79.600000000000009</v>
      </c>
      <c r="J55" s="223"/>
      <c r="K55" s="223"/>
      <c r="L55" s="223">
        <f t="shared" si="21"/>
        <v>88.666666666666671</v>
      </c>
      <c r="M55" s="223">
        <f t="shared" si="21"/>
        <v>63.4</v>
      </c>
      <c r="N55" s="223">
        <f t="shared" si="21"/>
        <v>88.399999999999991</v>
      </c>
      <c r="S55" s="223">
        <f t="shared" si="9"/>
        <v>81.737962962962968</v>
      </c>
    </row>
    <row r="56" spans="3:19">
      <c r="C56" s="221" t="s">
        <v>191</v>
      </c>
      <c r="D56" s="223">
        <f>(D27+D34)/2</f>
        <v>79.625</v>
      </c>
      <c r="E56" s="223">
        <f t="shared" ref="E56:N56" si="22">(E27+E34)/2</f>
        <v>83</v>
      </c>
      <c r="F56" s="223">
        <f t="shared" si="22"/>
        <v>78.5</v>
      </c>
      <c r="G56" s="223">
        <f t="shared" si="22"/>
        <v>76.125</v>
      </c>
      <c r="H56" s="223">
        <f t="shared" si="22"/>
        <v>79</v>
      </c>
      <c r="I56" s="223">
        <f t="shared" si="22"/>
        <v>85.6</v>
      </c>
      <c r="J56" s="223"/>
      <c r="K56" s="223"/>
      <c r="L56" s="223">
        <f t="shared" si="22"/>
        <v>79.2</v>
      </c>
      <c r="M56" s="223">
        <f t="shared" si="22"/>
        <v>77</v>
      </c>
      <c r="N56" s="223">
        <f t="shared" si="22"/>
        <v>79</v>
      </c>
      <c r="S56" s="223">
        <f t="shared" si="9"/>
        <v>79.672222222222231</v>
      </c>
    </row>
    <row r="58" spans="3:19">
      <c r="D58" t="s">
        <v>75</v>
      </c>
      <c r="E58" t="s">
        <v>55</v>
      </c>
      <c r="F58" t="s">
        <v>192</v>
      </c>
      <c r="G58" t="s">
        <v>193</v>
      </c>
    </row>
    <row r="59" spans="3:19">
      <c r="C59" s="221" t="s">
        <v>185</v>
      </c>
      <c r="D59" s="223">
        <v>97.036111111111111</v>
      </c>
      <c r="E59" s="223">
        <v>79.972222222222229</v>
      </c>
      <c r="F59" s="223">
        <v>85</v>
      </c>
      <c r="G59" s="223">
        <v>71.5</v>
      </c>
      <c r="H59" s="223"/>
    </row>
    <row r="60" spans="3:19">
      <c r="C60" s="221" t="s">
        <v>186</v>
      </c>
      <c r="D60" s="223">
        <v>100.61666666666667</v>
      </c>
      <c r="E60" s="223">
        <v>79.183333333333337</v>
      </c>
      <c r="F60" s="223">
        <v>94.3</v>
      </c>
      <c r="G60" s="223">
        <v>73</v>
      </c>
      <c r="H60" s="223"/>
    </row>
    <row r="61" spans="3:19">
      <c r="C61" s="221" t="s">
        <v>187</v>
      </c>
      <c r="D61" s="223">
        <v>98.388888888888886</v>
      </c>
      <c r="E61" s="223">
        <v>79.699999999999989</v>
      </c>
      <c r="F61" s="223">
        <v>91.9</v>
      </c>
      <c r="G61" s="223">
        <v>74.3</v>
      </c>
      <c r="H61" s="223"/>
    </row>
    <row r="62" spans="3:19">
      <c r="C62" s="221" t="s">
        <v>188</v>
      </c>
      <c r="D62" s="223">
        <v>93.769444444444446</v>
      </c>
      <c r="E62" s="223">
        <v>75.75</v>
      </c>
      <c r="F62" s="223">
        <v>90</v>
      </c>
      <c r="G62" s="223">
        <v>73.099999999999994</v>
      </c>
      <c r="H62" s="223"/>
    </row>
    <row r="63" spans="3:19">
      <c r="C63" s="221" t="s">
        <v>189</v>
      </c>
      <c r="D63" s="223">
        <v>99.905555555555537</v>
      </c>
      <c r="E63" s="223">
        <v>82.261111111111106</v>
      </c>
      <c r="F63" s="223">
        <v>92.9</v>
      </c>
      <c r="G63" s="223">
        <v>75</v>
      </c>
      <c r="H63" s="223"/>
    </row>
    <row r="64" spans="3:19">
      <c r="C64" s="221" t="s">
        <v>190</v>
      </c>
      <c r="D64" s="223">
        <v>104.61296296296297</v>
      </c>
      <c r="E64" s="223">
        <v>86.404629629629625</v>
      </c>
      <c r="F64" s="223">
        <v>86</v>
      </c>
      <c r="G64" s="223">
        <v>76.5</v>
      </c>
      <c r="H64" s="223"/>
    </row>
    <row r="65" spans="3:8">
      <c r="C65" s="221" t="s">
        <v>191</v>
      </c>
      <c r="D65" s="223">
        <v>105.34166666666667</v>
      </c>
      <c r="E65" s="223">
        <v>79.672222222222231</v>
      </c>
      <c r="F65" s="223">
        <v>103.1</v>
      </c>
      <c r="G65" s="223">
        <v>76.099999999999994</v>
      </c>
      <c r="H65" s="223"/>
    </row>
    <row r="70" spans="3:8">
      <c r="D70" t="s">
        <v>249</v>
      </c>
      <c r="E70" t="s">
        <v>248</v>
      </c>
      <c r="F70" t="s">
        <v>194</v>
      </c>
      <c r="G70" t="s">
        <v>195</v>
      </c>
    </row>
    <row r="71" spans="3:8">
      <c r="C71" s="73" t="s">
        <v>54</v>
      </c>
      <c r="D71" s="245">
        <v>8.5061137692716646E-3</v>
      </c>
      <c r="E71" s="142">
        <v>8.727606798346348E-3</v>
      </c>
      <c r="F71" s="146">
        <v>1.5873015873015872E-2</v>
      </c>
      <c r="G71" s="245">
        <v>1.3939393939393939E-2</v>
      </c>
    </row>
    <row r="72" spans="3:8">
      <c r="C72" s="73" t="s">
        <v>137</v>
      </c>
      <c r="D72" s="245">
        <v>0.12546517809675706</v>
      </c>
      <c r="E72" s="142">
        <v>0.12677997243913641</v>
      </c>
      <c r="F72" s="146">
        <v>0.13095238095238096</v>
      </c>
      <c r="G72" s="245">
        <v>0.15636363636363637</v>
      </c>
    </row>
    <row r="73" spans="3:8">
      <c r="C73" s="73" t="s">
        <v>161</v>
      </c>
      <c r="D73" s="245">
        <v>0.33333333333333331</v>
      </c>
      <c r="E73" s="142">
        <v>0.34359209921910888</v>
      </c>
      <c r="F73" s="146">
        <v>0.37698412698412698</v>
      </c>
      <c r="G73" s="245">
        <v>0.33333333333333331</v>
      </c>
    </row>
    <row r="74" spans="3:8">
      <c r="C74" s="73" t="s">
        <v>162</v>
      </c>
      <c r="D74" s="245">
        <v>0.26900584795321636</v>
      </c>
      <c r="E74" s="142">
        <v>0.27652733118971062</v>
      </c>
      <c r="F74" s="146">
        <v>0.27380952380952384</v>
      </c>
      <c r="G74" s="245">
        <v>0.27393939393939393</v>
      </c>
    </row>
    <row r="75" spans="3:8">
      <c r="C75" s="73" t="s">
        <v>163</v>
      </c>
      <c r="D75" s="245">
        <v>0.15736310473152579</v>
      </c>
      <c r="E75" s="142">
        <v>0.14423518603582913</v>
      </c>
      <c r="F75" s="146">
        <v>9.5238095238095233E-2</v>
      </c>
      <c r="G75" s="245">
        <v>0.12727272727272726</v>
      </c>
    </row>
    <row r="76" spans="3:8">
      <c r="C76" s="73" t="s">
        <v>164</v>
      </c>
      <c r="D76" s="245">
        <v>6.8580542264752797E-2</v>
      </c>
      <c r="E76" s="142">
        <v>5.8337161231051905E-2</v>
      </c>
      <c r="F76" s="146">
        <v>4.3650793650793648E-2</v>
      </c>
      <c r="G76" s="245">
        <v>4.9696969696969698E-2</v>
      </c>
    </row>
    <row r="77" spans="3:8">
      <c r="C77" s="73" t="s">
        <v>165</v>
      </c>
      <c r="D77" s="245">
        <v>3.7745879851143006E-2</v>
      </c>
      <c r="E77" s="142">
        <v>4.1800643086816719E-2</v>
      </c>
      <c r="F77" s="146">
        <v>6.3492063492063489E-2</v>
      </c>
      <c r="G77" s="245">
        <v>4.5454545454545456E-2</v>
      </c>
    </row>
  </sheetData>
  <pageMargins left="0.7" right="0.7" top="0.75" bottom="0.75" header="0.3" footer="0.3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D56852-A118-44C5-8824-6FD228963587}">
  <sheetPr>
    <tabColor theme="9" tint="0.59999389629810485"/>
  </sheetPr>
  <dimension ref="B2:W27"/>
  <sheetViews>
    <sheetView zoomScaleNormal="100" workbookViewId="0">
      <selection activeCell="G30" sqref="G30"/>
    </sheetView>
  </sheetViews>
  <sheetFormatPr defaultColWidth="8.7109375" defaultRowHeight="15"/>
  <cols>
    <col min="1" max="1" width="8.7109375" style="150"/>
    <col min="2" max="2" width="10.7109375" style="150" bestFit="1" customWidth="1"/>
    <col min="3" max="3" width="10.140625" style="150" customWidth="1"/>
    <col min="4" max="4" width="12" style="150" bestFit="1" customWidth="1"/>
    <col min="5" max="5" width="10.140625" style="150" customWidth="1"/>
    <col min="6" max="7" width="9.5703125" style="150" customWidth="1"/>
    <col min="8" max="8" width="8.7109375" style="150"/>
    <col min="9" max="9" width="10.140625" style="150" customWidth="1"/>
    <col min="10" max="11" width="8.85546875" style="150" customWidth="1"/>
    <col min="12" max="12" width="8.7109375" style="150"/>
    <col min="13" max="13" width="4.5703125" style="150" customWidth="1"/>
    <col min="14" max="14" width="18.85546875" style="150" customWidth="1"/>
    <col min="15" max="15" width="5.85546875" style="150" customWidth="1"/>
    <col min="16" max="16" width="14.7109375" style="150" customWidth="1"/>
    <col min="17" max="17" width="0" style="150" hidden="1" customWidth="1"/>
    <col min="18" max="18" width="4" style="150" customWidth="1"/>
    <col min="19" max="19" width="8.7109375" style="153"/>
    <col min="20" max="20" width="3.85546875" style="150" customWidth="1"/>
    <col min="21" max="21" width="11.85546875" style="150" bestFit="1" customWidth="1"/>
    <col min="22" max="22" width="3.42578125" style="150" customWidth="1"/>
    <col min="23" max="23" width="12.5703125" style="150" customWidth="1"/>
    <col min="24" max="16384" width="8.7109375" style="150"/>
  </cols>
  <sheetData>
    <row r="2" spans="2:23" ht="25.5">
      <c r="B2" s="151" t="s">
        <v>201</v>
      </c>
      <c r="E2" s="150" t="s">
        <v>202</v>
      </c>
    </row>
    <row r="3" spans="2:23" ht="15.75" thickBot="1"/>
    <row r="4" spans="2:23" ht="15.75" thickBot="1">
      <c r="C4" t="s">
        <v>203</v>
      </c>
      <c r="D4" t="s">
        <v>204</v>
      </c>
      <c r="E4" t="s">
        <v>205</v>
      </c>
      <c r="F4" t="s">
        <v>206</v>
      </c>
      <c r="G4" t="s">
        <v>207</v>
      </c>
      <c r="H4" t="s">
        <v>208</v>
      </c>
      <c r="I4" t="s">
        <v>209</v>
      </c>
      <c r="J4" t="s">
        <v>210</v>
      </c>
      <c r="K4" t="s">
        <v>211</v>
      </c>
      <c r="L4" t="s">
        <v>212</v>
      </c>
      <c r="N4" s="32" t="s">
        <v>213</v>
      </c>
      <c r="P4" s="154" t="s">
        <v>214</v>
      </c>
      <c r="Q4" s="61" t="s">
        <v>53</v>
      </c>
      <c r="S4" s="35" t="s">
        <v>1</v>
      </c>
      <c r="U4" s="161" t="s">
        <v>215</v>
      </c>
      <c r="W4" s="35" t="s">
        <v>216</v>
      </c>
    </row>
    <row r="5" spans="2:23">
      <c r="B5" s="195">
        <f>L10+L17</f>
        <v>394</v>
      </c>
      <c r="C5" s="325" t="s">
        <v>20</v>
      </c>
      <c r="D5" t="s">
        <v>21</v>
      </c>
      <c r="E5" s="325"/>
      <c r="F5">
        <f>Scoreboard!L4</f>
        <v>87</v>
      </c>
      <c r="G5">
        <f>Scoreboard!M4</f>
        <v>162</v>
      </c>
      <c r="H5">
        <f>F5+G5</f>
        <v>249</v>
      </c>
      <c r="I5"/>
      <c r="J5">
        <f>Scoreboard!L24</f>
        <v>72</v>
      </c>
      <c r="K5">
        <f>Scoreboard!M24</f>
        <v>126</v>
      </c>
      <c r="L5">
        <f>J5+K5</f>
        <v>198</v>
      </c>
      <c r="N5" s="33">
        <f>COUNTIF(Dreamscore!D167:U168,0)</f>
        <v>7</v>
      </c>
      <c r="P5" s="155">
        <f>COUNTIF(Dreamscore!D167:U168,-1)</f>
        <v>0</v>
      </c>
      <c r="Q5" s="32">
        <f>Tabell1719[[#This Row],[Samla birdie]]*2</f>
        <v>0</v>
      </c>
      <c r="S5" s="35">
        <f>Tabell17[[#This Row],[Samla Par]]+Tabell1719[[#This Row],[Kolumn1]]</f>
        <v>7</v>
      </c>
      <c r="U5" s="162">
        <f>(Dreamscore!AE158+Dreamscore!AE158+Dreamscore!AE159)*36</f>
        <v>12.222222222222223</v>
      </c>
      <c r="W5" s="163">
        <f>Tabell29[[#This Row],[Poäng]]-Tabell30[[#This Row],[Prognos]]</f>
        <v>-5.2222222222222232</v>
      </c>
    </row>
    <row r="6" spans="2:23">
      <c r="B6" s="196">
        <f>SMALL((J7,J20,J16),1)+SMALL((J7,J20,J16),2)+SMALL((K7,K20,K16),1)+SMALL((K7,K20,K16),1)</f>
        <v>252</v>
      </c>
      <c r="C6" s="326" t="s">
        <v>22</v>
      </c>
      <c r="D6" t="s">
        <v>23</v>
      </c>
      <c r="E6" s="326"/>
      <c r="F6">
        <f>Scoreboard!L5</f>
        <v>97</v>
      </c>
      <c r="G6">
        <f>Scoreboard!M5</f>
        <v>162</v>
      </c>
      <c r="H6">
        <f t="shared" ref="H6:H19" si="0">F6+G6</f>
        <v>259</v>
      </c>
      <c r="I6"/>
      <c r="J6">
        <f>Scoreboard!L25</f>
        <v>77</v>
      </c>
      <c r="K6">
        <f>Scoreboard!M25</f>
        <v>126</v>
      </c>
      <c r="L6">
        <f t="shared" ref="L6:L19" si="1">J6+K6</f>
        <v>203</v>
      </c>
      <c r="N6" s="33">
        <f>COUNTIF(Dreamscore!D107:U108,0)</f>
        <v>3</v>
      </c>
      <c r="P6" s="155">
        <f>COUNTIF(Dreamscore!D107:U108,-1)</f>
        <v>0</v>
      </c>
      <c r="Q6" s="33">
        <f>Tabell1719[[#This Row],[Samla birdie]]*2</f>
        <v>0</v>
      </c>
      <c r="S6" s="35">
        <f>Tabell17[[#This Row],[Samla Par]]+Tabell1719[[#This Row],[Kolumn1]]</f>
        <v>3</v>
      </c>
      <c r="U6" s="162">
        <f>(Dreamscore!AE98+Dreamscore!AE98+Dreamscore!AE99)*36</f>
        <v>6.25</v>
      </c>
      <c r="W6" s="163">
        <f>Tabell29[[#This Row],[Poäng]]-Tabell30[[#This Row],[Prognos]]</f>
        <v>-3.25</v>
      </c>
    </row>
    <row r="7" spans="2:23">
      <c r="B7" s="197">
        <f>L5+L13</f>
        <v>324</v>
      </c>
      <c r="C7" t="s">
        <v>24</v>
      </c>
      <c r="D7" t="s">
        <v>25</v>
      </c>
      <c r="E7"/>
      <c r="F7">
        <f>Scoreboard!L6</f>
        <v>0</v>
      </c>
      <c r="G7">
        <f>Scoreboard!M6</f>
        <v>0</v>
      </c>
      <c r="H7">
        <f t="shared" si="0"/>
        <v>0</v>
      </c>
      <c r="I7"/>
      <c r="J7">
        <f>Scoreboard!L26</f>
        <v>0</v>
      </c>
      <c r="K7">
        <f>Scoreboard!M26</f>
        <v>126</v>
      </c>
      <c r="L7">
        <f t="shared" si="1"/>
        <v>126</v>
      </c>
      <c r="N7" s="33">
        <f>COUNTIF(Dreamscore!D119:U120,0)</f>
        <v>2</v>
      </c>
      <c r="P7" s="155">
        <f>COUNTIF(Dreamscore!D119:U120,-1)</f>
        <v>0</v>
      </c>
      <c r="Q7" s="33">
        <f>Tabell1719[[#This Row],[Samla birdie]]*2</f>
        <v>0</v>
      </c>
      <c r="S7" s="35">
        <f>Tabell17[[#This Row],[Samla Par]]+Tabell1719[[#This Row],[Kolumn1]]</f>
        <v>2</v>
      </c>
      <c r="U7" s="162">
        <f>(Dreamscore!AE110+Dreamscore!AE110+Dreamscore!AE111)*36</f>
        <v>4</v>
      </c>
      <c r="W7" s="163">
        <f>Tabell29[[#This Row],[Poäng]]-Tabell30[[#This Row],[Prognos]]</f>
        <v>-2</v>
      </c>
    </row>
    <row r="8" spans="2:23">
      <c r="B8" s="198">
        <f>L9+L15</f>
        <v>405</v>
      </c>
      <c r="C8" s="328" t="s">
        <v>26</v>
      </c>
      <c r="D8" t="s">
        <v>27</v>
      </c>
      <c r="E8" s="328"/>
      <c r="F8">
        <f>Scoreboard!L7</f>
        <v>93</v>
      </c>
      <c r="G8">
        <f>Scoreboard!M7</f>
        <v>162</v>
      </c>
      <c r="H8">
        <f t="shared" si="0"/>
        <v>255</v>
      </c>
      <c r="I8"/>
      <c r="J8">
        <f>Scoreboard!L27</f>
        <v>75</v>
      </c>
      <c r="K8">
        <f>Scoreboard!M27</f>
        <v>126</v>
      </c>
      <c r="L8">
        <f t="shared" si="1"/>
        <v>201</v>
      </c>
      <c r="N8" s="33">
        <f>COUNTIF(Dreamscore!D59:U60,0)</f>
        <v>4</v>
      </c>
      <c r="P8" s="155">
        <f>COUNTIF(Dreamscore!D59:U60,-1)</f>
        <v>0</v>
      </c>
      <c r="Q8" s="33">
        <f>Tabell1719[[#This Row],[Samla birdie]]*2</f>
        <v>0</v>
      </c>
      <c r="S8" s="35">
        <f>Tabell17[[#This Row],[Samla Par]]+Tabell1719[[#This Row],[Kolumn1]]</f>
        <v>4</v>
      </c>
      <c r="U8" s="162">
        <f>(Dreamscore!AE50+Dreamscore!AE50+Dreamscore!AE51)*36</f>
        <v>8</v>
      </c>
      <c r="W8" s="163">
        <f>Tabell29[[#This Row],[Poäng]]-Tabell30[[#This Row],[Prognos]]</f>
        <v>-4</v>
      </c>
    </row>
    <row r="9" spans="2:23" ht="15.75" thickBot="1">
      <c r="B9" s="199">
        <f>L6+L14</f>
        <v>329</v>
      </c>
      <c r="C9" s="327" t="s">
        <v>28</v>
      </c>
      <c r="D9" t="s">
        <v>29</v>
      </c>
      <c r="E9" s="327"/>
      <c r="F9">
        <f>Scoreboard!L8</f>
        <v>96</v>
      </c>
      <c r="G9">
        <f>Scoreboard!M8</f>
        <v>162</v>
      </c>
      <c r="H9">
        <f t="shared" si="0"/>
        <v>258</v>
      </c>
      <c r="I9"/>
      <c r="J9">
        <f>Scoreboard!L28</f>
        <v>71</v>
      </c>
      <c r="K9">
        <f>Scoreboard!M28</f>
        <v>126</v>
      </c>
      <c r="L9">
        <f t="shared" si="1"/>
        <v>197</v>
      </c>
      <c r="N9" s="33">
        <f>COUNTIF(Dreamscore!D46:U47,0)</f>
        <v>5</v>
      </c>
      <c r="P9" s="155">
        <f>COUNTIF(Dreamscore!D46:U47,-1)</f>
        <v>0</v>
      </c>
      <c r="Q9" s="33">
        <f>Tabell1719[[#This Row],[Samla birdie]]*2</f>
        <v>0</v>
      </c>
      <c r="S9" s="35">
        <f>Tabell17[[#This Row],[Samla Par]]+Tabell1719[[#This Row],[Kolumn1]]</f>
        <v>5</v>
      </c>
      <c r="U9" s="162">
        <f>(Dreamscore!AE37+Dreamscore!AE37+Dreamscore!AE38)*36</f>
        <v>5.1111111111111107</v>
      </c>
      <c r="W9" s="163">
        <f>Tabell29[[#This Row],[Poäng]]-Tabell30[[#This Row],[Prognos]]</f>
        <v>-0.11111111111111072</v>
      </c>
    </row>
    <row r="10" spans="2:23">
      <c r="C10" s="326" t="s">
        <v>30</v>
      </c>
      <c r="D10" t="s">
        <v>31</v>
      </c>
      <c r="E10" s="326"/>
      <c r="F10">
        <f>Scoreboard!L9</f>
        <v>97</v>
      </c>
      <c r="G10">
        <f>Scoreboard!M9</f>
        <v>162</v>
      </c>
      <c r="H10">
        <f t="shared" si="0"/>
        <v>259</v>
      </c>
      <c r="I10"/>
      <c r="J10">
        <f>Scoreboard!L29</f>
        <v>66</v>
      </c>
      <c r="K10">
        <f>Scoreboard!M29</f>
        <v>126</v>
      </c>
      <c r="L10">
        <f t="shared" si="1"/>
        <v>192</v>
      </c>
      <c r="N10" s="33">
        <f>COUNTIF(Dreamscore!D34:U35,0)</f>
        <v>3</v>
      </c>
      <c r="P10" s="155">
        <f>COUNTIF(Dreamscore!D34:U35,-1)</f>
        <v>0</v>
      </c>
      <c r="Q10" s="33">
        <f>Tabell1719[[#This Row],[Samla birdie]]*2</f>
        <v>0</v>
      </c>
      <c r="R10" s="150" t="s">
        <v>48</v>
      </c>
      <c r="S10" s="35">
        <f>Tabell17[[#This Row],[Samla Par]]+Tabell1719[[#This Row],[Kolumn1]]</f>
        <v>3</v>
      </c>
      <c r="U10" s="162">
        <f>(Dreamscore!AE25+Dreamscore!AE25+Dreamscore!AE26)*36</f>
        <v>3.1111111111111107</v>
      </c>
      <c r="W10" s="163">
        <f>Tabell29[[#This Row],[Poäng]]-Tabell30[[#This Row],[Prognos]]</f>
        <v>-0.11111111111111072</v>
      </c>
    </row>
    <row r="11" spans="2:23">
      <c r="C11" s="152" t="s">
        <v>32</v>
      </c>
      <c r="D11" t="s">
        <v>33</v>
      </c>
      <c r="E11" s="152"/>
      <c r="F11">
        <f>Scoreboard!L10</f>
        <v>118</v>
      </c>
      <c r="G11">
        <f>Scoreboard!M10</f>
        <v>162</v>
      </c>
      <c r="H11">
        <f t="shared" si="0"/>
        <v>280</v>
      </c>
      <c r="I11"/>
      <c r="J11">
        <f>Scoreboard!L30</f>
        <v>91</v>
      </c>
      <c r="K11">
        <f>Scoreboard!M30</f>
        <v>126</v>
      </c>
      <c r="L11">
        <f t="shared" si="1"/>
        <v>217</v>
      </c>
      <c r="N11" s="33">
        <f>COUNTIF(Dreamscore!D71:U72,0)</f>
        <v>1</v>
      </c>
      <c r="P11" s="155">
        <f>COUNTIF(Dreamscore!D71:U72,-1)</f>
        <v>0</v>
      </c>
      <c r="Q11" s="33">
        <f>Tabell1719[[#This Row],[Samla birdie]]*2</f>
        <v>0</v>
      </c>
      <c r="S11" s="35">
        <f>Tabell17[[#This Row],[Samla Par]]+Tabell1719[[#This Row],[Kolumn1]]</f>
        <v>1</v>
      </c>
      <c r="U11" s="162">
        <f>(Dreamscore!AE62+Dreamscore!AE62+Dreamscore!AE63)*36</f>
        <v>3</v>
      </c>
      <c r="W11" s="163">
        <f>Tabell29[[#This Row],[Poäng]]-Tabell30[[#This Row],[Prognos]]</f>
        <v>-2</v>
      </c>
    </row>
    <row r="12" spans="2:23">
      <c r="C12" s="328" t="s">
        <v>47</v>
      </c>
      <c r="D12" t="s">
        <v>27</v>
      </c>
      <c r="E12" s="328"/>
      <c r="F12">
        <f>Scoreboard!L11</f>
        <v>101</v>
      </c>
      <c r="G12">
        <f>Scoreboard!M11</f>
        <v>162</v>
      </c>
      <c r="H12">
        <f t="shared" si="0"/>
        <v>263</v>
      </c>
      <c r="I12"/>
      <c r="J12">
        <f>Scoreboard!L31</f>
        <v>78</v>
      </c>
      <c r="K12">
        <f>Scoreboard!M31</f>
        <v>126</v>
      </c>
      <c r="L12">
        <f t="shared" si="1"/>
        <v>204</v>
      </c>
      <c r="N12" s="33"/>
      <c r="P12" s="155"/>
      <c r="Q12" s="33"/>
      <c r="S12" s="35"/>
      <c r="U12" s="162"/>
      <c r="W12" s="163"/>
    </row>
    <row r="13" spans="2:23">
      <c r="C13" s="325" t="s">
        <v>35</v>
      </c>
      <c r="D13" t="s">
        <v>36</v>
      </c>
      <c r="E13" s="325"/>
      <c r="F13">
        <f>Scoreboard!L12</f>
        <v>0</v>
      </c>
      <c r="G13">
        <f>Scoreboard!M12</f>
        <v>162</v>
      </c>
      <c r="H13">
        <f t="shared" si="0"/>
        <v>162</v>
      </c>
      <c r="I13"/>
      <c r="J13">
        <f>Scoreboard!L32</f>
        <v>0</v>
      </c>
      <c r="K13">
        <f>Scoreboard!M32</f>
        <v>126</v>
      </c>
      <c r="L13">
        <f t="shared" si="1"/>
        <v>126</v>
      </c>
      <c r="N13" s="33">
        <f>COUNTIF(Dreamscore!D131:U132,0)</f>
        <v>0</v>
      </c>
      <c r="P13" s="155">
        <f>COUNTIF(Dreamscore!D84:U85,-1)</f>
        <v>0</v>
      </c>
      <c r="Q13" s="33">
        <f>Tabell1719[[#This Row],[Samla birdie]]*2</f>
        <v>0</v>
      </c>
      <c r="S13" s="35">
        <f>Tabell17[[#This Row],[Samla Par]]+Tabell1719[[#This Row],[Kolumn1]]</f>
        <v>0</v>
      </c>
      <c r="U13" s="162">
        <f>(Dreamscore!AE122+Dreamscore!AE122+Dreamscore!AE123)*36</f>
        <v>2</v>
      </c>
      <c r="W13" s="163">
        <f>Tabell29[[#This Row],[Poäng]]-Tabell30[[#This Row],[Prognos]]</f>
        <v>-2</v>
      </c>
    </row>
    <row r="14" spans="2:23">
      <c r="C14" t="s">
        <v>37</v>
      </c>
      <c r="D14" t="s">
        <v>38</v>
      </c>
      <c r="E14"/>
      <c r="F14">
        <f>Scoreboard!L13</f>
        <v>0</v>
      </c>
      <c r="G14">
        <f>Scoreboard!M13</f>
        <v>162</v>
      </c>
      <c r="H14">
        <f t="shared" si="0"/>
        <v>162</v>
      </c>
      <c r="I14"/>
      <c r="J14">
        <f>Scoreboard!L33</f>
        <v>0</v>
      </c>
      <c r="K14">
        <f>Scoreboard!M33</f>
        <v>126</v>
      </c>
      <c r="L14">
        <f t="shared" si="1"/>
        <v>126</v>
      </c>
      <c r="N14" s="33">
        <f>COUNTIF(Dreamscore!D84:U85,0)</f>
        <v>0</v>
      </c>
      <c r="P14" s="155">
        <f>COUNTIF(Dreamscore!D132:U133,-1)</f>
        <v>0</v>
      </c>
      <c r="Q14" s="33"/>
      <c r="S14" s="35">
        <f>Tabell17[[#This Row],[Samla Par]]+Tabell1719[[#This Row],[Kolumn1]]</f>
        <v>0</v>
      </c>
      <c r="U14" s="162">
        <f>(Dreamscore!AE74+Dreamscore!AE74+Dreamscore!AE75)*36</f>
        <v>0.66666666666666663</v>
      </c>
      <c r="W14" s="163">
        <f>Tabell29[[#This Row],[Poäng]]-Tabell30[[#This Row],[Prognos]]</f>
        <v>-0.66666666666666663</v>
      </c>
    </row>
    <row r="15" spans="2:23">
      <c r="C15" s="152" t="s">
        <v>39</v>
      </c>
      <c r="D15" t="s">
        <v>40</v>
      </c>
      <c r="E15" s="152"/>
      <c r="F15">
        <f>Scoreboard!L14</f>
        <v>108</v>
      </c>
      <c r="G15">
        <f>Scoreboard!M14</f>
        <v>162</v>
      </c>
      <c r="H15">
        <f t="shared" si="0"/>
        <v>270</v>
      </c>
      <c r="I15"/>
      <c r="J15">
        <f>Scoreboard!L34</f>
        <v>82</v>
      </c>
      <c r="K15">
        <f>Scoreboard!M34</f>
        <v>126</v>
      </c>
      <c r="L15">
        <f t="shared" si="1"/>
        <v>208</v>
      </c>
      <c r="N15" s="33">
        <f>COUNTIF(Dreamscore!D179:U180,0)</f>
        <v>3</v>
      </c>
      <c r="P15" s="155">
        <f>COUNTIF(Dreamscore!D179:U180,-1)</f>
        <v>0</v>
      </c>
      <c r="Q15" s="33">
        <f>Tabell1719[[#This Row],[Samla birdie]]*2</f>
        <v>0</v>
      </c>
      <c r="S15" s="35">
        <f>Tabell17[[#This Row],[Samla Par]]+Tabell1719[[#This Row],[Kolumn1]]</f>
        <v>3</v>
      </c>
      <c r="U15" s="162">
        <f>(Dreamscore!AE170+Dreamscore!AE170+Dreamscore!AE171)*36</f>
        <v>5.5555555555555554</v>
      </c>
      <c r="W15" s="163">
        <f>Tabell29[[#This Row],[Poäng]]-Tabell30[[#This Row],[Prognos]]</f>
        <v>-2.5555555555555554</v>
      </c>
    </row>
    <row r="16" spans="2:23">
      <c r="C16" t="s">
        <v>32</v>
      </c>
      <c r="D16" t="s">
        <v>41</v>
      </c>
      <c r="E16"/>
      <c r="F16">
        <f>Scoreboard!L15</f>
        <v>0</v>
      </c>
      <c r="G16">
        <f>Scoreboard!M15</f>
        <v>162</v>
      </c>
      <c r="H16">
        <f t="shared" si="0"/>
        <v>162</v>
      </c>
      <c r="I16"/>
      <c r="J16">
        <f>Scoreboard!L35</f>
        <v>0</v>
      </c>
      <c r="K16">
        <f>Scoreboard!M35</f>
        <v>126</v>
      </c>
      <c r="L16">
        <f t="shared" si="1"/>
        <v>126</v>
      </c>
      <c r="N16" s="33">
        <f>COUNTIF(Dreamscore!D143:U144,0)</f>
        <v>0</v>
      </c>
      <c r="P16" s="155">
        <f>COUNTIF(Dreamscore!D143:U144,-1)</f>
        <v>0</v>
      </c>
      <c r="Q16" s="33"/>
      <c r="S16" s="35">
        <f>Tabell17[[#This Row],[Samla Par]]+Tabell1719[[#This Row],[Kolumn1]]</f>
        <v>0</v>
      </c>
      <c r="U16" s="162">
        <f>(Dreamscore!AE134+Dreamscore!AE134+Dreamscore!AE135)*36</f>
        <v>2.6666666666666665</v>
      </c>
      <c r="W16" s="163">
        <f>Tabell29[[#This Row],[Poäng]]-Tabell30[[#This Row],[Prognos]]</f>
        <v>-2.6666666666666665</v>
      </c>
    </row>
    <row r="17" spans="3:23">
      <c r="C17" t="s">
        <v>42</v>
      </c>
      <c r="D17" t="s">
        <v>27</v>
      </c>
      <c r="E17"/>
      <c r="F17">
        <f>Scoreboard!L16</f>
        <v>106</v>
      </c>
      <c r="G17">
        <f>Scoreboard!M16</f>
        <v>162</v>
      </c>
      <c r="H17">
        <f t="shared" si="0"/>
        <v>268</v>
      </c>
      <c r="I17"/>
      <c r="J17">
        <f>Scoreboard!L36</f>
        <v>76</v>
      </c>
      <c r="K17">
        <f>Scoreboard!M36</f>
        <v>126</v>
      </c>
      <c r="L17">
        <f t="shared" si="1"/>
        <v>202</v>
      </c>
      <c r="N17" s="33">
        <f>COUNTIF(Dreamscore!D95:U96,0)</f>
        <v>1</v>
      </c>
      <c r="P17" s="155">
        <f>COUNTIF(Dreamscore!D95:U96,-1)</f>
        <v>1</v>
      </c>
      <c r="Q17" s="33">
        <f>Tabell1719[[#This Row],[Samla birdie]]*2</f>
        <v>2</v>
      </c>
      <c r="S17" s="35">
        <f>Tabell17[[#This Row],[Samla Par]]+Tabell1719[[#This Row],[Kolumn1]]</f>
        <v>3</v>
      </c>
      <c r="U17" s="162">
        <f>(Dreamscore!AE86+Dreamscore!AE86+Dreamscore!AE87)*36</f>
        <v>2.333333333333333</v>
      </c>
      <c r="W17" s="163">
        <f>Tabell29[[#This Row],[Poäng]]-Tabell30[[#This Row],[Prognos]]</f>
        <v>0.66666666666666696</v>
      </c>
    </row>
    <row r="18" spans="3:23">
      <c r="C18" t="s">
        <v>43</v>
      </c>
      <c r="D18" t="s">
        <v>44</v>
      </c>
      <c r="E18"/>
      <c r="F18">
        <f>Scoreboard!L17</f>
        <v>0</v>
      </c>
      <c r="G18">
        <f>Scoreboard!M17</f>
        <v>162</v>
      </c>
      <c r="H18">
        <f t="shared" si="0"/>
        <v>162</v>
      </c>
      <c r="I18"/>
      <c r="J18">
        <f>Scoreboard!L37</f>
        <v>0</v>
      </c>
      <c r="K18">
        <f>Scoreboard!M37</f>
        <v>126</v>
      </c>
      <c r="L18">
        <f t="shared" si="1"/>
        <v>126</v>
      </c>
      <c r="N18" s="33">
        <f>COUNTIF(Dreamscore!D191:U192,0)</f>
        <v>0</v>
      </c>
      <c r="P18" s="155">
        <f>COUNTIF(Dreamscore!D191:U192,-1)</f>
        <v>0</v>
      </c>
      <c r="Q18" s="33">
        <f>Tabell1719[[#This Row],[Samla birdie]]*2</f>
        <v>0</v>
      </c>
      <c r="S18" s="35">
        <f>Tabell17[[#This Row],[Samla Par]]+Tabell1719[[#This Row],[Kolumn1]]</f>
        <v>0</v>
      </c>
      <c r="U18" s="162">
        <f>(Dreamscore!AE182+Dreamscore!AE182+Dreamscore!AE183)*36</f>
        <v>8.6666666666666661</v>
      </c>
      <c r="W18" s="163">
        <f>Tabell29[[#This Row],[Poäng]]-Tabell30[[#This Row],[Prognos]]</f>
        <v>-8.6666666666666661</v>
      </c>
    </row>
    <row r="19" spans="3:23">
      <c r="C19" t="s">
        <v>45</v>
      </c>
      <c r="D19" t="s">
        <v>46</v>
      </c>
      <c r="E19"/>
      <c r="F19">
        <f>Scoreboard!L18</f>
        <v>0</v>
      </c>
      <c r="G19">
        <f>Scoreboard!M18</f>
        <v>162</v>
      </c>
      <c r="H19">
        <f t="shared" si="0"/>
        <v>162</v>
      </c>
      <c r="I19"/>
      <c r="J19">
        <f>Scoreboard!L38</f>
        <v>126</v>
      </c>
      <c r="K19">
        <f>Scoreboard!M38</f>
        <v>126</v>
      </c>
      <c r="L19">
        <f t="shared" si="1"/>
        <v>252</v>
      </c>
      <c r="N19" s="33"/>
      <c r="P19" s="155"/>
      <c r="Q19" s="33"/>
      <c r="S19" s="35"/>
      <c r="U19" s="162"/>
      <c r="W19" s="163"/>
    </row>
    <row r="20" spans="3:23">
      <c r="C20" s="327" t="s">
        <v>63</v>
      </c>
      <c r="D20" t="s">
        <v>34</v>
      </c>
      <c r="E20" s="327"/>
      <c r="F20">
        <f>Scoreboard!L11</f>
        <v>101</v>
      </c>
      <c r="G20">
        <f>Scoreboard!M11</f>
        <v>162</v>
      </c>
      <c r="H20">
        <f>F20+G20</f>
        <v>263</v>
      </c>
      <c r="I20"/>
      <c r="J20">
        <f>Scoreboard!L31</f>
        <v>78</v>
      </c>
      <c r="K20">
        <f>Scoreboard!M31</f>
        <v>126</v>
      </c>
      <c r="L20">
        <f>J20+K20</f>
        <v>204</v>
      </c>
      <c r="N20" s="33">
        <f>COUNTIF(Dreamscore!D214:U215,0)</f>
        <v>4</v>
      </c>
      <c r="P20" s="155">
        <f>COUNTIF(Dreamscore!D214:U215,-1)</f>
        <v>1</v>
      </c>
      <c r="Q20" s="34">
        <f>Tabell1719[[#This Row],[Samla birdie]]*2</f>
        <v>2</v>
      </c>
      <c r="S20" s="35">
        <f>Tabell17[[#This Row],[Samla Par]]+Tabell1719[[#This Row],[Kolumn1]]</f>
        <v>6</v>
      </c>
      <c r="U20" s="162">
        <f>(Dreamscore!AE205+Dreamscore!AE205+Dreamscore!AE206)*36</f>
        <v>4.5</v>
      </c>
      <c r="W20" s="163">
        <f>Tabell29[[#This Row],[Poäng]]-Tabell30[[#This Row],[Prognos]]</f>
        <v>1.5</v>
      </c>
    </row>
    <row r="21" spans="3:23" ht="15.75" thickBot="1"/>
    <row r="22" spans="3:23" ht="15.75" thickBot="1">
      <c r="F22" s="156">
        <f>AVERAGE(F5,F6,F7,F8,F9,F10,F11,F13,F15,F17,F18,F20)</f>
        <v>75.25</v>
      </c>
      <c r="G22" s="157">
        <f>AVERAGE(G5,G6,G7,G8,G9,G10,G11,G13,G15,G17,G18,G20)</f>
        <v>148.5</v>
      </c>
      <c r="H22" s="158">
        <f>AVERAGE(H5,H6,H7,H9,H10,H13,H14,H15,H16,H17,H20)</f>
        <v>210.18181818181819</v>
      </c>
      <c r="I22" s="159"/>
      <c r="J22" s="156">
        <f t="shared" ref="J22:P22" si="2">AVERAGE(J5,J6,J7,J8,J9,J10,J11,J13,J15,J17,J18,J20)</f>
        <v>57.333333333333336</v>
      </c>
      <c r="K22" s="157">
        <f t="shared" si="2"/>
        <v>126</v>
      </c>
      <c r="L22" s="158">
        <f>AVERAGE(L5,L6,L7,L9,L10,L13,L14,L15,L16,L17,L20)</f>
        <v>173.45454545454547</v>
      </c>
      <c r="M22" s="159"/>
      <c r="N22" s="160">
        <f t="shared" si="2"/>
        <v>2.75</v>
      </c>
      <c r="O22" s="159"/>
      <c r="P22" s="160">
        <f t="shared" si="2"/>
        <v>0.16666666666666666</v>
      </c>
      <c r="Q22" s="159"/>
      <c r="R22" s="159"/>
      <c r="S22" s="160">
        <f>AVERAGE(S5,S6,S7,S8,S9,S10,S11,S13,S15,S17,S18,S20)</f>
        <v>3.0833333333333335</v>
      </c>
      <c r="U22" s="160">
        <f>AVERAGE(U5,U6,U7,U8,U9,U10,U11,U13,U15,U17,U18,U20)</f>
        <v>5.395833333333333</v>
      </c>
      <c r="W22" s="160">
        <f>AVERAGE(W5,W6,W7,W8,W9,W10,W11,W13,W15,W17,W18,W20)</f>
        <v>-2.3125</v>
      </c>
    </row>
    <row r="25" spans="3:23">
      <c r="N25" s="150" t="s">
        <v>48</v>
      </c>
    </row>
    <row r="27" spans="3:23">
      <c r="N27" s="150" t="s">
        <v>48</v>
      </c>
    </row>
  </sheetData>
  <pageMargins left="0.7" right="0.7" top="0.75" bottom="0.75" header="0.3" footer="0.3"/>
  <pageSetup paperSize="9" orientation="portrait" r:id="rId1"/>
  <drawing r:id="rId2"/>
  <tableParts count="6">
    <tablePart r:id="rId3"/>
    <tablePart r:id="rId4"/>
    <tablePart r:id="rId5"/>
    <tablePart r:id="rId6"/>
    <tablePart r:id="rId7"/>
    <tablePart r:id="rId8"/>
  </tableParts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C183E9-C435-449C-B904-FD725ED96362}">
  <dimension ref="B2:Z39"/>
  <sheetViews>
    <sheetView zoomScale="76" zoomScaleNormal="76" workbookViewId="0">
      <selection activeCell="D20" sqref="D20:E20"/>
    </sheetView>
  </sheetViews>
  <sheetFormatPr defaultRowHeight="15"/>
  <cols>
    <col min="3" max="3" width="13.140625" bestFit="1" customWidth="1"/>
    <col min="4" max="4" width="13.140625" customWidth="1"/>
    <col min="20" max="20" width="9.140625" style="265"/>
    <col min="21" max="21" width="3.42578125" customWidth="1"/>
    <col min="22" max="22" width="14.28515625" customWidth="1"/>
    <col min="23" max="23" width="14.85546875" customWidth="1"/>
    <col min="26" max="26" width="13.85546875" bestFit="1" customWidth="1"/>
  </cols>
  <sheetData>
    <row r="2" spans="2:26" ht="15.75" thickBot="1">
      <c r="D2" s="222">
        <v>2023</v>
      </c>
      <c r="E2" s="222">
        <v>2022</v>
      </c>
      <c r="F2" s="222">
        <v>2021</v>
      </c>
      <c r="G2" s="222">
        <v>2020</v>
      </c>
      <c r="H2" s="222">
        <v>2019</v>
      </c>
      <c r="I2" s="222">
        <v>2018</v>
      </c>
      <c r="J2" s="222">
        <v>2017</v>
      </c>
      <c r="K2" s="222">
        <v>2016</v>
      </c>
      <c r="L2" s="222">
        <v>2015</v>
      </c>
      <c r="M2" s="222">
        <v>2014</v>
      </c>
      <c r="N2" s="222">
        <v>2013</v>
      </c>
      <c r="O2" s="282">
        <v>2012</v>
      </c>
      <c r="P2" s="282">
        <v>2011</v>
      </c>
      <c r="Q2" s="282">
        <v>2010</v>
      </c>
      <c r="R2" s="282">
        <v>2009</v>
      </c>
      <c r="T2" s="284" t="s">
        <v>50</v>
      </c>
      <c r="V2" s="222" t="s">
        <v>227</v>
      </c>
      <c r="W2" s="222" t="s">
        <v>226</v>
      </c>
      <c r="Y2" s="222" t="s">
        <v>228</v>
      </c>
      <c r="Z2" s="222" t="s">
        <v>229</v>
      </c>
    </row>
    <row r="3" spans="2:26">
      <c r="B3" s="270" t="s">
        <v>20</v>
      </c>
      <c r="C3" s="271" t="s">
        <v>21</v>
      </c>
      <c r="D3" s="310">
        <f>Scoreboard!Z24</f>
        <v>11</v>
      </c>
      <c r="E3" s="281">
        <v>9</v>
      </c>
      <c r="F3" s="281">
        <v>12</v>
      </c>
      <c r="G3" s="281">
        <v>9</v>
      </c>
      <c r="H3" s="281">
        <v>9</v>
      </c>
      <c r="I3" s="281">
        <v>5</v>
      </c>
      <c r="J3" s="281">
        <v>13</v>
      </c>
      <c r="K3" s="281">
        <v>9</v>
      </c>
      <c r="L3" s="281">
        <v>8</v>
      </c>
      <c r="M3" s="281">
        <v>26</v>
      </c>
      <c r="N3" s="281">
        <v>7</v>
      </c>
      <c r="O3" s="281">
        <v>6</v>
      </c>
      <c r="P3" s="281">
        <v>10</v>
      </c>
      <c r="Q3" s="281">
        <v>9</v>
      </c>
      <c r="R3" s="281">
        <v>4</v>
      </c>
      <c r="T3" s="283">
        <f>AVERAGE(D3:R3)</f>
        <v>9.8000000000000007</v>
      </c>
      <c r="V3" s="316">
        <f>D3-T3</f>
        <v>1.1999999999999993</v>
      </c>
      <c r="W3" s="317">
        <f>D3-E3</f>
        <v>2</v>
      </c>
      <c r="Y3" s="318">
        <f>SMALL(D3:N3,1)</f>
        <v>5</v>
      </c>
      <c r="Z3" s="318">
        <f>D3-Y3</f>
        <v>6</v>
      </c>
    </row>
    <row r="4" spans="2:26">
      <c r="B4" s="272" t="s">
        <v>24</v>
      </c>
      <c r="C4" s="273" t="s">
        <v>25</v>
      </c>
      <c r="D4" s="273"/>
      <c r="E4" s="274">
        <v>22</v>
      </c>
      <c r="F4" s="274">
        <v>32</v>
      </c>
      <c r="G4" s="274">
        <v>20</v>
      </c>
      <c r="H4" s="274">
        <v>9</v>
      </c>
      <c r="I4" s="274">
        <v>21</v>
      </c>
      <c r="J4" s="274">
        <v>16</v>
      </c>
      <c r="K4" s="274">
        <v>23</v>
      </c>
      <c r="L4" s="274">
        <v>18</v>
      </c>
      <c r="M4" s="274">
        <v>16</v>
      </c>
      <c r="N4" s="274">
        <v>10</v>
      </c>
      <c r="O4" s="274">
        <v>15</v>
      </c>
      <c r="P4" s="274">
        <v>37</v>
      </c>
      <c r="Q4" s="274">
        <v>6</v>
      </c>
      <c r="R4" s="274">
        <v>6</v>
      </c>
      <c r="T4" s="283">
        <f t="shared" ref="T4:T18" si="0">AVERAGE(D4:R4)</f>
        <v>17.928571428571427</v>
      </c>
      <c r="V4" s="316">
        <f t="shared" ref="V4:V18" si="1">D4-T4</f>
        <v>-17.928571428571427</v>
      </c>
      <c r="W4" s="317">
        <f t="shared" ref="W4:W18" si="2">D4-E4</f>
        <v>-22</v>
      </c>
      <c r="Y4" s="318">
        <f t="shared" ref="Y4:Y18" si="3">SMALL(D4:N4,1)</f>
        <v>9</v>
      </c>
      <c r="Z4" s="318">
        <f t="shared" ref="Z4:Z18" si="4">D4-Y4</f>
        <v>-9</v>
      </c>
    </row>
    <row r="5" spans="2:26">
      <c r="B5" s="275" t="s">
        <v>22</v>
      </c>
      <c r="C5" s="276" t="s">
        <v>23</v>
      </c>
      <c r="D5" s="276">
        <f>Scoreboard!Z25</f>
        <v>15</v>
      </c>
      <c r="E5" s="277">
        <v>17</v>
      </c>
      <c r="F5" s="277">
        <v>22</v>
      </c>
      <c r="G5" s="277">
        <v>17</v>
      </c>
      <c r="H5" s="277">
        <v>14</v>
      </c>
      <c r="I5" s="277">
        <v>13</v>
      </c>
      <c r="J5" s="277">
        <v>6</v>
      </c>
      <c r="K5" s="277">
        <v>12</v>
      </c>
      <c r="L5" s="277">
        <v>13</v>
      </c>
      <c r="M5" s="277">
        <v>15</v>
      </c>
      <c r="N5" s="277">
        <v>16</v>
      </c>
      <c r="O5" s="277">
        <v>6</v>
      </c>
      <c r="P5" s="277">
        <v>7</v>
      </c>
      <c r="Q5" s="277">
        <v>8</v>
      </c>
      <c r="R5" s="277">
        <v>9</v>
      </c>
      <c r="T5" s="283">
        <f t="shared" si="0"/>
        <v>12.666666666666666</v>
      </c>
      <c r="V5" s="316">
        <f t="shared" si="1"/>
        <v>2.3333333333333339</v>
      </c>
      <c r="W5" s="317">
        <f t="shared" si="2"/>
        <v>-2</v>
      </c>
      <c r="Y5" s="318">
        <f t="shared" si="3"/>
        <v>6</v>
      </c>
      <c r="Z5" s="318">
        <f t="shared" si="4"/>
        <v>9</v>
      </c>
    </row>
    <row r="6" spans="2:26">
      <c r="B6" s="272" t="s">
        <v>32</v>
      </c>
      <c r="C6" s="273" t="s">
        <v>33</v>
      </c>
      <c r="D6" s="273">
        <f>Scoreboard!Z30</f>
        <v>29</v>
      </c>
      <c r="E6" s="274">
        <v>35</v>
      </c>
      <c r="F6" s="274">
        <v>24</v>
      </c>
      <c r="G6" s="274">
        <v>38</v>
      </c>
      <c r="H6" s="274">
        <v>24</v>
      </c>
      <c r="I6" s="274">
        <v>37</v>
      </c>
      <c r="J6" s="274">
        <v>23</v>
      </c>
      <c r="K6" s="274">
        <v>19</v>
      </c>
      <c r="L6" s="274">
        <v>27</v>
      </c>
      <c r="M6" s="274">
        <v>22</v>
      </c>
      <c r="N6" s="274">
        <v>20</v>
      </c>
      <c r="O6" s="274">
        <v>12</v>
      </c>
      <c r="P6" s="274">
        <v>22</v>
      </c>
      <c r="Q6" s="274">
        <v>17</v>
      </c>
      <c r="R6" s="274">
        <v>9</v>
      </c>
      <c r="T6" s="283">
        <f t="shared" si="0"/>
        <v>23.866666666666667</v>
      </c>
      <c r="V6" s="316">
        <f t="shared" si="1"/>
        <v>5.1333333333333329</v>
      </c>
      <c r="W6" s="317">
        <f t="shared" si="2"/>
        <v>-6</v>
      </c>
      <c r="Y6" s="318">
        <f t="shared" si="3"/>
        <v>19</v>
      </c>
      <c r="Z6" s="318">
        <f t="shared" si="4"/>
        <v>10</v>
      </c>
    </row>
    <row r="7" spans="2:26">
      <c r="B7" s="275" t="s">
        <v>28</v>
      </c>
      <c r="C7" s="276" t="s">
        <v>29</v>
      </c>
      <c r="D7" s="276">
        <f>Scoreboard!Z28</f>
        <v>15</v>
      </c>
      <c r="E7" s="277">
        <v>14</v>
      </c>
      <c r="F7" s="277">
        <v>17</v>
      </c>
      <c r="G7" s="277">
        <v>18</v>
      </c>
      <c r="H7" s="277">
        <v>12</v>
      </c>
      <c r="I7" s="277">
        <v>8</v>
      </c>
      <c r="J7" s="277">
        <v>8</v>
      </c>
      <c r="K7" s="277">
        <v>14</v>
      </c>
      <c r="L7" s="277">
        <v>12</v>
      </c>
      <c r="M7" s="277">
        <v>10</v>
      </c>
      <c r="N7" s="277">
        <v>19</v>
      </c>
      <c r="O7" s="277">
        <v>30</v>
      </c>
      <c r="P7" s="277">
        <v>4</v>
      </c>
      <c r="Q7" s="277">
        <v>10</v>
      </c>
      <c r="R7" s="277">
        <v>12</v>
      </c>
      <c r="T7" s="283">
        <f t="shared" si="0"/>
        <v>13.533333333333333</v>
      </c>
      <c r="V7" s="316">
        <f t="shared" si="1"/>
        <v>1.4666666666666668</v>
      </c>
      <c r="W7" s="317">
        <f t="shared" si="2"/>
        <v>1</v>
      </c>
      <c r="Y7" s="318">
        <f t="shared" si="3"/>
        <v>8</v>
      </c>
      <c r="Z7" s="318">
        <f t="shared" si="4"/>
        <v>7</v>
      </c>
    </row>
    <row r="8" spans="2:26">
      <c r="B8" s="272" t="s">
        <v>37</v>
      </c>
      <c r="C8" s="273" t="s">
        <v>38</v>
      </c>
      <c r="D8" s="273"/>
      <c r="E8" s="274">
        <v>27</v>
      </c>
      <c r="F8" s="274">
        <v>40</v>
      </c>
      <c r="G8" s="274">
        <v>25</v>
      </c>
      <c r="H8" s="274">
        <v>28</v>
      </c>
      <c r="I8" s="274">
        <v>28</v>
      </c>
      <c r="J8" s="274">
        <v>29</v>
      </c>
      <c r="K8" s="274">
        <v>17</v>
      </c>
      <c r="L8" s="274">
        <v>27</v>
      </c>
      <c r="M8" s="274">
        <v>18</v>
      </c>
      <c r="N8" s="274">
        <v>14</v>
      </c>
      <c r="O8" s="274">
        <v>17</v>
      </c>
      <c r="P8" s="274">
        <v>9</v>
      </c>
      <c r="Q8" s="274">
        <v>6</v>
      </c>
      <c r="R8" s="274">
        <v>11</v>
      </c>
      <c r="T8" s="283">
        <f t="shared" si="0"/>
        <v>21.142857142857142</v>
      </c>
      <c r="V8" s="316">
        <f t="shared" si="1"/>
        <v>-21.142857142857142</v>
      </c>
      <c r="W8" s="317">
        <f t="shared" si="2"/>
        <v>-27</v>
      </c>
      <c r="Y8" s="318">
        <f t="shared" si="3"/>
        <v>14</v>
      </c>
      <c r="Z8" s="318">
        <f t="shared" si="4"/>
        <v>-14</v>
      </c>
    </row>
    <row r="9" spans="2:26">
      <c r="B9" s="275" t="s">
        <v>30</v>
      </c>
      <c r="C9" s="276" t="s">
        <v>31</v>
      </c>
      <c r="D9" s="276">
        <f>Scoreboard!Z29</f>
        <v>14</v>
      </c>
      <c r="E9" s="277">
        <v>20</v>
      </c>
      <c r="F9" s="277">
        <v>21</v>
      </c>
      <c r="G9" s="277">
        <v>21</v>
      </c>
      <c r="H9" s="277">
        <v>20</v>
      </c>
      <c r="I9" s="277">
        <v>21</v>
      </c>
      <c r="J9" s="277">
        <v>18</v>
      </c>
      <c r="K9" s="277">
        <v>14</v>
      </c>
      <c r="L9" s="277">
        <v>13</v>
      </c>
      <c r="M9" s="277">
        <v>17</v>
      </c>
      <c r="N9" s="277">
        <v>37</v>
      </c>
      <c r="O9" s="277">
        <v>17</v>
      </c>
      <c r="P9" s="277">
        <v>21</v>
      </c>
      <c r="Q9" s="277">
        <v>20</v>
      </c>
      <c r="R9" s="277">
        <v>13</v>
      </c>
      <c r="T9" s="283">
        <f t="shared" si="0"/>
        <v>19.133333333333333</v>
      </c>
      <c r="V9" s="316">
        <f t="shared" si="1"/>
        <v>-5.1333333333333329</v>
      </c>
      <c r="W9" s="317">
        <f t="shared" si="2"/>
        <v>-6</v>
      </c>
      <c r="Y9" s="318">
        <f t="shared" si="3"/>
        <v>13</v>
      </c>
      <c r="Z9" s="318">
        <f t="shared" si="4"/>
        <v>1</v>
      </c>
    </row>
    <row r="10" spans="2:26">
      <c r="B10" s="272" t="s">
        <v>20</v>
      </c>
      <c r="C10" s="273" t="s">
        <v>34</v>
      </c>
      <c r="D10" s="273">
        <f>Scoreboard!Z31</f>
        <v>37</v>
      </c>
      <c r="E10" s="274">
        <v>31</v>
      </c>
      <c r="F10" s="274">
        <v>43</v>
      </c>
      <c r="G10" s="274">
        <v>31</v>
      </c>
      <c r="H10" s="274">
        <v>32</v>
      </c>
      <c r="I10" s="274"/>
      <c r="J10" s="274"/>
      <c r="K10" s="274"/>
      <c r="L10" s="274"/>
      <c r="M10" s="274"/>
      <c r="N10" s="274"/>
      <c r="O10" s="274"/>
      <c r="P10" s="274"/>
      <c r="Q10" s="274"/>
      <c r="R10" s="274"/>
      <c r="T10" s="283">
        <f t="shared" si="0"/>
        <v>34.799999999999997</v>
      </c>
      <c r="V10" s="316">
        <f t="shared" si="1"/>
        <v>2.2000000000000028</v>
      </c>
      <c r="W10" s="317">
        <f t="shared" si="2"/>
        <v>6</v>
      </c>
      <c r="Y10" s="318">
        <f t="shared" si="3"/>
        <v>31</v>
      </c>
      <c r="Z10" s="318">
        <f t="shared" si="4"/>
        <v>6</v>
      </c>
    </row>
    <row r="11" spans="2:26">
      <c r="B11" s="275" t="s">
        <v>42</v>
      </c>
      <c r="C11" s="276" t="s">
        <v>134</v>
      </c>
      <c r="D11" s="276">
        <f>Scoreboard!Z36</f>
        <v>31</v>
      </c>
      <c r="E11" s="277">
        <v>32</v>
      </c>
      <c r="F11" s="277">
        <v>19</v>
      </c>
      <c r="G11" s="277">
        <v>40</v>
      </c>
      <c r="H11" s="277">
        <v>25</v>
      </c>
      <c r="I11" s="277">
        <v>21</v>
      </c>
      <c r="J11" s="277">
        <v>32</v>
      </c>
      <c r="K11" s="277">
        <v>48</v>
      </c>
      <c r="L11" s="277">
        <v>61</v>
      </c>
      <c r="M11" s="277">
        <v>49</v>
      </c>
      <c r="N11" s="277">
        <v>26</v>
      </c>
      <c r="O11" s="277">
        <v>13</v>
      </c>
      <c r="P11" s="277">
        <v>15</v>
      </c>
      <c r="Q11" s="277">
        <v>22</v>
      </c>
      <c r="R11" s="277">
        <v>22</v>
      </c>
      <c r="T11" s="283">
        <f t="shared" si="0"/>
        <v>30.4</v>
      </c>
      <c r="V11" s="316">
        <f t="shared" si="1"/>
        <v>0.60000000000000142</v>
      </c>
      <c r="W11" s="317">
        <f t="shared" si="2"/>
        <v>-1</v>
      </c>
      <c r="Y11" s="318">
        <f t="shared" si="3"/>
        <v>19</v>
      </c>
      <c r="Z11" s="318">
        <f t="shared" si="4"/>
        <v>12</v>
      </c>
    </row>
    <row r="12" spans="2:26">
      <c r="B12" s="272" t="s">
        <v>32</v>
      </c>
      <c r="C12" s="273" t="s">
        <v>41</v>
      </c>
      <c r="D12" s="273">
        <f>Scoreboard!Z35</f>
        <v>37</v>
      </c>
      <c r="E12" s="274">
        <v>27</v>
      </c>
      <c r="F12" s="274">
        <v>44</v>
      </c>
      <c r="G12" s="274">
        <v>53</v>
      </c>
      <c r="H12" s="274">
        <v>55</v>
      </c>
      <c r="I12" s="274">
        <v>75</v>
      </c>
      <c r="J12" s="274">
        <v>41</v>
      </c>
      <c r="K12" s="274">
        <v>62</v>
      </c>
      <c r="L12" s="274">
        <v>32</v>
      </c>
      <c r="M12" s="274">
        <v>41</v>
      </c>
      <c r="N12" s="274">
        <v>28</v>
      </c>
      <c r="O12" s="274">
        <v>24</v>
      </c>
      <c r="P12" s="274">
        <v>56</v>
      </c>
      <c r="Q12" s="274">
        <v>23</v>
      </c>
      <c r="R12" s="274">
        <v>21</v>
      </c>
      <c r="T12" s="283">
        <f t="shared" si="0"/>
        <v>41.266666666666666</v>
      </c>
      <c r="V12" s="316">
        <f t="shared" si="1"/>
        <v>-4.2666666666666657</v>
      </c>
      <c r="W12" s="317">
        <f t="shared" si="2"/>
        <v>10</v>
      </c>
      <c r="Y12" s="318">
        <f t="shared" si="3"/>
        <v>27</v>
      </c>
      <c r="Z12" s="318">
        <f t="shared" si="4"/>
        <v>10</v>
      </c>
    </row>
    <row r="13" spans="2:26">
      <c r="B13" s="275" t="s">
        <v>26</v>
      </c>
      <c r="C13" s="276" t="s">
        <v>135</v>
      </c>
      <c r="D13" s="276">
        <f>Scoreboard!Z27</f>
        <v>15</v>
      </c>
      <c r="E13" s="277">
        <v>20</v>
      </c>
      <c r="F13" s="277">
        <v>16</v>
      </c>
      <c r="G13" s="277">
        <v>8</v>
      </c>
      <c r="H13" s="277">
        <v>35</v>
      </c>
      <c r="I13" s="277">
        <v>19</v>
      </c>
      <c r="J13" s="277">
        <v>26</v>
      </c>
      <c r="K13" s="277">
        <v>37</v>
      </c>
      <c r="L13" s="277">
        <v>49</v>
      </c>
      <c r="M13" s="277">
        <v>36</v>
      </c>
      <c r="N13" s="277">
        <v>26</v>
      </c>
      <c r="O13" s="277">
        <v>10</v>
      </c>
      <c r="P13" s="277">
        <v>22</v>
      </c>
      <c r="Q13" s="277">
        <v>23</v>
      </c>
      <c r="R13" s="277">
        <v>23</v>
      </c>
      <c r="T13" s="283">
        <f t="shared" si="0"/>
        <v>24.333333333333332</v>
      </c>
      <c r="V13" s="316">
        <f t="shared" si="1"/>
        <v>-9.3333333333333321</v>
      </c>
      <c r="W13" s="317">
        <f t="shared" si="2"/>
        <v>-5</v>
      </c>
      <c r="Y13" s="318">
        <f t="shared" si="3"/>
        <v>8</v>
      </c>
      <c r="Z13" s="318">
        <f t="shared" si="4"/>
        <v>7</v>
      </c>
    </row>
    <row r="14" spans="2:26">
      <c r="B14" s="272" t="s">
        <v>35</v>
      </c>
      <c r="C14" s="273" t="s">
        <v>36</v>
      </c>
      <c r="D14" s="273">
        <f>Scoreboard!Z32</f>
        <v>26</v>
      </c>
      <c r="E14" s="274">
        <v>49</v>
      </c>
      <c r="F14" s="274">
        <v>31</v>
      </c>
      <c r="G14" s="274">
        <v>25</v>
      </c>
      <c r="H14" s="274">
        <v>42</v>
      </c>
      <c r="I14" s="274">
        <v>46</v>
      </c>
      <c r="J14" s="274">
        <v>44</v>
      </c>
      <c r="K14" s="274">
        <v>42</v>
      </c>
      <c r="L14" s="274">
        <v>47</v>
      </c>
      <c r="M14" s="274">
        <v>26</v>
      </c>
      <c r="N14" s="274">
        <v>31</v>
      </c>
      <c r="O14" s="274">
        <v>25</v>
      </c>
      <c r="P14" s="274">
        <v>26</v>
      </c>
      <c r="Q14" s="274">
        <v>29</v>
      </c>
      <c r="R14" s="274">
        <v>50</v>
      </c>
      <c r="T14" s="283">
        <f t="shared" si="0"/>
        <v>35.93333333333333</v>
      </c>
      <c r="V14" s="316">
        <f t="shared" si="1"/>
        <v>-9.93333333333333</v>
      </c>
      <c r="W14" s="317">
        <f t="shared" si="2"/>
        <v>-23</v>
      </c>
      <c r="Y14" s="318">
        <f t="shared" si="3"/>
        <v>25</v>
      </c>
      <c r="Z14" s="318">
        <f t="shared" si="4"/>
        <v>1</v>
      </c>
    </row>
    <row r="15" spans="2:26">
      <c r="B15" s="275" t="s">
        <v>43</v>
      </c>
      <c r="C15" s="276" t="s">
        <v>44</v>
      </c>
      <c r="D15" s="276">
        <f>Scoreboard!Z37</f>
        <v>29</v>
      </c>
      <c r="E15" s="277">
        <v>34</v>
      </c>
      <c r="F15" s="277">
        <v>14</v>
      </c>
      <c r="G15" s="277">
        <v>32</v>
      </c>
      <c r="H15" s="277">
        <v>23</v>
      </c>
      <c r="I15" s="277">
        <v>21</v>
      </c>
      <c r="J15" s="277">
        <v>30</v>
      </c>
      <c r="K15" s="277">
        <v>29</v>
      </c>
      <c r="L15" s="277">
        <v>25</v>
      </c>
      <c r="M15" s="277">
        <v>32</v>
      </c>
      <c r="N15" s="277">
        <v>31</v>
      </c>
      <c r="O15" s="277">
        <v>30</v>
      </c>
      <c r="P15" s="277"/>
      <c r="Q15" s="277"/>
      <c r="R15" s="277"/>
      <c r="T15" s="283">
        <f t="shared" si="0"/>
        <v>27.5</v>
      </c>
      <c r="V15" s="316">
        <f t="shared" si="1"/>
        <v>1.5</v>
      </c>
      <c r="W15" s="317">
        <f t="shared" si="2"/>
        <v>-5</v>
      </c>
      <c r="Y15" s="318">
        <f t="shared" si="3"/>
        <v>14</v>
      </c>
      <c r="Z15" s="318">
        <f t="shared" si="4"/>
        <v>15</v>
      </c>
    </row>
    <row r="16" spans="2:26">
      <c r="B16" s="272" t="s">
        <v>62</v>
      </c>
      <c r="C16" s="273" t="s">
        <v>40</v>
      </c>
      <c r="D16" s="273">
        <f>Scoreboard!Z34</f>
        <v>14</v>
      </c>
      <c r="E16" s="274">
        <v>32</v>
      </c>
      <c r="F16" s="274">
        <v>69</v>
      </c>
      <c r="G16" s="274">
        <v>35</v>
      </c>
      <c r="H16" s="274">
        <v>51</v>
      </c>
      <c r="I16" s="274">
        <v>46</v>
      </c>
      <c r="J16" s="274">
        <v>39</v>
      </c>
      <c r="K16" s="274">
        <v>46</v>
      </c>
      <c r="L16" s="274">
        <v>45</v>
      </c>
      <c r="M16" s="274">
        <v>63</v>
      </c>
      <c r="N16" s="274">
        <v>54</v>
      </c>
      <c r="O16" s="274">
        <v>41</v>
      </c>
      <c r="P16" s="274">
        <v>27</v>
      </c>
      <c r="Q16" s="274">
        <v>32</v>
      </c>
      <c r="R16" s="274"/>
      <c r="T16" s="283">
        <f t="shared" si="0"/>
        <v>42.428571428571431</v>
      </c>
      <c r="V16" s="316">
        <f t="shared" si="1"/>
        <v>-28.428571428571431</v>
      </c>
      <c r="W16" s="317">
        <f t="shared" si="2"/>
        <v>-18</v>
      </c>
      <c r="Y16" s="318">
        <f t="shared" si="3"/>
        <v>14</v>
      </c>
      <c r="Z16" s="318">
        <f t="shared" si="4"/>
        <v>0</v>
      </c>
    </row>
    <row r="17" spans="2:26">
      <c r="B17" s="275" t="s">
        <v>45</v>
      </c>
      <c r="C17" s="276" t="s">
        <v>46</v>
      </c>
      <c r="D17" s="276">
        <f>Scoreboard!Z38</f>
        <v>29</v>
      </c>
      <c r="E17" s="277">
        <v>41</v>
      </c>
      <c r="F17" s="277">
        <v>21</v>
      </c>
      <c r="G17" s="277">
        <v>26</v>
      </c>
      <c r="H17" s="277">
        <v>29</v>
      </c>
      <c r="I17" s="277">
        <v>65</v>
      </c>
      <c r="J17" s="277">
        <v>49</v>
      </c>
      <c r="K17" s="277">
        <v>9</v>
      </c>
      <c r="L17" s="277">
        <v>18</v>
      </c>
      <c r="M17" s="277">
        <v>15</v>
      </c>
      <c r="N17" s="277">
        <v>23</v>
      </c>
      <c r="O17" s="277">
        <v>10</v>
      </c>
      <c r="P17" s="277">
        <v>7</v>
      </c>
      <c r="Q17" s="277"/>
      <c r="R17" s="277"/>
      <c r="T17" s="283">
        <f t="shared" si="0"/>
        <v>26.307692307692307</v>
      </c>
      <c r="V17" s="316">
        <f t="shared" si="1"/>
        <v>2.6923076923076934</v>
      </c>
      <c r="W17" s="317">
        <f t="shared" si="2"/>
        <v>-12</v>
      </c>
      <c r="Y17" s="318">
        <f t="shared" si="3"/>
        <v>9</v>
      </c>
      <c r="Z17" s="318">
        <f t="shared" si="4"/>
        <v>20</v>
      </c>
    </row>
    <row r="18" spans="2:26" ht="15.75" thickBot="1">
      <c r="B18" s="278" t="s">
        <v>47</v>
      </c>
      <c r="C18" s="279" t="s">
        <v>70</v>
      </c>
      <c r="D18" s="279">
        <f>Scoreboard!Z39</f>
        <v>28</v>
      </c>
      <c r="E18" s="280">
        <v>38</v>
      </c>
      <c r="F18" s="280">
        <v>55</v>
      </c>
      <c r="G18" s="280"/>
      <c r="H18" s="280"/>
      <c r="I18" s="280"/>
      <c r="J18" s="280"/>
      <c r="K18" s="280"/>
      <c r="L18" s="280"/>
      <c r="M18" s="280"/>
      <c r="N18" s="280"/>
      <c r="O18" s="280"/>
      <c r="P18" s="280"/>
      <c r="Q18" s="280"/>
      <c r="R18" s="280"/>
      <c r="T18" s="283">
        <f t="shared" si="0"/>
        <v>40.333333333333336</v>
      </c>
      <c r="V18" s="316">
        <f t="shared" si="1"/>
        <v>-12.333333333333336</v>
      </c>
      <c r="W18" s="317">
        <f t="shared" si="2"/>
        <v>-10</v>
      </c>
      <c r="Y18" s="318">
        <f t="shared" si="3"/>
        <v>28</v>
      </c>
      <c r="Z18" s="318">
        <f t="shared" si="4"/>
        <v>0</v>
      </c>
    </row>
    <row r="20" spans="2:26">
      <c r="D20">
        <f>AVERAGE(D3:D18)</f>
        <v>23.571428571428573</v>
      </c>
      <c r="E20">
        <f>AVERAGE(E3:E18)</f>
        <v>28</v>
      </c>
    </row>
    <row r="23" spans="2:26" ht="15.75" thickBot="1">
      <c r="D23">
        <v>2023</v>
      </c>
      <c r="E23" s="222">
        <v>2022</v>
      </c>
      <c r="F23" s="222">
        <v>2021</v>
      </c>
      <c r="G23" s="222">
        <v>2020</v>
      </c>
      <c r="H23" s="222">
        <v>2019</v>
      </c>
      <c r="I23" s="222">
        <v>2018</v>
      </c>
      <c r="J23" s="222">
        <v>2017</v>
      </c>
      <c r="K23" s="222">
        <v>2016</v>
      </c>
      <c r="L23" s="222">
        <v>2015</v>
      </c>
      <c r="M23" s="222">
        <v>2014</v>
      </c>
      <c r="N23" s="222">
        <v>2013</v>
      </c>
      <c r="O23" s="282">
        <v>2012</v>
      </c>
      <c r="P23" s="282">
        <v>2011</v>
      </c>
      <c r="Q23" s="282">
        <v>2010</v>
      </c>
      <c r="R23" s="282">
        <v>2009</v>
      </c>
      <c r="T23" s="284" t="s">
        <v>50</v>
      </c>
    </row>
    <row r="24" spans="2:26">
      <c r="B24" s="270" t="s">
        <v>20</v>
      </c>
      <c r="C24" s="271" t="s">
        <v>21</v>
      </c>
      <c r="D24" s="310">
        <v>5</v>
      </c>
      <c r="E24" s="281">
        <v>5</v>
      </c>
      <c r="F24" s="281">
        <v>5</v>
      </c>
      <c r="G24" s="281">
        <v>5</v>
      </c>
      <c r="H24" s="281">
        <v>5</v>
      </c>
      <c r="I24" s="281">
        <v>5</v>
      </c>
      <c r="J24" s="281">
        <v>7</v>
      </c>
      <c r="K24" s="281">
        <v>8</v>
      </c>
      <c r="L24" s="281">
        <v>9</v>
      </c>
      <c r="M24" s="281">
        <v>25</v>
      </c>
      <c r="N24" s="281">
        <v>5</v>
      </c>
      <c r="O24" s="281">
        <v>5</v>
      </c>
      <c r="P24" s="281">
        <v>4</v>
      </c>
      <c r="Q24" s="281">
        <v>5</v>
      </c>
      <c r="R24" s="281">
        <v>4</v>
      </c>
      <c r="T24" s="283">
        <f>AVERAGE(D24:R24)</f>
        <v>6.8</v>
      </c>
    </row>
    <row r="25" spans="2:26">
      <c r="B25" s="272" t="s">
        <v>24</v>
      </c>
      <c r="C25" s="273" t="s">
        <v>25</v>
      </c>
      <c r="D25" s="273"/>
      <c r="E25" s="274">
        <v>29</v>
      </c>
      <c r="F25" s="274">
        <v>32</v>
      </c>
      <c r="G25" s="274">
        <v>22</v>
      </c>
      <c r="H25" s="274">
        <v>18</v>
      </c>
      <c r="I25" s="274">
        <v>23</v>
      </c>
      <c r="J25" s="274">
        <v>17</v>
      </c>
      <c r="K25" s="274">
        <v>23</v>
      </c>
      <c r="L25" s="274">
        <v>19</v>
      </c>
      <c r="M25" s="274">
        <v>18</v>
      </c>
      <c r="N25" s="274">
        <v>19</v>
      </c>
      <c r="O25" s="274">
        <v>18</v>
      </c>
      <c r="P25" s="274">
        <v>41</v>
      </c>
      <c r="Q25" s="274">
        <v>6</v>
      </c>
      <c r="R25" s="274">
        <v>9</v>
      </c>
      <c r="T25" s="283">
        <f t="shared" ref="T25:T39" si="5">AVERAGE(D25:R25)</f>
        <v>21</v>
      </c>
    </row>
    <row r="26" spans="2:26">
      <c r="B26" s="275" t="s">
        <v>22</v>
      </c>
      <c r="C26" s="276" t="s">
        <v>23</v>
      </c>
      <c r="D26" s="276">
        <v>12</v>
      </c>
      <c r="E26" s="277">
        <v>10</v>
      </c>
      <c r="F26" s="277">
        <v>15</v>
      </c>
      <c r="G26" s="277">
        <v>12</v>
      </c>
      <c r="H26" s="277">
        <v>9</v>
      </c>
      <c r="I26" s="277">
        <v>10</v>
      </c>
      <c r="J26" s="277">
        <v>6</v>
      </c>
      <c r="K26" s="277">
        <v>6</v>
      </c>
      <c r="L26" s="277">
        <v>5</v>
      </c>
      <c r="M26" s="277">
        <v>7</v>
      </c>
      <c r="N26" s="277">
        <v>8</v>
      </c>
      <c r="O26" s="277">
        <v>4</v>
      </c>
      <c r="P26" s="277">
        <v>6</v>
      </c>
      <c r="Q26" s="277">
        <v>6</v>
      </c>
      <c r="R26" s="277">
        <v>5</v>
      </c>
      <c r="T26" s="283">
        <f t="shared" si="5"/>
        <v>8.0666666666666664</v>
      </c>
    </row>
    <row r="27" spans="2:26">
      <c r="B27" s="272" t="s">
        <v>32</v>
      </c>
      <c r="C27" s="273" t="s">
        <v>33</v>
      </c>
      <c r="D27" s="273">
        <v>27</v>
      </c>
      <c r="E27" s="274">
        <v>30</v>
      </c>
      <c r="F27" s="274">
        <v>24</v>
      </c>
      <c r="G27" s="274">
        <v>30</v>
      </c>
      <c r="H27" s="274">
        <v>19</v>
      </c>
      <c r="I27" s="274">
        <v>27</v>
      </c>
      <c r="J27" s="274">
        <v>22</v>
      </c>
      <c r="K27" s="274">
        <v>18</v>
      </c>
      <c r="L27" s="274">
        <v>24</v>
      </c>
      <c r="M27" s="274">
        <v>27</v>
      </c>
      <c r="N27" s="274">
        <v>28</v>
      </c>
      <c r="O27" s="274">
        <v>17</v>
      </c>
      <c r="P27" s="274">
        <v>24</v>
      </c>
      <c r="Q27" s="274">
        <v>18</v>
      </c>
      <c r="R27" s="274">
        <v>18</v>
      </c>
      <c r="T27" s="283">
        <f t="shared" si="5"/>
        <v>23.533333333333335</v>
      </c>
    </row>
    <row r="28" spans="2:26">
      <c r="B28" s="275" t="s">
        <v>28</v>
      </c>
      <c r="C28" s="276" t="s">
        <v>29</v>
      </c>
      <c r="D28" s="276">
        <v>19</v>
      </c>
      <c r="E28" s="277">
        <v>17</v>
      </c>
      <c r="F28" s="277">
        <v>23</v>
      </c>
      <c r="G28" s="277">
        <v>19</v>
      </c>
      <c r="H28" s="277">
        <v>12</v>
      </c>
      <c r="I28" s="277">
        <v>10</v>
      </c>
      <c r="J28" s="277">
        <v>9</v>
      </c>
      <c r="K28" s="277">
        <v>18</v>
      </c>
      <c r="L28" s="277">
        <v>20</v>
      </c>
      <c r="M28" s="277">
        <v>15</v>
      </c>
      <c r="N28" s="277">
        <v>30</v>
      </c>
      <c r="O28" s="277">
        <v>23</v>
      </c>
      <c r="P28" s="277">
        <v>10</v>
      </c>
      <c r="Q28" s="277">
        <v>14</v>
      </c>
      <c r="R28" s="277">
        <v>12</v>
      </c>
      <c r="T28" s="283">
        <f t="shared" si="5"/>
        <v>16.733333333333334</v>
      </c>
    </row>
    <row r="29" spans="2:26">
      <c r="B29" s="272" t="s">
        <v>37</v>
      </c>
      <c r="C29" s="273" t="s">
        <v>38</v>
      </c>
      <c r="D29" s="273"/>
      <c r="E29" s="274">
        <v>38</v>
      </c>
      <c r="F29" s="274">
        <v>43</v>
      </c>
      <c r="G29" s="274">
        <v>31</v>
      </c>
      <c r="H29" s="274">
        <v>30</v>
      </c>
      <c r="I29" s="274">
        <v>31</v>
      </c>
      <c r="J29" s="274">
        <v>25</v>
      </c>
      <c r="K29" s="274">
        <v>20</v>
      </c>
      <c r="L29" s="274">
        <v>25</v>
      </c>
      <c r="M29" s="274">
        <v>13</v>
      </c>
      <c r="N29" s="274">
        <v>21</v>
      </c>
      <c r="O29" s="274">
        <v>18</v>
      </c>
      <c r="P29" s="274">
        <v>14</v>
      </c>
      <c r="Q29" s="274">
        <v>7</v>
      </c>
      <c r="R29" s="274">
        <v>19</v>
      </c>
      <c r="T29" s="283">
        <f t="shared" si="5"/>
        <v>23.928571428571427</v>
      </c>
    </row>
    <row r="30" spans="2:26">
      <c r="B30" s="275" t="s">
        <v>30</v>
      </c>
      <c r="C30" s="276" t="s">
        <v>31</v>
      </c>
      <c r="D30" s="276">
        <v>31</v>
      </c>
      <c r="E30" s="277">
        <v>39</v>
      </c>
      <c r="F30" s="277">
        <v>40</v>
      </c>
      <c r="G30" s="277">
        <v>34</v>
      </c>
      <c r="H30" s="277">
        <v>35</v>
      </c>
      <c r="I30" s="277">
        <v>31</v>
      </c>
      <c r="J30" s="277">
        <v>28</v>
      </c>
      <c r="K30" s="277">
        <v>21</v>
      </c>
      <c r="L30" s="277">
        <v>21</v>
      </c>
      <c r="M30" s="277">
        <v>37</v>
      </c>
      <c r="N30" s="277">
        <v>49</v>
      </c>
      <c r="O30" s="277">
        <v>24</v>
      </c>
      <c r="P30" s="277">
        <v>26</v>
      </c>
      <c r="Q30" s="277">
        <v>21</v>
      </c>
      <c r="R30" s="277">
        <v>13</v>
      </c>
      <c r="T30" s="283">
        <f t="shared" si="5"/>
        <v>30</v>
      </c>
    </row>
    <row r="31" spans="2:26">
      <c r="B31" s="272" t="s">
        <v>20</v>
      </c>
      <c r="C31" s="273" t="s">
        <v>34</v>
      </c>
      <c r="D31" s="273">
        <v>29</v>
      </c>
      <c r="E31" s="274">
        <v>32</v>
      </c>
      <c r="F31" s="274">
        <v>45</v>
      </c>
      <c r="G31" s="274">
        <v>36</v>
      </c>
      <c r="H31" s="274">
        <v>36</v>
      </c>
      <c r="I31" s="274"/>
      <c r="J31" s="274"/>
      <c r="K31" s="274"/>
      <c r="L31" s="274"/>
      <c r="M31" s="274"/>
      <c r="N31" s="274"/>
      <c r="O31" s="274"/>
      <c r="P31" s="274"/>
      <c r="Q31" s="274"/>
      <c r="R31" s="274"/>
      <c r="T31" s="283">
        <f t="shared" si="5"/>
        <v>35.6</v>
      </c>
    </row>
    <row r="32" spans="2:26">
      <c r="B32" s="275" t="s">
        <v>42</v>
      </c>
      <c r="C32" s="276" t="s">
        <v>27</v>
      </c>
      <c r="D32" s="276">
        <v>36</v>
      </c>
      <c r="E32" s="277">
        <v>38</v>
      </c>
      <c r="F32" s="277">
        <v>33</v>
      </c>
      <c r="G32" s="277">
        <v>42</v>
      </c>
      <c r="H32" s="277">
        <v>33</v>
      </c>
      <c r="I32" s="277">
        <v>35</v>
      </c>
      <c r="J32" s="277">
        <v>42</v>
      </c>
      <c r="K32" s="277">
        <v>53</v>
      </c>
      <c r="L32" s="277">
        <v>63</v>
      </c>
      <c r="M32" s="277">
        <v>54</v>
      </c>
      <c r="N32" s="277">
        <v>49</v>
      </c>
      <c r="O32" s="277">
        <v>35</v>
      </c>
      <c r="P32" s="277">
        <v>29</v>
      </c>
      <c r="Q32" s="277">
        <v>28</v>
      </c>
      <c r="R32" s="277">
        <v>35</v>
      </c>
      <c r="T32" s="283">
        <f t="shared" si="5"/>
        <v>40.333333333333336</v>
      </c>
    </row>
    <row r="33" spans="2:20">
      <c r="B33" s="272" t="s">
        <v>32</v>
      </c>
      <c r="C33" s="273" t="s">
        <v>41</v>
      </c>
      <c r="D33" s="273">
        <v>52</v>
      </c>
      <c r="E33" s="274">
        <v>54</v>
      </c>
      <c r="F33" s="274">
        <v>59</v>
      </c>
      <c r="G33" s="274">
        <v>62</v>
      </c>
      <c r="H33" s="274">
        <v>60</v>
      </c>
      <c r="I33" s="274">
        <v>75</v>
      </c>
      <c r="J33" s="274">
        <v>50</v>
      </c>
      <c r="K33" s="274">
        <v>65</v>
      </c>
      <c r="L33" s="274">
        <v>42</v>
      </c>
      <c r="M33" s="274">
        <v>50</v>
      </c>
      <c r="N33" s="274">
        <v>48</v>
      </c>
      <c r="O33" s="274">
        <v>32</v>
      </c>
      <c r="P33" s="274">
        <v>56</v>
      </c>
      <c r="Q33" s="274">
        <v>35</v>
      </c>
      <c r="R33" s="274">
        <v>30</v>
      </c>
      <c r="T33" s="283">
        <f t="shared" si="5"/>
        <v>51.333333333333336</v>
      </c>
    </row>
    <row r="34" spans="2:20">
      <c r="B34" s="275" t="s">
        <v>26</v>
      </c>
      <c r="C34" s="276" t="s">
        <v>27</v>
      </c>
      <c r="D34" s="276">
        <v>10</v>
      </c>
      <c r="E34" s="277">
        <v>11</v>
      </c>
      <c r="F34" s="277">
        <v>8</v>
      </c>
      <c r="G34" s="277">
        <v>10</v>
      </c>
      <c r="H34" s="277">
        <v>32</v>
      </c>
      <c r="I34" s="277">
        <v>19</v>
      </c>
      <c r="J34" s="277">
        <v>21</v>
      </c>
      <c r="K34" s="277">
        <v>30</v>
      </c>
      <c r="L34" s="277">
        <v>46</v>
      </c>
      <c r="M34" s="277">
        <v>21</v>
      </c>
      <c r="N34" s="277">
        <v>12</v>
      </c>
      <c r="O34" s="277">
        <v>6</v>
      </c>
      <c r="P34" s="277">
        <v>19</v>
      </c>
      <c r="Q34" s="277">
        <v>13</v>
      </c>
      <c r="R34" s="277">
        <v>11</v>
      </c>
      <c r="T34" s="283">
        <f t="shared" si="5"/>
        <v>17.933333333333334</v>
      </c>
    </row>
    <row r="35" spans="2:20">
      <c r="B35" s="272" t="s">
        <v>35</v>
      </c>
      <c r="C35" s="273" t="s">
        <v>36</v>
      </c>
      <c r="D35" s="273">
        <v>42</v>
      </c>
      <c r="E35" s="274">
        <v>60</v>
      </c>
      <c r="F35" s="274">
        <v>46</v>
      </c>
      <c r="G35" s="274">
        <v>46</v>
      </c>
      <c r="H35" s="274">
        <v>48</v>
      </c>
      <c r="I35" s="274">
        <v>50</v>
      </c>
      <c r="J35" s="274">
        <v>42</v>
      </c>
      <c r="K35" s="274">
        <v>40</v>
      </c>
      <c r="L35" s="274">
        <v>46</v>
      </c>
      <c r="M35" s="274">
        <v>32</v>
      </c>
      <c r="N35" s="274">
        <v>36</v>
      </c>
      <c r="O35" s="274">
        <v>29</v>
      </c>
      <c r="P35" s="274">
        <v>28</v>
      </c>
      <c r="Q35" s="274">
        <v>33</v>
      </c>
      <c r="R35" s="274">
        <v>50</v>
      </c>
      <c r="T35" s="283">
        <f t="shared" si="5"/>
        <v>41.866666666666667</v>
      </c>
    </row>
    <row r="36" spans="2:20">
      <c r="B36" s="275" t="s">
        <v>43</v>
      </c>
      <c r="C36" s="276" t="s">
        <v>44</v>
      </c>
      <c r="D36" s="276">
        <v>23</v>
      </c>
      <c r="E36" s="277">
        <v>21</v>
      </c>
      <c r="F36" s="277">
        <v>13</v>
      </c>
      <c r="G36" s="277">
        <v>24</v>
      </c>
      <c r="H36" s="277">
        <v>20</v>
      </c>
      <c r="I36" s="277">
        <v>29</v>
      </c>
      <c r="J36" s="277">
        <v>40</v>
      </c>
      <c r="K36" s="277">
        <v>37</v>
      </c>
      <c r="L36" s="277">
        <v>29</v>
      </c>
      <c r="M36" s="277">
        <v>29</v>
      </c>
      <c r="N36" s="277">
        <v>37</v>
      </c>
      <c r="O36" s="277">
        <v>30</v>
      </c>
      <c r="P36" s="277"/>
      <c r="Q36" s="277"/>
      <c r="R36" s="277"/>
      <c r="T36" s="283">
        <f t="shared" si="5"/>
        <v>27.666666666666668</v>
      </c>
    </row>
    <row r="37" spans="2:20">
      <c r="B37" s="272" t="s">
        <v>62</v>
      </c>
      <c r="C37" s="273" t="s">
        <v>40</v>
      </c>
      <c r="D37" s="273">
        <v>19</v>
      </c>
      <c r="E37" s="274">
        <v>25</v>
      </c>
      <c r="F37" s="274">
        <v>62</v>
      </c>
      <c r="G37" s="274">
        <v>30</v>
      </c>
      <c r="H37" s="274">
        <v>28</v>
      </c>
      <c r="I37" s="274">
        <v>46</v>
      </c>
      <c r="J37" s="274">
        <v>31</v>
      </c>
      <c r="K37" s="274">
        <v>41</v>
      </c>
      <c r="L37" s="274">
        <v>42</v>
      </c>
      <c r="M37" s="274">
        <v>60</v>
      </c>
      <c r="N37" s="274">
        <v>47</v>
      </c>
      <c r="O37" s="274">
        <v>28</v>
      </c>
      <c r="P37" s="274">
        <v>16</v>
      </c>
      <c r="Q37" s="274">
        <v>21</v>
      </c>
      <c r="R37" s="274"/>
      <c r="T37" s="283">
        <f t="shared" si="5"/>
        <v>35.428571428571431</v>
      </c>
    </row>
    <row r="38" spans="2:20">
      <c r="B38" s="275" t="s">
        <v>45</v>
      </c>
      <c r="C38" s="276" t="s">
        <v>46</v>
      </c>
      <c r="D38" s="276">
        <v>22</v>
      </c>
      <c r="E38" s="277">
        <v>25</v>
      </c>
      <c r="F38" s="277">
        <v>15</v>
      </c>
      <c r="G38" s="277">
        <v>21</v>
      </c>
      <c r="H38" s="277">
        <v>20</v>
      </c>
      <c r="I38" s="277">
        <v>61</v>
      </c>
      <c r="J38" s="277">
        <v>47</v>
      </c>
      <c r="K38" s="277">
        <v>7</v>
      </c>
      <c r="L38" s="277">
        <v>10</v>
      </c>
      <c r="M38" s="277">
        <v>7</v>
      </c>
      <c r="N38" s="277">
        <v>11</v>
      </c>
      <c r="O38" s="277">
        <v>7</v>
      </c>
      <c r="P38" s="277">
        <v>4</v>
      </c>
      <c r="Q38" s="277"/>
      <c r="R38" s="277"/>
      <c r="T38" s="283">
        <f t="shared" si="5"/>
        <v>19.76923076923077</v>
      </c>
    </row>
    <row r="39" spans="2:20" ht="15.75" thickBot="1">
      <c r="B39" s="278" t="s">
        <v>47</v>
      </c>
      <c r="C39" s="279" t="s">
        <v>27</v>
      </c>
      <c r="D39" s="279">
        <v>43</v>
      </c>
      <c r="E39" s="280">
        <v>59</v>
      </c>
      <c r="F39" s="280">
        <v>68</v>
      </c>
      <c r="G39" s="280"/>
      <c r="H39" s="280"/>
      <c r="I39" s="280"/>
      <c r="J39" s="280"/>
      <c r="K39" s="280"/>
      <c r="L39" s="280"/>
      <c r="M39" s="280"/>
      <c r="N39" s="280"/>
      <c r="O39" s="280"/>
      <c r="P39" s="280"/>
      <c r="Q39" s="280"/>
      <c r="R39" s="280"/>
      <c r="T39" s="283">
        <f t="shared" si="5"/>
        <v>56.666666666666664</v>
      </c>
    </row>
  </sheetData>
  <conditionalFormatting sqref="E3:R18">
    <cfRule type="iconSet" priority="2">
      <iconSet iconSet="5ArrowsGray" reverse="1">
        <cfvo type="percent" val="0"/>
        <cfvo type="percent" val="20"/>
        <cfvo type="percent" val="40"/>
        <cfvo type="percent" val="60"/>
        <cfvo type="percent" val="80"/>
      </iconSet>
    </cfRule>
  </conditionalFormatting>
  <conditionalFormatting sqref="E24:R39">
    <cfRule type="iconSet" priority="1">
      <iconSet iconSet="5ArrowsGray" reverse="1">
        <cfvo type="percent" val="0"/>
        <cfvo type="percent" val="20"/>
        <cfvo type="percent" val="40"/>
        <cfvo type="percent" val="60"/>
        <cfvo type="percent" val="80"/>
      </iconSet>
    </cfRule>
  </conditionalFormatting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Kalkylblad</vt:lpstr>
      </vt:variant>
      <vt:variant>
        <vt:i4>15</vt:i4>
      </vt:variant>
    </vt:vector>
  </HeadingPairs>
  <TitlesOfParts>
    <vt:vector size="15" baseType="lpstr">
      <vt:lpstr>Scoreboard</vt:lpstr>
      <vt:lpstr>Öl &amp; Birdies</vt:lpstr>
      <vt:lpstr>Bästa Brutto &amp; Netto</vt:lpstr>
      <vt:lpstr>Ligastats</vt:lpstr>
      <vt:lpstr>Ranking</vt:lpstr>
      <vt:lpstr>Form-indikator</vt:lpstr>
      <vt:lpstr>Dream H</vt:lpstr>
      <vt:lpstr>Dreamscore</vt:lpstr>
      <vt:lpstr>DS Hopp</vt:lpstr>
      <vt:lpstr>DS utveckling</vt:lpstr>
      <vt:lpstr>Missade rundor</vt:lpstr>
      <vt:lpstr>CSV</vt:lpstr>
      <vt:lpstr>Snittscorer</vt:lpstr>
      <vt:lpstr>Prep avslut</vt:lpstr>
      <vt:lpstr>PLP Säsong</vt:lpstr>
    </vt:vector>
  </TitlesOfParts>
  <Manager/>
  <Company>Halmstads Kommun</Company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Stefan Thorvaldsson</dc:creator>
  <cp:keywords/>
  <dc:description/>
  <cp:lastModifiedBy>Stefan Torvaldsson</cp:lastModifiedBy>
  <cp:revision/>
  <dcterms:created xsi:type="dcterms:W3CDTF">2007-08-30T08:27:06Z</dcterms:created>
  <dcterms:modified xsi:type="dcterms:W3CDTF">2024-04-05T06:22:45Z</dcterms:modified>
  <cp:category/>
  <cp:contentStatus/>
</cp:coreProperties>
</file>