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drawings/drawing1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halmstad-my.sharepoint.com/personal/stefan_thorvaldsson_halmstad_se/Documents/Dokument/Stefan/BB2018/2021/2021 höst/"/>
    </mc:Choice>
  </mc:AlternateContent>
  <xr:revisionPtr revIDLastSave="7" documentId="13_ncr:1_{35869F85-8671-4FEB-B59F-33F5849FF2CA}" xr6:coauthVersionLast="47" xr6:coauthVersionMax="47" xr10:uidLastSave="{ADFAE3F3-839F-47F0-AC52-7A570467C733}"/>
  <bookViews>
    <workbookView xWindow="-120" yWindow="-120" windowWidth="29040" windowHeight="17640" activeTab="6" xr2:uid="{00000000-000D-0000-FFFF-FFFF00000000}"/>
  </bookViews>
  <sheets>
    <sheet name="Scoreboard" sheetId="1" r:id="rId1"/>
    <sheet name="Öl &amp; Birdies" sheetId="3" r:id="rId2"/>
    <sheet name="Bästa Brutto &amp; Netto" sheetId="4" r:id="rId3"/>
    <sheet name="Ligastats" sheetId="6" r:id="rId4"/>
    <sheet name="Ranking" sheetId="5" r:id="rId5"/>
    <sheet name="Form-indikator" sheetId="10" r:id="rId6"/>
    <sheet name="Dreamscore" sheetId="7" r:id="rId7"/>
    <sheet name="CSV" sheetId="11" r:id="rId8"/>
    <sheet name="Snittscorer" sheetId="13" r:id="rId9"/>
    <sheet name="Blad1" sheetId="14" r:id="rId10"/>
    <sheet name="Prep avslut" sheetId="9" r:id="rId11"/>
  </sheets>
  <definedNames>
    <definedName name="_xlnm._FilterDatabase" localSheetId="5" hidden="1">'Form-indikator'!$D$2:$I$17</definedName>
    <definedName name="_xlnm._FilterDatabase" localSheetId="0" hidden="1">Scoreboard!$B$3:$N$19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K40" i="1"/>
  <c r="K20" i="1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20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3" i="13"/>
  <c r="P4" i="13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3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20" i="13"/>
  <c r="AF4" i="1" l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J20" i="1"/>
  <c r="J40" i="1"/>
  <c r="I40" i="1"/>
  <c r="I20" i="1"/>
  <c r="H40" i="1"/>
  <c r="H20" i="1"/>
  <c r="G40" i="1"/>
  <c r="F40" i="1"/>
  <c r="E40" i="1"/>
  <c r="AC20" i="1"/>
  <c r="AC21" i="1" s="1"/>
  <c r="H17" i="10"/>
  <c r="D19" i="4"/>
  <c r="F19" i="4" s="1"/>
  <c r="N18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J19" i="4"/>
  <c r="L19" i="4" s="1"/>
  <c r="V147" i="7"/>
  <c r="V148" i="7"/>
  <c r="V149" i="7"/>
  <c r="V150" i="7"/>
  <c r="V151" i="7"/>
  <c r="V152" i="7"/>
  <c r="V153" i="7"/>
  <c r="V154" i="7"/>
  <c r="V155" i="7"/>
  <c r="V156" i="7"/>
  <c r="X147" i="7"/>
  <c r="D40" i="1"/>
  <c r="D20" i="1"/>
  <c r="K19" i="3"/>
  <c r="L19" i="3" s="1"/>
  <c r="F19" i="5"/>
  <c r="L19" i="5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D21" i="7"/>
  <c r="E19" i="3"/>
  <c r="F19" i="3" s="1"/>
  <c r="Z24" i="1"/>
  <c r="N39" i="1"/>
  <c r="AE39" i="1" s="1"/>
  <c r="M40" i="1"/>
  <c r="L40" i="1"/>
  <c r="Z38" i="1"/>
  <c r="N38" i="1"/>
  <c r="Z28" i="1"/>
  <c r="N28" i="1"/>
  <c r="Z8" i="1"/>
  <c r="Z18" i="1"/>
  <c r="E20" i="1"/>
  <c r="F20" i="1"/>
  <c r="G20" i="1"/>
  <c r="M20" i="1"/>
  <c r="Z19" i="1"/>
  <c r="D19" i="5" s="1"/>
  <c r="F47" i="6"/>
  <c r="N19" i="1" l="1"/>
  <c r="V21" i="7"/>
  <c r="X21" i="7" s="1"/>
  <c r="D39" i="5" s="1"/>
  <c r="N40" i="1"/>
  <c r="D18" i="4"/>
  <c r="F17" i="10" l="1"/>
  <c r="P53" i="13"/>
  <c r="E53" i="13"/>
  <c r="F53" i="13"/>
  <c r="G53" i="13"/>
  <c r="H53" i="13"/>
  <c r="I53" i="13"/>
  <c r="L53" i="13"/>
  <c r="M53" i="13"/>
  <c r="N53" i="13"/>
  <c r="D53" i="13"/>
  <c r="P52" i="13"/>
  <c r="F52" i="13"/>
  <c r="E52" i="13"/>
  <c r="D52" i="13"/>
  <c r="G52" i="13"/>
  <c r="H52" i="13"/>
  <c r="I52" i="13"/>
  <c r="L52" i="13"/>
  <c r="M52" i="13"/>
  <c r="N52" i="13"/>
  <c r="P51" i="13"/>
  <c r="E51" i="13"/>
  <c r="D51" i="13"/>
  <c r="F51" i="13"/>
  <c r="G51" i="13"/>
  <c r="H51" i="13"/>
  <c r="I51" i="13"/>
  <c r="L51" i="13"/>
  <c r="M51" i="13"/>
  <c r="N51" i="13"/>
  <c r="P50" i="13"/>
  <c r="E50" i="13"/>
  <c r="F50" i="13"/>
  <c r="G50" i="13"/>
  <c r="H50" i="13"/>
  <c r="I50" i="13"/>
  <c r="L50" i="13"/>
  <c r="M50" i="13"/>
  <c r="N50" i="13"/>
  <c r="D50" i="13"/>
  <c r="P49" i="13"/>
  <c r="E49" i="13"/>
  <c r="F49" i="13"/>
  <c r="G49" i="13"/>
  <c r="H49" i="13"/>
  <c r="I49" i="13"/>
  <c r="L49" i="13"/>
  <c r="M49" i="13"/>
  <c r="N49" i="13"/>
  <c r="D49" i="13"/>
  <c r="P48" i="13"/>
  <c r="M48" i="13"/>
  <c r="L48" i="13"/>
  <c r="I48" i="13"/>
  <c r="H48" i="13"/>
  <c r="G48" i="13"/>
  <c r="F48" i="13"/>
  <c r="E48" i="13"/>
  <c r="D48" i="13"/>
  <c r="N48" i="13"/>
  <c r="P47" i="13"/>
  <c r="D47" i="13"/>
  <c r="E47" i="13"/>
  <c r="F47" i="13"/>
  <c r="G47" i="13"/>
  <c r="H47" i="13"/>
  <c r="I47" i="13"/>
  <c r="L47" i="13"/>
  <c r="M47" i="13"/>
  <c r="N47" i="13"/>
  <c r="P43" i="13"/>
  <c r="E43" i="13"/>
  <c r="F43" i="13"/>
  <c r="G43" i="13"/>
  <c r="H43" i="13"/>
  <c r="I43" i="13"/>
  <c r="L43" i="13"/>
  <c r="M43" i="13"/>
  <c r="N43" i="13"/>
  <c r="D43" i="13"/>
  <c r="P42" i="13"/>
  <c r="M42" i="13"/>
  <c r="F42" i="13"/>
  <c r="E42" i="13"/>
  <c r="D42" i="13"/>
  <c r="G42" i="13"/>
  <c r="H42" i="13"/>
  <c r="I42" i="13"/>
  <c r="L42" i="13"/>
  <c r="N42" i="13"/>
  <c r="P41" i="13"/>
  <c r="E41" i="13"/>
  <c r="D41" i="13"/>
  <c r="F41" i="13"/>
  <c r="G41" i="13"/>
  <c r="H41" i="13"/>
  <c r="I41" i="13"/>
  <c r="L41" i="13"/>
  <c r="M41" i="13"/>
  <c r="N41" i="13"/>
  <c r="P40" i="13"/>
  <c r="E40" i="13"/>
  <c r="F40" i="13"/>
  <c r="G40" i="13"/>
  <c r="H40" i="13"/>
  <c r="I40" i="13"/>
  <c r="L40" i="13"/>
  <c r="M40" i="13"/>
  <c r="N40" i="13"/>
  <c r="D40" i="13"/>
  <c r="P39" i="13"/>
  <c r="E39" i="13"/>
  <c r="F39" i="13"/>
  <c r="G39" i="13"/>
  <c r="H39" i="13"/>
  <c r="I39" i="13"/>
  <c r="L39" i="13"/>
  <c r="M39" i="13"/>
  <c r="N39" i="13"/>
  <c r="D39" i="13"/>
  <c r="P38" i="13"/>
  <c r="N38" i="13"/>
  <c r="M38" i="13"/>
  <c r="L38" i="13"/>
  <c r="E38" i="13"/>
  <c r="F38" i="13"/>
  <c r="G38" i="13"/>
  <c r="H38" i="13"/>
  <c r="I38" i="13"/>
  <c r="D38" i="13"/>
  <c r="P37" i="13"/>
  <c r="F37" i="13"/>
  <c r="G37" i="13"/>
  <c r="H37" i="13"/>
  <c r="I37" i="13"/>
  <c r="L37" i="13"/>
  <c r="M37" i="13"/>
  <c r="N37" i="13"/>
  <c r="E37" i="13"/>
  <c r="D37" i="13"/>
  <c r="X26" i="7" l="1"/>
  <c r="K6" i="9" l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L19" i="9" s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H19" i="9" l="1"/>
  <c r="H16" i="9"/>
  <c r="H12" i="9"/>
  <c r="H8" i="9"/>
  <c r="L16" i="9"/>
  <c r="L12" i="9"/>
  <c r="L8" i="9"/>
  <c r="H17" i="9"/>
  <c r="H9" i="9"/>
  <c r="L17" i="9"/>
  <c r="L13" i="9"/>
  <c r="L9" i="9"/>
  <c r="H13" i="9"/>
  <c r="H6" i="9"/>
  <c r="H15" i="9"/>
  <c r="H11" i="9"/>
  <c r="H7" i="9"/>
  <c r="L15" i="9"/>
  <c r="L11" i="9"/>
  <c r="L7" i="9"/>
  <c r="H18" i="9"/>
  <c r="H14" i="9"/>
  <c r="H10" i="9"/>
  <c r="L18" i="9"/>
  <c r="L14" i="9"/>
  <c r="L10" i="9"/>
  <c r="L6" i="9"/>
  <c r="K20" i="9" l="1"/>
  <c r="K5" i="9"/>
  <c r="J20" i="9"/>
  <c r="J5" i="9"/>
  <c r="G20" i="9"/>
  <c r="G5" i="9"/>
  <c r="F20" i="9"/>
  <c r="F5" i="9"/>
  <c r="P20" i="9"/>
  <c r="N20" i="9"/>
  <c r="P16" i="9"/>
  <c r="N16" i="9"/>
  <c r="S16" i="9" s="1"/>
  <c r="P18" i="9"/>
  <c r="P17" i="9"/>
  <c r="P15" i="9"/>
  <c r="P14" i="9"/>
  <c r="P13" i="9"/>
  <c r="P11" i="9"/>
  <c r="P10" i="9"/>
  <c r="P9" i="9"/>
  <c r="P8" i="9"/>
  <c r="P7" i="9"/>
  <c r="P6" i="9"/>
  <c r="P5" i="9"/>
  <c r="N18" i="9"/>
  <c r="N17" i="9"/>
  <c r="N15" i="9"/>
  <c r="N14" i="9"/>
  <c r="N13" i="9"/>
  <c r="N11" i="9"/>
  <c r="N10" i="9"/>
  <c r="N9" i="9"/>
  <c r="N8" i="9"/>
  <c r="N7" i="9"/>
  <c r="N6" i="9"/>
  <c r="N5" i="9"/>
  <c r="L20" i="9" l="1"/>
  <c r="B6" i="9"/>
  <c r="H20" i="9"/>
  <c r="S14" i="9"/>
  <c r="E19" i="7" l="1"/>
  <c r="F19" i="7"/>
  <c r="D19" i="7"/>
  <c r="AJ38" i="1" l="1"/>
  <c r="AM38" i="1" s="1"/>
  <c r="AI25" i="1"/>
  <c r="AL25" i="1" s="1"/>
  <c r="AJ25" i="1"/>
  <c r="AM25" i="1" s="1"/>
  <c r="AI26" i="1"/>
  <c r="AL26" i="1" s="1"/>
  <c r="AJ26" i="1"/>
  <c r="AM26" i="1" s="1"/>
  <c r="AI27" i="1"/>
  <c r="AL27" i="1" s="1"/>
  <c r="AJ27" i="1"/>
  <c r="AM27" i="1" s="1"/>
  <c r="AI28" i="1"/>
  <c r="AL28" i="1" s="1"/>
  <c r="AJ28" i="1"/>
  <c r="AM28" i="1" s="1"/>
  <c r="AI29" i="1"/>
  <c r="AL29" i="1" s="1"/>
  <c r="AJ29" i="1"/>
  <c r="AM29" i="1" s="1"/>
  <c r="AI30" i="1"/>
  <c r="AL30" i="1" s="1"/>
  <c r="AJ30" i="1"/>
  <c r="AM30" i="1" s="1"/>
  <c r="AI31" i="1"/>
  <c r="AL31" i="1" s="1"/>
  <c r="AJ31" i="1"/>
  <c r="AM31" i="1" s="1"/>
  <c r="AI32" i="1"/>
  <c r="AL32" i="1" s="1"/>
  <c r="AJ32" i="1"/>
  <c r="AM32" i="1" s="1"/>
  <c r="AI33" i="1"/>
  <c r="AL33" i="1" s="1"/>
  <c r="AJ33" i="1"/>
  <c r="AM33" i="1" s="1"/>
  <c r="AI34" i="1"/>
  <c r="AL34" i="1" s="1"/>
  <c r="AJ34" i="1"/>
  <c r="AM34" i="1" s="1"/>
  <c r="AI35" i="1"/>
  <c r="AL35" i="1" s="1"/>
  <c r="AJ35" i="1"/>
  <c r="AM35" i="1" s="1"/>
  <c r="AI36" i="1"/>
  <c r="AL36" i="1" s="1"/>
  <c r="AJ36" i="1"/>
  <c r="AM36" i="1" s="1"/>
  <c r="AI37" i="1"/>
  <c r="AL37" i="1" s="1"/>
  <c r="AJ37" i="1"/>
  <c r="AM37" i="1" s="1"/>
  <c r="AI24" i="1"/>
  <c r="AL24" i="1" s="1"/>
  <c r="AJ24" i="1"/>
  <c r="AM24" i="1" s="1"/>
  <c r="AI38" i="1"/>
  <c r="AL38" i="1" s="1"/>
  <c r="AH25" i="1"/>
  <c r="AK25" i="1" s="1"/>
  <c r="AH26" i="1"/>
  <c r="AK26" i="1" s="1"/>
  <c r="AH27" i="1"/>
  <c r="AK27" i="1" s="1"/>
  <c r="AH28" i="1"/>
  <c r="AK28" i="1" s="1"/>
  <c r="AH29" i="1"/>
  <c r="AK29" i="1" s="1"/>
  <c r="AH30" i="1"/>
  <c r="AK30" i="1" s="1"/>
  <c r="AH31" i="1"/>
  <c r="AK31" i="1" s="1"/>
  <c r="AH32" i="1"/>
  <c r="AK32" i="1" s="1"/>
  <c r="AH33" i="1"/>
  <c r="AK33" i="1" s="1"/>
  <c r="AH34" i="1"/>
  <c r="AK34" i="1" s="1"/>
  <c r="AH35" i="1"/>
  <c r="AK35" i="1" s="1"/>
  <c r="AH36" i="1"/>
  <c r="AK36" i="1" s="1"/>
  <c r="AH37" i="1"/>
  <c r="AK37" i="1" s="1"/>
  <c r="AH38" i="1"/>
  <c r="AK38" i="1" s="1"/>
  <c r="AH24" i="1"/>
  <c r="AK24" i="1" s="1"/>
  <c r="AJ5" i="1"/>
  <c r="AM5" i="1" s="1"/>
  <c r="AJ6" i="1"/>
  <c r="AM6" i="1" s="1"/>
  <c r="AJ7" i="1"/>
  <c r="AM7" i="1" s="1"/>
  <c r="AJ8" i="1"/>
  <c r="AM8" i="1" s="1"/>
  <c r="AJ9" i="1"/>
  <c r="AM9" i="1" s="1"/>
  <c r="AJ10" i="1"/>
  <c r="AM10" i="1" s="1"/>
  <c r="AJ11" i="1"/>
  <c r="AM11" i="1" s="1"/>
  <c r="AJ12" i="1"/>
  <c r="AM12" i="1" s="1"/>
  <c r="AJ13" i="1"/>
  <c r="AM13" i="1" s="1"/>
  <c r="AJ14" i="1"/>
  <c r="AM14" i="1" s="1"/>
  <c r="AJ15" i="1"/>
  <c r="AM15" i="1" s="1"/>
  <c r="AJ16" i="1"/>
  <c r="AM16" i="1" s="1"/>
  <c r="AJ17" i="1"/>
  <c r="AM17" i="1" s="1"/>
  <c r="AJ18" i="1"/>
  <c r="AM18" i="1" s="1"/>
  <c r="AJ4" i="1"/>
  <c r="AM4" i="1" s="1"/>
  <c r="AI5" i="1"/>
  <c r="AL5" i="1" s="1"/>
  <c r="AI6" i="1"/>
  <c r="AL6" i="1" s="1"/>
  <c r="AI7" i="1"/>
  <c r="AL7" i="1" s="1"/>
  <c r="AI8" i="1"/>
  <c r="AL8" i="1" s="1"/>
  <c r="AI9" i="1"/>
  <c r="AL9" i="1" s="1"/>
  <c r="AI10" i="1"/>
  <c r="AL10" i="1" s="1"/>
  <c r="AI11" i="1"/>
  <c r="AL11" i="1" s="1"/>
  <c r="AI12" i="1"/>
  <c r="AL12" i="1" s="1"/>
  <c r="AI13" i="1"/>
  <c r="AL13" i="1" s="1"/>
  <c r="AI14" i="1"/>
  <c r="AL14" i="1" s="1"/>
  <c r="AI15" i="1"/>
  <c r="AL15" i="1" s="1"/>
  <c r="AI16" i="1"/>
  <c r="AL16" i="1" s="1"/>
  <c r="AI17" i="1"/>
  <c r="AL17" i="1" s="1"/>
  <c r="AI18" i="1"/>
  <c r="AL18" i="1" s="1"/>
  <c r="AI4" i="1"/>
  <c r="AL4" i="1" s="1"/>
  <c r="AH5" i="1"/>
  <c r="AK5" i="1" s="1"/>
  <c r="AH6" i="1"/>
  <c r="AK6" i="1" s="1"/>
  <c r="AH7" i="1"/>
  <c r="AK7" i="1" s="1"/>
  <c r="AH8" i="1"/>
  <c r="AK8" i="1" s="1"/>
  <c r="AH9" i="1"/>
  <c r="AK9" i="1" s="1"/>
  <c r="AH10" i="1"/>
  <c r="AK10" i="1" s="1"/>
  <c r="AH11" i="1"/>
  <c r="AK11" i="1" s="1"/>
  <c r="AH12" i="1"/>
  <c r="AK12" i="1" s="1"/>
  <c r="AH13" i="1"/>
  <c r="AK13" i="1" s="1"/>
  <c r="AH14" i="1"/>
  <c r="AK14" i="1" s="1"/>
  <c r="AH15" i="1"/>
  <c r="AK15" i="1" s="1"/>
  <c r="AH16" i="1"/>
  <c r="AK16" i="1" s="1"/>
  <c r="AH17" i="1"/>
  <c r="AK17" i="1" s="1"/>
  <c r="AH18" i="1"/>
  <c r="AK18" i="1" s="1"/>
  <c r="AH4" i="1"/>
  <c r="AK4" i="1" s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AN8" i="1" l="1"/>
  <c r="AN38" i="1"/>
  <c r="AN18" i="1"/>
  <c r="AN28" i="1"/>
  <c r="AN29" i="1"/>
  <c r="AN14" i="1"/>
  <c r="AN35" i="1"/>
  <c r="AN30" i="1"/>
  <c r="AN15" i="1"/>
  <c r="AN32" i="1"/>
  <c r="AN25" i="1"/>
  <c r="AN4" i="1"/>
  <c r="AN16" i="1"/>
  <c r="AN27" i="1"/>
  <c r="AN34" i="1"/>
  <c r="AN11" i="1"/>
  <c r="AN6" i="1"/>
  <c r="AN5" i="1"/>
  <c r="AN33" i="1"/>
  <c r="AN37" i="1"/>
  <c r="AN31" i="1"/>
  <c r="AN36" i="1"/>
  <c r="AN26" i="1"/>
  <c r="AN13" i="1"/>
  <c r="AN10" i="1"/>
  <c r="AN17" i="1"/>
  <c r="AN12" i="1"/>
  <c r="AN9" i="1"/>
  <c r="AN7" i="1"/>
  <c r="AN24" i="1"/>
  <c r="AP8" i="1" l="1"/>
  <c r="H11" i="10" s="1"/>
  <c r="AP18" i="1"/>
  <c r="H10" i="10" s="1"/>
  <c r="AP9" i="1"/>
  <c r="H13" i="10" s="1"/>
  <c r="AP7" i="1"/>
  <c r="H4" i="10" s="1"/>
  <c r="AP14" i="1"/>
  <c r="H18" i="10" s="1"/>
  <c r="AP10" i="1"/>
  <c r="H8" i="10" s="1"/>
  <c r="AP15" i="1"/>
  <c r="H16" i="10" s="1"/>
  <c r="AP5" i="1"/>
  <c r="H5" i="10" s="1"/>
  <c r="AP16" i="1"/>
  <c r="H7" i="10" s="1"/>
  <c r="AP12" i="1"/>
  <c r="AP4" i="1"/>
  <c r="H3" i="10" s="1"/>
  <c r="AP11" i="1"/>
  <c r="H14" i="10" s="1"/>
  <c r="AP6" i="1"/>
  <c r="H12" i="10" s="1"/>
  <c r="AP13" i="1"/>
  <c r="H15" i="10" s="1"/>
  <c r="AP17" i="1"/>
  <c r="H6" i="10" s="1"/>
  <c r="Q20" i="9"/>
  <c r="S20" i="9" s="1"/>
  <c r="Q10" i="9"/>
  <c r="Q18" i="9"/>
  <c r="Q17" i="9"/>
  <c r="Q15" i="9"/>
  <c r="Q13" i="9"/>
  <c r="Q11" i="9"/>
  <c r="Q9" i="9"/>
  <c r="Q8" i="9"/>
  <c r="Q7" i="9"/>
  <c r="Q6" i="9"/>
  <c r="Q5" i="9"/>
  <c r="H9" i="10" l="1"/>
  <c r="S18" i="9"/>
  <c r="S11" i="9"/>
  <c r="S13" i="9"/>
  <c r="S6" i="9"/>
  <c r="S9" i="9"/>
  <c r="S17" i="9"/>
  <c r="S10" i="9"/>
  <c r="S8" i="9"/>
  <c r="S7" i="9"/>
  <c r="S15" i="9"/>
  <c r="S5" i="9"/>
  <c r="N22" i="9"/>
  <c r="P22" i="9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B9" i="9" l="1"/>
  <c r="S22" i="9"/>
  <c r="K22" i="9"/>
  <c r="G22" i="9"/>
  <c r="L5" i="9"/>
  <c r="J22" i="9"/>
  <c r="H5" i="9"/>
  <c r="F22" i="9"/>
  <c r="N20" i="1" l="1"/>
  <c r="B5" i="9"/>
  <c r="B8" i="9"/>
  <c r="H22" i="9"/>
  <c r="L22" i="9"/>
  <c r="B7" i="9"/>
  <c r="AF20" i="1" l="1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D20" i="7"/>
  <c r="V215" i="7"/>
  <c r="X215" i="7" s="1"/>
  <c r="V214" i="7"/>
  <c r="X214" i="7" s="1"/>
  <c r="V213" i="7"/>
  <c r="X213" i="7" s="1"/>
  <c r="AB211" i="7"/>
  <c r="V212" i="7"/>
  <c r="X212" i="7" s="1"/>
  <c r="AB210" i="7"/>
  <c r="V211" i="7"/>
  <c r="X211" i="7" s="1"/>
  <c r="AB209" i="7"/>
  <c r="V210" i="7"/>
  <c r="X210" i="7" s="1"/>
  <c r="AB208" i="7"/>
  <c r="V209" i="7"/>
  <c r="X209" i="7" s="1"/>
  <c r="AB207" i="7"/>
  <c r="V208" i="7"/>
  <c r="X208" i="7" s="1"/>
  <c r="AB206" i="7"/>
  <c r="V207" i="7"/>
  <c r="X207" i="7" s="1"/>
  <c r="AB205" i="7"/>
  <c r="V206" i="7"/>
  <c r="X206" i="7" s="1"/>
  <c r="Z40" i="1"/>
  <c r="I12" i="10" l="1"/>
  <c r="X20" i="7"/>
  <c r="D31" i="5" s="1"/>
  <c r="V20" i="7"/>
  <c r="AB212" i="7"/>
  <c r="AE209" i="7" s="1"/>
  <c r="AE207" i="7" l="1"/>
  <c r="AE210" i="7"/>
  <c r="AE205" i="7"/>
  <c r="AE206" i="7"/>
  <c r="AE208" i="7"/>
  <c r="AE211" i="7"/>
  <c r="D232" i="7" s="1"/>
  <c r="U20" i="9" l="1"/>
  <c r="W20" i="9" s="1"/>
  <c r="AB26" i="7"/>
  <c r="AB199" i="7"/>
  <c r="AB198" i="7"/>
  <c r="AB197" i="7"/>
  <c r="AB196" i="7"/>
  <c r="AB195" i="7"/>
  <c r="AB194" i="7"/>
  <c r="AB193" i="7"/>
  <c r="AB188" i="7"/>
  <c r="AB187" i="7"/>
  <c r="AB186" i="7"/>
  <c r="AB185" i="7"/>
  <c r="AB184" i="7"/>
  <c r="AB183" i="7"/>
  <c r="AB182" i="7"/>
  <c r="AB176" i="7"/>
  <c r="AB175" i="7"/>
  <c r="AB174" i="7"/>
  <c r="AB173" i="7"/>
  <c r="AB172" i="7"/>
  <c r="AB171" i="7"/>
  <c r="AB170" i="7"/>
  <c r="AB164" i="7"/>
  <c r="AB163" i="7"/>
  <c r="AB162" i="7"/>
  <c r="AB161" i="7"/>
  <c r="AB160" i="7"/>
  <c r="AB159" i="7"/>
  <c r="AB158" i="7"/>
  <c r="AB152" i="7"/>
  <c r="AB151" i="7"/>
  <c r="AB150" i="7"/>
  <c r="AB149" i="7"/>
  <c r="AB148" i="7"/>
  <c r="AB147" i="7"/>
  <c r="AB146" i="7"/>
  <c r="AB140" i="7"/>
  <c r="AB139" i="7"/>
  <c r="AB138" i="7"/>
  <c r="AB137" i="7"/>
  <c r="AB136" i="7"/>
  <c r="AB135" i="7"/>
  <c r="AB134" i="7"/>
  <c r="AB128" i="7"/>
  <c r="AB127" i="7"/>
  <c r="AB126" i="7"/>
  <c r="AB125" i="7"/>
  <c r="AB124" i="7"/>
  <c r="AB123" i="7"/>
  <c r="AB122" i="7"/>
  <c r="AB116" i="7"/>
  <c r="AB115" i="7"/>
  <c r="AB114" i="7"/>
  <c r="AB113" i="7"/>
  <c r="AB112" i="7"/>
  <c r="AB111" i="7"/>
  <c r="AB110" i="7"/>
  <c r="AB104" i="7"/>
  <c r="AB103" i="7"/>
  <c r="AB102" i="7"/>
  <c r="AB101" i="7"/>
  <c r="AB100" i="7"/>
  <c r="AB99" i="7"/>
  <c r="AB98" i="7"/>
  <c r="AB92" i="7"/>
  <c r="AB91" i="7"/>
  <c r="AB90" i="7"/>
  <c r="AB89" i="7"/>
  <c r="AB88" i="7"/>
  <c r="AB87" i="7"/>
  <c r="AB86" i="7"/>
  <c r="AB80" i="7"/>
  <c r="AB79" i="7"/>
  <c r="AB78" i="7"/>
  <c r="AB77" i="7"/>
  <c r="AB76" i="7"/>
  <c r="AB75" i="7"/>
  <c r="AB74" i="7"/>
  <c r="AB68" i="7"/>
  <c r="AB67" i="7"/>
  <c r="AB66" i="7"/>
  <c r="AB65" i="7"/>
  <c r="AB64" i="7"/>
  <c r="AB63" i="7"/>
  <c r="AB62" i="7"/>
  <c r="AB54" i="7"/>
  <c r="AB56" i="7"/>
  <c r="AB55" i="7"/>
  <c r="AB53" i="7"/>
  <c r="AB52" i="7"/>
  <c r="AB51" i="7"/>
  <c r="AB50" i="7"/>
  <c r="AB41" i="7"/>
  <c r="AB43" i="7"/>
  <c r="AB31" i="7"/>
  <c r="AB42" i="7"/>
  <c r="AB40" i="7"/>
  <c r="AB39" i="7"/>
  <c r="AB38" i="7"/>
  <c r="AB37" i="7"/>
  <c r="AB30" i="7"/>
  <c r="AB29" i="7"/>
  <c r="AB28" i="7"/>
  <c r="AB25" i="7"/>
  <c r="AB27" i="7"/>
  <c r="I18" i="10" l="1"/>
  <c r="I14" i="10"/>
  <c r="I16" i="10"/>
  <c r="I7" i="10"/>
  <c r="I8" i="10"/>
  <c r="I9" i="10"/>
  <c r="I10" i="10"/>
  <c r="I6" i="10"/>
  <c r="I17" i="10"/>
  <c r="I11" i="10"/>
  <c r="I15" i="10"/>
  <c r="I4" i="10"/>
  <c r="I5" i="10"/>
  <c r="I13" i="10"/>
  <c r="I3" i="10"/>
  <c r="AG28" i="7"/>
  <c r="AB44" i="7"/>
  <c r="AE37" i="7" s="1"/>
  <c r="AG29" i="7"/>
  <c r="AG31" i="7"/>
  <c r="AG26" i="7"/>
  <c r="AG25" i="7"/>
  <c r="AG27" i="7"/>
  <c r="AG30" i="7"/>
  <c r="AB32" i="7"/>
  <c r="AE27" i="7" s="1"/>
  <c r="AB200" i="7"/>
  <c r="AE197" i="7" s="1"/>
  <c r="AB189" i="7"/>
  <c r="AE187" i="7" s="1"/>
  <c r="AB177" i="7"/>
  <c r="AE174" i="7" s="1"/>
  <c r="AB165" i="7"/>
  <c r="AE161" i="7" s="1"/>
  <c r="AB153" i="7"/>
  <c r="AE147" i="7" s="1"/>
  <c r="AB141" i="7"/>
  <c r="AE137" i="7" s="1"/>
  <c r="AB129" i="7"/>
  <c r="AE127" i="7" s="1"/>
  <c r="AB117" i="7"/>
  <c r="AE115" i="7" s="1"/>
  <c r="AB105" i="7"/>
  <c r="AE103" i="7" s="1"/>
  <c r="AB93" i="7"/>
  <c r="AE91" i="7" s="1"/>
  <c r="AB81" i="7"/>
  <c r="AE79" i="7" s="1"/>
  <c r="AB69" i="7"/>
  <c r="AE67" i="7" s="1"/>
  <c r="AB57" i="7"/>
  <c r="AE55" i="7" s="1"/>
  <c r="AE110" i="7" l="1"/>
  <c r="AE116" i="7"/>
  <c r="D225" i="7" s="1"/>
  <c r="AE199" i="7"/>
  <c r="D231" i="7" s="1"/>
  <c r="AE92" i="7"/>
  <c r="D223" i="7" s="1"/>
  <c r="AE88" i="7"/>
  <c r="AE43" i="7"/>
  <c r="D219" i="7" s="1"/>
  <c r="AE39" i="7"/>
  <c r="AE40" i="7"/>
  <c r="AE38" i="7"/>
  <c r="AE41" i="7"/>
  <c r="AE42" i="7"/>
  <c r="AG32" i="7"/>
  <c r="AJ30" i="7" s="1"/>
  <c r="AE28" i="7"/>
  <c r="AE30" i="7"/>
  <c r="AE25" i="7"/>
  <c r="AE29" i="7"/>
  <c r="AE31" i="7"/>
  <c r="D218" i="7" s="1"/>
  <c r="AE26" i="7"/>
  <c r="AE193" i="7"/>
  <c r="AE194" i="7"/>
  <c r="AE196" i="7"/>
  <c r="AE198" i="7"/>
  <c r="AE195" i="7"/>
  <c r="AE182" i="7"/>
  <c r="AE188" i="7"/>
  <c r="D229" i="7" s="1"/>
  <c r="AE184" i="7"/>
  <c r="AE186" i="7"/>
  <c r="AE183" i="7"/>
  <c r="AE185" i="7"/>
  <c r="AE176" i="7"/>
  <c r="D230" i="7" s="1"/>
  <c r="AE170" i="7"/>
  <c r="AE172" i="7"/>
  <c r="AE171" i="7"/>
  <c r="AE173" i="7"/>
  <c r="AE175" i="7"/>
  <c r="AE158" i="7"/>
  <c r="AE160" i="7"/>
  <c r="AE163" i="7"/>
  <c r="AE159" i="7"/>
  <c r="AE164" i="7"/>
  <c r="D228" i="7" s="1"/>
  <c r="AE162" i="7"/>
  <c r="AE152" i="7"/>
  <c r="D233" i="7" s="1"/>
  <c r="AE148" i="7"/>
  <c r="AE150" i="7"/>
  <c r="AE146" i="7"/>
  <c r="AE149" i="7"/>
  <c r="AE151" i="7"/>
  <c r="AE134" i="7"/>
  <c r="AE136" i="7"/>
  <c r="AE140" i="7"/>
  <c r="D227" i="7" s="1"/>
  <c r="AE138" i="7"/>
  <c r="AE139" i="7"/>
  <c r="AE135" i="7"/>
  <c r="AE122" i="7"/>
  <c r="AE128" i="7"/>
  <c r="D226" i="7" s="1"/>
  <c r="AE124" i="7"/>
  <c r="AE126" i="7"/>
  <c r="AE125" i="7"/>
  <c r="AE123" i="7"/>
  <c r="AE112" i="7"/>
  <c r="AE114" i="7"/>
  <c r="AE111" i="7"/>
  <c r="AE113" i="7"/>
  <c r="AE98" i="7"/>
  <c r="AE104" i="7"/>
  <c r="D224" i="7" s="1"/>
  <c r="AE100" i="7"/>
  <c r="AE101" i="7"/>
  <c r="AE99" i="7"/>
  <c r="AE102" i="7"/>
  <c r="AE87" i="7"/>
  <c r="AE86" i="7"/>
  <c r="AE90" i="7"/>
  <c r="AE89" i="7"/>
  <c r="AE74" i="7"/>
  <c r="AE80" i="7"/>
  <c r="D222" i="7" s="1"/>
  <c r="AE76" i="7"/>
  <c r="AE75" i="7"/>
  <c r="AE77" i="7"/>
  <c r="AE78" i="7"/>
  <c r="AE62" i="7"/>
  <c r="AE64" i="7"/>
  <c r="AE63" i="7"/>
  <c r="AE66" i="7"/>
  <c r="AE68" i="7"/>
  <c r="D221" i="7" s="1"/>
  <c r="AE65" i="7"/>
  <c r="AE56" i="7"/>
  <c r="D220" i="7" s="1"/>
  <c r="AE52" i="7"/>
  <c r="AE54" i="7"/>
  <c r="AE50" i="7"/>
  <c r="AE51" i="7"/>
  <c r="AE53" i="7"/>
  <c r="K18" i="3"/>
  <c r="K17" i="3"/>
  <c r="K12" i="3"/>
  <c r="K6" i="3"/>
  <c r="E12" i="3"/>
  <c r="E10" i="3"/>
  <c r="E9" i="3"/>
  <c r="E7" i="3"/>
  <c r="E6" i="3"/>
  <c r="E5" i="3"/>
  <c r="V203" i="7"/>
  <c r="X203" i="7" s="1"/>
  <c r="V202" i="7"/>
  <c r="X202" i="7" s="1"/>
  <c r="U16" i="9" l="1"/>
  <c r="W16" i="9" s="1"/>
  <c r="U14" i="9"/>
  <c r="W14" i="9" s="1"/>
  <c r="U17" i="9"/>
  <c r="W17" i="9" s="1"/>
  <c r="U10" i="9"/>
  <c r="W10" i="9" s="1"/>
  <c r="U8" i="9"/>
  <c r="W8" i="9" s="1"/>
  <c r="U7" i="9"/>
  <c r="W7" i="9" s="1"/>
  <c r="U9" i="9"/>
  <c r="W9" i="9" s="1"/>
  <c r="U18" i="9"/>
  <c r="W18" i="9" s="1"/>
  <c r="U15" i="9"/>
  <c r="W15" i="9" s="1"/>
  <c r="U6" i="9"/>
  <c r="W6" i="9" s="1"/>
  <c r="U11" i="9"/>
  <c r="W11" i="9" s="1"/>
  <c r="U13" i="9"/>
  <c r="W13" i="9" s="1"/>
  <c r="U5" i="9"/>
  <c r="AJ27" i="7"/>
  <c r="AJ31" i="7"/>
  <c r="AJ25" i="7"/>
  <c r="AJ26" i="7"/>
  <c r="AJ28" i="7"/>
  <c r="AJ29" i="7"/>
  <c r="U22" i="9" l="1"/>
  <c r="W5" i="9"/>
  <c r="W22" i="9" s="1"/>
  <c r="E17" i="3" l="1"/>
  <c r="E14" i="3"/>
  <c r="E13" i="3"/>
  <c r="V111" i="7" l="1"/>
  <c r="X111" i="7" s="1"/>
  <c r="V78" i="7"/>
  <c r="X78" i="7" s="1"/>
  <c r="V166" i="7"/>
  <c r="X166" i="7" s="1"/>
  <c r="V201" i="7"/>
  <c r="X201" i="7" s="1"/>
  <c r="V165" i="7"/>
  <c r="X165" i="7" s="1"/>
  <c r="V31" i="7"/>
  <c r="V79" i="7"/>
  <c r="X79" i="7" s="1"/>
  <c r="V139" i="7"/>
  <c r="X139" i="7" s="1"/>
  <c r="V115" i="7"/>
  <c r="X115" i="7" s="1"/>
  <c r="V30" i="7"/>
  <c r="V67" i="7"/>
  <c r="X67" i="7" s="1"/>
  <c r="V198" i="7"/>
  <c r="X198" i="7" s="1"/>
  <c r="V103" i="7"/>
  <c r="X103" i="7" s="1"/>
  <c r="V127" i="7"/>
  <c r="X127" i="7" s="1"/>
  <c r="V187" i="7"/>
  <c r="X187" i="7" s="1"/>
  <c r="V42" i="7"/>
  <c r="V175" i="7"/>
  <c r="X175" i="7" s="1"/>
  <c r="V163" i="7"/>
  <c r="X163" i="7" s="1"/>
  <c r="V29" i="7"/>
  <c r="V162" i="7"/>
  <c r="X162" i="7" s="1"/>
  <c r="V138" i="7"/>
  <c r="X138" i="7" s="1"/>
  <c r="V126" i="7"/>
  <c r="X126" i="7" s="1"/>
  <c r="V102" i="7"/>
  <c r="X102" i="7" s="1"/>
  <c r="V66" i="7"/>
  <c r="X66" i="7" s="1"/>
  <c r="V186" i="7"/>
  <c r="X186" i="7" s="1"/>
  <c r="V197" i="7"/>
  <c r="X197" i="7" s="1"/>
  <c r="V174" i="7"/>
  <c r="X174" i="7" s="1"/>
  <c r="V41" i="7"/>
  <c r="E4" i="3"/>
  <c r="F7" i="3"/>
  <c r="E8" i="3"/>
  <c r="E11" i="3"/>
  <c r="E15" i="3"/>
  <c r="E16" i="3"/>
  <c r="F17" i="3"/>
  <c r="E18" i="3"/>
  <c r="K4" i="3"/>
  <c r="K5" i="3"/>
  <c r="K7" i="3"/>
  <c r="K8" i="3"/>
  <c r="K9" i="3"/>
  <c r="L9" i="3" s="1"/>
  <c r="K10" i="3"/>
  <c r="K11" i="3"/>
  <c r="K13" i="3"/>
  <c r="K14" i="3"/>
  <c r="K15" i="3"/>
  <c r="K16" i="3"/>
  <c r="L17" i="3"/>
  <c r="L18" i="3"/>
  <c r="F20" i="3"/>
  <c r="V137" i="7"/>
  <c r="X137" i="7" s="1"/>
  <c r="V125" i="7"/>
  <c r="X125" i="7" s="1"/>
  <c r="V113" i="7"/>
  <c r="X113" i="7" s="1"/>
  <c r="V89" i="7"/>
  <c r="X89" i="7" s="1"/>
  <c r="V77" i="7"/>
  <c r="X77" i="7" s="1"/>
  <c r="V65" i="7"/>
  <c r="X65" i="7" s="1"/>
  <c r="V53" i="7"/>
  <c r="V40" i="7"/>
  <c r="V28" i="7"/>
  <c r="V184" i="7"/>
  <c r="X184" i="7" s="1"/>
  <c r="V172" i="7"/>
  <c r="X172" i="7" s="1"/>
  <c r="V136" i="7"/>
  <c r="X136" i="7" s="1"/>
  <c r="V112" i="7"/>
  <c r="X112" i="7" s="1"/>
  <c r="X100" i="7"/>
  <c r="V76" i="7"/>
  <c r="X76" i="7" s="1"/>
  <c r="V64" i="7"/>
  <c r="X64" i="7" s="1"/>
  <c r="V39" i="7"/>
  <c r="V27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83" i="7"/>
  <c r="X183" i="7" s="1"/>
  <c r="V135" i="7"/>
  <c r="X135" i="7" s="1"/>
  <c r="V99" i="7"/>
  <c r="X99" i="7" s="1"/>
  <c r="V75" i="7"/>
  <c r="X75" i="7" s="1"/>
  <c r="V63" i="7"/>
  <c r="X63" i="7" s="1"/>
  <c r="V38" i="7"/>
  <c r="X38" i="7" s="1"/>
  <c r="V191" i="7"/>
  <c r="X191" i="7" s="1"/>
  <c r="V179" i="7"/>
  <c r="X179" i="7" s="1"/>
  <c r="V143" i="7"/>
  <c r="X143" i="7" s="1"/>
  <c r="V119" i="7"/>
  <c r="X119" i="7" s="1"/>
  <c r="V107" i="7"/>
  <c r="X107" i="7" s="1"/>
  <c r="V95" i="7"/>
  <c r="X95" i="7" s="1"/>
  <c r="V83" i="7"/>
  <c r="X83" i="7" s="1"/>
  <c r="V59" i="7"/>
  <c r="V46" i="7"/>
  <c r="V34" i="7"/>
  <c r="V178" i="7"/>
  <c r="X178" i="7" s="1"/>
  <c r="V45" i="7"/>
  <c r="V142" i="7"/>
  <c r="X142" i="7" s="1"/>
  <c r="V130" i="7"/>
  <c r="X130" i="7" s="1"/>
  <c r="V58" i="7"/>
  <c r="V33" i="7"/>
  <c r="V200" i="7"/>
  <c r="X200" i="7" s="1"/>
  <c r="V189" i="7"/>
  <c r="X189" i="7" s="1"/>
  <c r="V177" i="7"/>
  <c r="X177" i="7" s="1"/>
  <c r="V141" i="7"/>
  <c r="X141" i="7" s="1"/>
  <c r="V129" i="7"/>
  <c r="X129" i="7" s="1"/>
  <c r="V117" i="7"/>
  <c r="X117" i="7" s="1"/>
  <c r="V105" i="7"/>
  <c r="X105" i="7" s="1"/>
  <c r="V81" i="7"/>
  <c r="X81" i="7" s="1"/>
  <c r="V69" i="7"/>
  <c r="X69" i="7" s="1"/>
  <c r="V57" i="7"/>
  <c r="V44" i="7"/>
  <c r="V32" i="7"/>
  <c r="X32" i="7" s="1"/>
  <c r="V188" i="7"/>
  <c r="X188" i="7" s="1"/>
  <c r="V116" i="7"/>
  <c r="X116" i="7" s="1"/>
  <c r="V104" i="7"/>
  <c r="X104" i="7" s="1"/>
  <c r="V92" i="7"/>
  <c r="X92" i="7" s="1"/>
  <c r="V80" i="7"/>
  <c r="X80" i="7" s="1"/>
  <c r="V68" i="7"/>
  <c r="X68" i="7" s="1"/>
  <c r="V55" i="7"/>
  <c r="V54" i="7"/>
  <c r="X54" i="7" s="1"/>
  <c r="V123" i="7"/>
  <c r="X123" i="7" s="1"/>
  <c r="V124" i="7"/>
  <c r="X124" i="7" s="1"/>
  <c r="V128" i="7"/>
  <c r="X128" i="7" s="1"/>
  <c r="V131" i="7"/>
  <c r="X131" i="7" s="1"/>
  <c r="V132" i="7"/>
  <c r="X132" i="7" s="1"/>
  <c r="X148" i="7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F16" i="5"/>
  <c r="F15" i="5"/>
  <c r="F13" i="5"/>
  <c r="F18" i="5"/>
  <c r="F17" i="5"/>
  <c r="F11" i="5"/>
  <c r="F7" i="5"/>
  <c r="F10" i="5"/>
  <c r="F8" i="5"/>
  <c r="F6" i="5"/>
  <c r="F9" i="5"/>
  <c r="F5" i="5"/>
  <c r="F14" i="5"/>
  <c r="F12" i="5"/>
  <c r="F4" i="5"/>
  <c r="V160" i="7"/>
  <c r="X160" i="7" s="1"/>
  <c r="V195" i="7"/>
  <c r="X195" i="7" s="1"/>
  <c r="V52" i="7"/>
  <c r="V88" i="7"/>
  <c r="X88" i="7" s="1"/>
  <c r="Z39" i="1"/>
  <c r="G17" i="10" s="1"/>
  <c r="Z25" i="1"/>
  <c r="Z26" i="1"/>
  <c r="Z27" i="1"/>
  <c r="J8" i="5"/>
  <c r="Z29" i="1"/>
  <c r="Z30" i="1"/>
  <c r="Z31" i="1"/>
  <c r="J18" i="5"/>
  <c r="Z37" i="1"/>
  <c r="Z32" i="1"/>
  <c r="Z33" i="1"/>
  <c r="J4" i="5"/>
  <c r="Z35" i="1"/>
  <c r="Z34" i="1"/>
  <c r="Z36" i="1"/>
  <c r="N25" i="1"/>
  <c r="N26" i="1"/>
  <c r="N27" i="1"/>
  <c r="AE27" i="1" s="1"/>
  <c r="N29" i="1"/>
  <c r="N30" i="1"/>
  <c r="N31" i="1"/>
  <c r="N32" i="1"/>
  <c r="N33" i="1"/>
  <c r="N34" i="1"/>
  <c r="N35" i="1"/>
  <c r="N36" i="1"/>
  <c r="N37" i="1"/>
  <c r="AE37" i="1" s="1"/>
  <c r="N24" i="1"/>
  <c r="AE24" i="1" s="1"/>
  <c r="Z5" i="1"/>
  <c r="Z6" i="1"/>
  <c r="Z7" i="1"/>
  <c r="Z9" i="1"/>
  <c r="Z10" i="1"/>
  <c r="Z11" i="1"/>
  <c r="Z12" i="1"/>
  <c r="Z13" i="1"/>
  <c r="Z14" i="1"/>
  <c r="Z15" i="1"/>
  <c r="Z16" i="1"/>
  <c r="Z17" i="1"/>
  <c r="Z4" i="1"/>
  <c r="J21" i="3"/>
  <c r="D21" i="3"/>
  <c r="D22" i="3" s="1"/>
  <c r="V192" i="7"/>
  <c r="V180" i="7"/>
  <c r="X180" i="7" s="1"/>
  <c r="V70" i="7"/>
  <c r="X70" i="7" s="1"/>
  <c r="V71" i="7"/>
  <c r="X71" i="7" s="1"/>
  <c r="V72" i="7"/>
  <c r="X72" i="7" s="1"/>
  <c r="V82" i="7"/>
  <c r="X82" i="7" s="1"/>
  <c r="V84" i="7"/>
  <c r="X84" i="7" s="1"/>
  <c r="V93" i="7"/>
  <c r="X93" i="7" s="1"/>
  <c r="V199" i="7"/>
  <c r="X199" i="7" s="1"/>
  <c r="V194" i="7"/>
  <c r="X194" i="7" s="1"/>
  <c r="V91" i="7"/>
  <c r="X91" i="7" s="1"/>
  <c r="V26" i="7"/>
  <c r="V35" i="7"/>
  <c r="X35" i="7" s="1"/>
  <c r="L6" i="3"/>
  <c r="F13" i="3"/>
  <c r="X149" i="7"/>
  <c r="X150" i="7"/>
  <c r="X151" i="7"/>
  <c r="X152" i="7"/>
  <c r="X153" i="7"/>
  <c r="X154" i="7"/>
  <c r="X155" i="7"/>
  <c r="X156" i="7"/>
  <c r="V159" i="7"/>
  <c r="X159" i="7" s="1"/>
  <c r="V161" i="7"/>
  <c r="X161" i="7" s="1"/>
  <c r="V164" i="7"/>
  <c r="X164" i="7" s="1"/>
  <c r="V167" i="7"/>
  <c r="X167" i="7" s="1"/>
  <c r="V168" i="7"/>
  <c r="X168" i="7" s="1"/>
  <c r="V114" i="7"/>
  <c r="X114" i="7" s="1"/>
  <c r="V118" i="7"/>
  <c r="X118" i="7" s="1"/>
  <c r="V120" i="7"/>
  <c r="X120" i="7" s="1"/>
  <c r="V101" i="7"/>
  <c r="X101" i="7" s="1"/>
  <c r="V106" i="7"/>
  <c r="X106" i="7" s="1"/>
  <c r="V108" i="7"/>
  <c r="X108" i="7" s="1"/>
  <c r="V51" i="7"/>
  <c r="X51" i="7" s="1"/>
  <c r="V56" i="7"/>
  <c r="V60" i="7"/>
  <c r="V43" i="7"/>
  <c r="V47" i="7"/>
  <c r="X47" i="7" s="1"/>
  <c r="V190" i="7"/>
  <c r="X190" i="7" s="1"/>
  <c r="V185" i="7"/>
  <c r="X185" i="7" s="1"/>
  <c r="V176" i="7"/>
  <c r="X176" i="7" s="1"/>
  <c r="V173" i="7"/>
  <c r="X173" i="7" s="1"/>
  <c r="V171" i="7"/>
  <c r="X171" i="7" s="1"/>
  <c r="V144" i="7"/>
  <c r="X144" i="7" s="1"/>
  <c r="V140" i="7"/>
  <c r="X140" i="7" s="1"/>
  <c r="V96" i="7"/>
  <c r="X96" i="7" s="1"/>
  <c r="V94" i="7"/>
  <c r="X94" i="7" s="1"/>
  <c r="V90" i="7"/>
  <c r="X90" i="7" s="1"/>
  <c r="V87" i="7"/>
  <c r="X87" i="7" s="1"/>
  <c r="F14" i="3"/>
  <c r="F10" i="3"/>
  <c r="F5" i="3"/>
  <c r="F9" i="3"/>
  <c r="F12" i="3"/>
  <c r="L11" i="3"/>
  <c r="F6" i="3"/>
  <c r="L12" i="3"/>
  <c r="E21" i="3" l="1"/>
  <c r="J12" i="5"/>
  <c r="AA36" i="1"/>
  <c r="J9" i="5"/>
  <c r="AA33" i="1"/>
  <c r="AA31" i="1"/>
  <c r="J14" i="5"/>
  <c r="AA27" i="1"/>
  <c r="AA39" i="1"/>
  <c r="J19" i="5"/>
  <c r="K19" i="5" s="1"/>
  <c r="J17" i="5"/>
  <c r="AA34" i="1"/>
  <c r="J15" i="5"/>
  <c r="AA32" i="1"/>
  <c r="AA30" i="1"/>
  <c r="J5" i="5"/>
  <c r="AA26" i="1"/>
  <c r="J13" i="5"/>
  <c r="AA35" i="1"/>
  <c r="AA37" i="1"/>
  <c r="J10" i="5"/>
  <c r="AA29" i="1"/>
  <c r="AA25" i="1"/>
  <c r="AA38" i="1"/>
  <c r="AA28" i="1"/>
  <c r="AA24" i="1"/>
  <c r="X43" i="7"/>
  <c r="X45" i="7"/>
  <c r="X59" i="7"/>
  <c r="X40" i="7"/>
  <c r="X30" i="7"/>
  <c r="X52" i="7"/>
  <c r="X58" i="7"/>
  <c r="X33" i="7"/>
  <c r="X31" i="7"/>
  <c r="X60" i="7"/>
  <c r="X53" i="7"/>
  <c r="X56" i="7"/>
  <c r="X57" i="7"/>
  <c r="X34" i="7"/>
  <c r="X27" i="7"/>
  <c r="X41" i="7"/>
  <c r="X42" i="7"/>
  <c r="X55" i="7"/>
  <c r="X44" i="7"/>
  <c r="X46" i="7"/>
  <c r="X39" i="7"/>
  <c r="X28" i="7"/>
  <c r="X29" i="7"/>
  <c r="AE35" i="1"/>
  <c r="AE31" i="1"/>
  <c r="AA19" i="1"/>
  <c r="AA18" i="1"/>
  <c r="AA8" i="1"/>
  <c r="AA10" i="1"/>
  <c r="AA13" i="1"/>
  <c r="AA9" i="1"/>
  <c r="AE30" i="1"/>
  <c r="AA16" i="1"/>
  <c r="AA7" i="1"/>
  <c r="AE33" i="1"/>
  <c r="AE29" i="1"/>
  <c r="AE25" i="1"/>
  <c r="AA14" i="1"/>
  <c r="AA17" i="1"/>
  <c r="AE34" i="1"/>
  <c r="AE26" i="1"/>
  <c r="AA12" i="1"/>
  <c r="AA15" i="1"/>
  <c r="AA11" i="1"/>
  <c r="AA6" i="1"/>
  <c r="AE36" i="1"/>
  <c r="AE32" i="1"/>
  <c r="AE28" i="1"/>
  <c r="J7" i="5"/>
  <c r="J16" i="5"/>
  <c r="J6" i="5"/>
  <c r="J11" i="5"/>
  <c r="AA5" i="1"/>
  <c r="AA4" i="1"/>
  <c r="D18" i="5"/>
  <c r="G16" i="10"/>
  <c r="F14" i="10"/>
  <c r="D14" i="5"/>
  <c r="G18" i="10"/>
  <c r="D11" i="5"/>
  <c r="G15" i="10"/>
  <c r="D7" i="5"/>
  <c r="G8" i="10"/>
  <c r="D12" i="5"/>
  <c r="G6" i="10"/>
  <c r="D15" i="5"/>
  <c r="G9" i="10"/>
  <c r="D17" i="5"/>
  <c r="G14" i="10"/>
  <c r="D8" i="5"/>
  <c r="G13" i="10"/>
  <c r="D13" i="5"/>
  <c r="G7" i="10"/>
  <c r="D16" i="5"/>
  <c r="G10" i="10"/>
  <c r="D6" i="5"/>
  <c r="G11" i="10"/>
  <c r="D5" i="5"/>
  <c r="G5" i="10"/>
  <c r="D9" i="5"/>
  <c r="G12" i="10"/>
  <c r="D10" i="5"/>
  <c r="G4" i="10"/>
  <c r="D4" i="5"/>
  <c r="G3" i="10"/>
  <c r="L15" i="3"/>
  <c r="F11" i="4"/>
  <c r="L12" i="4"/>
  <c r="L14" i="3"/>
  <c r="L11" i="4"/>
  <c r="L13" i="3"/>
  <c r="L8" i="3"/>
  <c r="L16" i="3"/>
  <c r="L7" i="3"/>
  <c r="L15" i="4"/>
  <c r="L6" i="4"/>
  <c r="L13" i="4"/>
  <c r="L5" i="3"/>
  <c r="F12" i="4"/>
  <c r="L10" i="3"/>
  <c r="F15" i="3"/>
  <c r="F18" i="3"/>
  <c r="F11" i="3"/>
  <c r="F8" i="3"/>
  <c r="F16" i="3"/>
  <c r="L7" i="4"/>
  <c r="F6" i="4"/>
  <c r="L18" i="4"/>
  <c r="L16" i="4"/>
  <c r="F15" i="4"/>
  <c r="L8" i="4"/>
  <c r="F7" i="4"/>
  <c r="L14" i="4"/>
  <c r="F13" i="4"/>
  <c r="F14" i="4"/>
  <c r="F17" i="4"/>
  <c r="F16" i="4"/>
  <c r="L17" i="4"/>
  <c r="L9" i="4"/>
  <c r="F8" i="4"/>
  <c r="L10" i="4"/>
  <c r="F9" i="4"/>
  <c r="F10" i="4"/>
  <c r="L5" i="4"/>
  <c r="F5" i="4"/>
  <c r="L4" i="4"/>
  <c r="F18" i="4"/>
  <c r="F4" i="4"/>
  <c r="L4" i="3"/>
  <c r="K21" i="3"/>
  <c r="F4" i="3"/>
  <c r="E22" i="3"/>
  <c r="V14" i="7"/>
  <c r="X14" i="7" s="1"/>
  <c r="V7" i="7"/>
  <c r="X7" i="7" s="1"/>
  <c r="V17" i="7"/>
  <c r="X17" i="7" s="1"/>
  <c r="F6" i="10" s="1"/>
  <c r="V9" i="7"/>
  <c r="X9" i="7" s="1"/>
  <c r="V5" i="7"/>
  <c r="X5" i="7" s="1"/>
  <c r="V16" i="7"/>
  <c r="X16" i="7" s="1"/>
  <c r="V10" i="7"/>
  <c r="X10" i="7" s="1"/>
  <c r="V12" i="7"/>
  <c r="X12" i="7" s="1"/>
  <c r="V8" i="7"/>
  <c r="X8" i="7" s="1"/>
  <c r="V13" i="7"/>
  <c r="X13" i="7" s="1"/>
  <c r="V6" i="7"/>
  <c r="X6" i="7" s="1"/>
  <c r="V15" i="7"/>
  <c r="X15" i="7" s="1"/>
  <c r="V18" i="7"/>
  <c r="X18" i="7"/>
  <c r="V11" i="7"/>
  <c r="X11" i="7" s="1"/>
  <c r="E19" i="5" l="1"/>
  <c r="K4" i="5"/>
  <c r="F7" i="10"/>
  <c r="F18" i="10"/>
  <c r="F9" i="10"/>
  <c r="F3" i="10"/>
  <c r="F4" i="10"/>
  <c r="F8" i="10"/>
  <c r="F16" i="10"/>
  <c r="F12" i="10"/>
  <c r="F15" i="10"/>
  <c r="E4" i="5"/>
  <c r="K18" i="5"/>
  <c r="F13" i="10"/>
  <c r="K17" i="5"/>
  <c r="K11" i="5"/>
  <c r="K14" i="5"/>
  <c r="K15" i="5"/>
  <c r="K12" i="5"/>
  <c r="K6" i="5"/>
  <c r="K13" i="5"/>
  <c r="K5" i="5"/>
  <c r="K10" i="5"/>
  <c r="K8" i="5"/>
  <c r="K9" i="5"/>
  <c r="K7" i="5"/>
  <c r="K16" i="5"/>
  <c r="F11" i="10"/>
  <c r="E15" i="5"/>
  <c r="E5" i="5"/>
  <c r="E18" i="5"/>
  <c r="E14" i="5"/>
  <c r="E17" i="5"/>
  <c r="E13" i="5"/>
  <c r="F5" i="10"/>
  <c r="E7" i="5"/>
  <c r="E11" i="5"/>
  <c r="E12" i="5"/>
  <c r="L21" i="3"/>
  <c r="F21" i="3"/>
  <c r="D27" i="5"/>
  <c r="D30" i="5"/>
  <c r="D25" i="5"/>
  <c r="D29" i="5"/>
  <c r="D28" i="5"/>
  <c r="D32" i="5"/>
  <c r="D35" i="5"/>
  <c r="D24" i="5"/>
  <c r="D34" i="5"/>
  <c r="D33" i="5"/>
  <c r="D37" i="5"/>
  <c r="D36" i="5"/>
  <c r="D26" i="5"/>
  <c r="E6" i="5" l="1"/>
  <c r="E9" i="5"/>
  <c r="E10" i="5"/>
  <c r="E8" i="5"/>
  <c r="K19" i="7"/>
  <c r="S19" i="7"/>
  <c r="P19" i="7"/>
  <c r="M19" i="7"/>
  <c r="U19" i="7"/>
  <c r="N19" i="7"/>
  <c r="L19" i="7"/>
  <c r="G19" i="7"/>
  <c r="H19" i="7"/>
  <c r="Q19" i="7"/>
  <c r="R19" i="7"/>
  <c r="O19" i="7"/>
  <c r="I19" i="7"/>
  <c r="J19" i="7"/>
  <c r="T19" i="7"/>
  <c r="V196" i="7"/>
  <c r="X196" i="7" s="1"/>
  <c r="V19" i="7" l="1"/>
  <c r="X19" i="7"/>
  <c r="AB21" i="7" l="1"/>
  <c r="Z21" i="7"/>
  <c r="AB19" i="7"/>
  <c r="AB6" i="7"/>
  <c r="AB18" i="7"/>
  <c r="AB16" i="7"/>
  <c r="AB8" i="7"/>
  <c r="AB15" i="7"/>
  <c r="AB9" i="7"/>
  <c r="AB14" i="7"/>
  <c r="AB5" i="7"/>
  <c r="AB10" i="7"/>
  <c r="AB13" i="7"/>
  <c r="AB7" i="7"/>
  <c r="AB12" i="7"/>
  <c r="F10" i="10"/>
  <c r="Z20" i="7"/>
  <c r="AB20" i="7"/>
  <c r="Z8" i="7"/>
  <c r="Z9" i="7"/>
  <c r="Z14" i="7"/>
  <c r="Z6" i="7"/>
  <c r="AB17" i="7"/>
  <c r="Z19" i="7"/>
  <c r="Z12" i="7"/>
  <c r="Z18" i="7"/>
  <c r="Z15" i="7"/>
  <c r="Z17" i="7"/>
  <c r="Z16" i="7"/>
  <c r="Z5" i="7"/>
  <c r="Z10" i="7"/>
  <c r="Z13" i="7"/>
  <c r="Z11" i="7"/>
  <c r="Z7" i="7"/>
  <c r="AB11" i="7"/>
  <c r="D38" i="5"/>
  <c r="E39" i="5" s="1"/>
  <c r="E38" i="5" l="1"/>
  <c r="E32" i="5"/>
  <c r="E35" i="5"/>
  <c r="E34" i="5"/>
  <c r="E31" i="5"/>
  <c r="E28" i="5"/>
  <c r="E30" i="5"/>
  <c r="E26" i="5"/>
  <c r="E25" i="5"/>
  <c r="E27" i="5"/>
  <c r="E29" i="5"/>
  <c r="E33" i="5"/>
  <c r="E36" i="5"/>
  <c r="E37" i="5"/>
  <c r="E24" i="5"/>
  <c r="L20" i="3"/>
  <c r="AE38" i="1" l="1"/>
  <c r="AE41" i="1" s="1"/>
</calcChain>
</file>

<file path=xl/sharedStrings.xml><?xml version="1.0" encoding="utf-8"?>
<sst xmlns="http://schemas.openxmlformats.org/spreadsheetml/2006/main" count="1724" uniqueCount="211">
  <si>
    <t>Peter</t>
  </si>
  <si>
    <t>Nilsson</t>
  </si>
  <si>
    <t>Stefan</t>
  </si>
  <si>
    <t>Thorvaldsson</t>
  </si>
  <si>
    <t>Magnus</t>
  </si>
  <si>
    <t>Bengtsson</t>
  </si>
  <si>
    <t>Göran</t>
  </si>
  <si>
    <t>Backe</t>
  </si>
  <si>
    <t>Jörgen</t>
  </si>
  <si>
    <t>Simonsson</t>
  </si>
  <si>
    <t>Micke</t>
  </si>
  <si>
    <t>Åberg</t>
  </si>
  <si>
    <t>Lalle</t>
  </si>
  <si>
    <t>Johansson</t>
  </si>
  <si>
    <t>Börje</t>
  </si>
  <si>
    <t>Claes</t>
  </si>
  <si>
    <t>Svensson</t>
  </si>
  <si>
    <t>Thomas</t>
  </si>
  <si>
    <t>Larsson</t>
  </si>
  <si>
    <t>Stranddahl</t>
  </si>
  <si>
    <t>För</t>
  </si>
  <si>
    <t>Efter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</si>
  <si>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</si>
  <si>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</si>
  <si>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</si>
  <si>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</si>
  <si>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</si>
  <si>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</si>
  <si>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</si>
  <si>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</si>
  <si>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</si>
  <si>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Sum</t>
  </si>
  <si>
    <t>Plac</t>
  </si>
  <si>
    <t>Öl</t>
  </si>
  <si>
    <t>Birdies</t>
  </si>
  <si>
    <t xml:space="preserve"> Poäng</t>
  </si>
  <si>
    <t>Skillnad</t>
  </si>
  <si>
    <t>Öl tid</t>
  </si>
  <si>
    <t>Öl i år</t>
  </si>
  <si>
    <t>Tot</t>
  </si>
  <si>
    <t>Birdie tid</t>
  </si>
  <si>
    <t>Birdie i år</t>
  </si>
  <si>
    <t>I år</t>
  </si>
  <si>
    <t>Bäst "Ever"</t>
  </si>
  <si>
    <t xml:space="preserve"> Resultat Brutto</t>
  </si>
  <si>
    <t>Att slå</t>
  </si>
  <si>
    <t>Bruttoscore</t>
  </si>
  <si>
    <t>Summa</t>
  </si>
  <si>
    <t>Nettoscore</t>
  </si>
  <si>
    <t>Snitt</t>
  </si>
  <si>
    <t xml:space="preserve"> Resultat Netto</t>
  </si>
  <si>
    <t>Spelade</t>
  </si>
  <si>
    <t>Banor</t>
  </si>
  <si>
    <t>Holm</t>
  </si>
  <si>
    <t>Bäckavattnet</t>
  </si>
  <si>
    <t>Tönnersjö</t>
  </si>
  <si>
    <t>Flädje</t>
  </si>
  <si>
    <t>Falkenberg</t>
  </si>
  <si>
    <t>Laholm</t>
  </si>
  <si>
    <t>Björnhult</t>
  </si>
  <si>
    <t>Isaberg</t>
  </si>
  <si>
    <t>Ringenäs</t>
  </si>
  <si>
    <t>Vasatorp</t>
  </si>
  <si>
    <t>Haverdal</t>
  </si>
  <si>
    <t>Skogaby</t>
  </si>
  <si>
    <t>Rydö</t>
  </si>
  <si>
    <t>Bana</t>
  </si>
  <si>
    <t>Brutto</t>
  </si>
  <si>
    <t>Netto</t>
  </si>
  <si>
    <t>Bästa res</t>
  </si>
  <si>
    <t>Antal ggr</t>
  </si>
  <si>
    <t>Dreamscore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</si>
  <si>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</si>
  <si>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</si>
  <si>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</si>
  <si>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</si>
  <si>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</si>
  <si>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</si>
  <si>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</si>
  <si>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</si>
  <si>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</si>
  <si>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Strandahl</t>
  </si>
  <si>
    <t>Här kan du se hur det gått hål för hål</t>
  </si>
  <si>
    <t>Par</t>
  </si>
  <si>
    <t>Score</t>
  </si>
  <si>
    <t>PL</t>
  </si>
  <si>
    <t>Ahead</t>
  </si>
  <si>
    <t>Spelare för spelare</t>
  </si>
  <si>
    <t>Här ser ni era scorekort baserade på över och under par</t>
  </si>
  <si>
    <t>HCP</t>
  </si>
  <si>
    <t>Vinberg</t>
  </si>
  <si>
    <t xml:space="preserve"> </t>
  </si>
  <si>
    <t>Snittscore</t>
  </si>
  <si>
    <t>Båstad Gamla</t>
  </si>
  <si>
    <t>Båstad Nya</t>
  </si>
  <si>
    <t>Bästa</t>
  </si>
  <si>
    <t>92</t>
  </si>
  <si>
    <t>Poäng</t>
  </si>
  <si>
    <t>Anm</t>
  </si>
  <si>
    <t>Dundonald Links</t>
  </si>
  <si>
    <t>Tylösand S</t>
  </si>
  <si>
    <t>Loch Greenwood</t>
  </si>
  <si>
    <t>Åkagårdens GK</t>
  </si>
  <si>
    <t>Varberg V</t>
  </si>
  <si>
    <t>Niklas</t>
  </si>
  <si>
    <t>Ljung</t>
  </si>
  <si>
    <t xml:space="preserve">Niklas </t>
  </si>
  <si>
    <t>Vittsjö GK</t>
  </si>
  <si>
    <t>PJ</t>
  </si>
  <si>
    <t>Glyssbo</t>
  </si>
  <si>
    <t>Ängelholm</t>
  </si>
  <si>
    <t xml:space="preserve">PJ </t>
  </si>
  <si>
    <t>Varberg Ö</t>
  </si>
  <si>
    <t>Jocke</t>
  </si>
  <si>
    <t>Söder</t>
  </si>
  <si>
    <t>Övriga</t>
  </si>
  <si>
    <t>St Arild</t>
  </si>
  <si>
    <t>Torekov</t>
  </si>
  <si>
    <t>Örkelljunga</t>
  </si>
  <si>
    <t>La Manga South</t>
  </si>
  <si>
    <t>La Manga North</t>
  </si>
  <si>
    <t>Reftele</t>
  </si>
  <si>
    <t>Bjäre GK</t>
  </si>
  <si>
    <t>Morgan</t>
  </si>
  <si>
    <t>98.3</t>
  </si>
  <si>
    <t>Woodland</t>
  </si>
  <si>
    <t>Quinta de Marinha</t>
  </si>
  <si>
    <t>Penna Longa</t>
  </si>
  <si>
    <t>Parmlöv</t>
  </si>
  <si>
    <t>Niclas</t>
  </si>
  <si>
    <t>Lagan</t>
  </si>
  <si>
    <t>Bogeys</t>
  </si>
  <si>
    <t>Dubbel</t>
  </si>
  <si>
    <t>Trippel</t>
  </si>
  <si>
    <t>Quattro</t>
  </si>
  <si>
    <t>Shit</t>
  </si>
  <si>
    <t>Antal</t>
  </si>
  <si>
    <t>Procent</t>
  </si>
  <si>
    <t>Liga riktvärde</t>
  </si>
  <si>
    <t>Liga Procent</t>
  </si>
  <si>
    <t>Prospect</t>
  </si>
  <si>
    <t>Kolumn1</t>
  </si>
  <si>
    <t xml:space="preserve">Stefan </t>
  </si>
  <si>
    <t>Brutto 1</t>
  </si>
  <si>
    <t>Brutto 2</t>
  </si>
  <si>
    <t>Netto 1</t>
  </si>
  <si>
    <t>Netto 2</t>
  </si>
  <si>
    <t>Spelare</t>
  </si>
  <si>
    <t>Namn</t>
  </si>
  <si>
    <t>Lag</t>
  </si>
  <si>
    <t>Lag2</t>
  </si>
  <si>
    <t>Totalt N</t>
  </si>
  <si>
    <t>Totalt B</t>
  </si>
  <si>
    <t>Samla Par</t>
  </si>
  <si>
    <t>Samla birdie</t>
  </si>
  <si>
    <t>Prognos</t>
  </si>
  <si>
    <t>Hur gick det</t>
  </si>
  <si>
    <t>Öijared Gamla</t>
  </si>
  <si>
    <t>Öijared Nya</t>
  </si>
  <si>
    <t>Källström</t>
  </si>
  <si>
    <t>Tidigare år</t>
  </si>
  <si>
    <t>Form-Ind</t>
  </si>
  <si>
    <t>ATP</t>
  </si>
  <si>
    <t>PGA</t>
  </si>
  <si>
    <t>Player</t>
  </si>
  <si>
    <t>Rank</t>
  </si>
  <si>
    <t>Name</t>
  </si>
  <si>
    <t>Bd/P</t>
  </si>
  <si>
    <t>Roman Course</t>
  </si>
  <si>
    <t>Twenty Ten</t>
  </si>
  <si>
    <t xml:space="preserve"> B Johansson</t>
  </si>
  <si>
    <t>L Johansson</t>
  </si>
  <si>
    <t>x,Stefan,Peter,Magnus,Borje,Micke,Goran,Simonsson,Kallstrom,Thomas,Claes,Niklas,Strandahl,Jocke,PJ,Lalle</t>
  </si>
  <si>
    <t>string,number,number,number,number,number,number,number,number,number,number,number,number,number,number,number</t>
  </si>
  <si>
    <t>R1,73,76,76,71,72,79,79,81,77,83,89,81,79,97,91</t>
  </si>
  <si>
    <t>R2,,,,,,,,,,,,,,,</t>
  </si>
  <si>
    <t>R3,,,,,,,,,,,,,,,</t>
  </si>
  <si>
    <t>R4,,,,,,,,,,,,,,,</t>
  </si>
  <si>
    <t>R5,,,,,,,,,,,,,,,</t>
  </si>
  <si>
    <t>R6,,,,,,,,,,,,,,,</t>
  </si>
  <si>
    <t>R7,,,,,,,,,,,,,,,</t>
  </si>
  <si>
    <t>R8,,,,,,,,,,,,,,,</t>
  </si>
  <si>
    <t>R9,,,,,,,,,,,,,,,</t>
  </si>
  <si>
    <t>B Johansson</t>
  </si>
  <si>
    <t>Black Eagles</t>
  </si>
  <si>
    <t>Green Hawks</t>
  </si>
  <si>
    <t>Blue Vultures</t>
  </si>
  <si>
    <t>Purple Ospreys</t>
  </si>
  <si>
    <t>White Albatrows</t>
  </si>
  <si>
    <t>Yellow Olws</t>
  </si>
  <si>
    <t>Red Falcons</t>
  </si>
  <si>
    <t>B Best</t>
  </si>
  <si>
    <t>N Best</t>
  </si>
  <si>
    <t>Tylösand Norra</t>
  </si>
  <si>
    <t>Hässlegården</t>
  </si>
  <si>
    <t>Kent</t>
  </si>
  <si>
    <t>Ligan 2021</t>
  </si>
  <si>
    <t>Ligan 2020</t>
  </si>
  <si>
    <t>K Johansson</t>
  </si>
  <si>
    <t xml:space="preserve"> oktober -2021</t>
  </si>
  <si>
    <t>Wherever we go</t>
  </si>
  <si>
    <t>Örestads GK</t>
  </si>
  <si>
    <t>Nu</t>
  </si>
  <si>
    <t>Med</t>
  </si>
  <si>
    <t>med</t>
  </si>
  <si>
    <t>jmf 2020 Netto</t>
  </si>
  <si>
    <t>Jmf 09-20 Netto</t>
  </si>
  <si>
    <t>Jmf 2020 Brutto</t>
  </si>
  <si>
    <t>Jmf 09-20 Brutto</t>
  </si>
  <si>
    <t>jmf 20</t>
  </si>
  <si>
    <t>jmf 09-20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</si>
</sst>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&quot;kr&quot;"/>
    <numFmt numFmtId="166" formatCode="[$$-409]#,##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C000"/>
      <name val="Arial"/>
      <family val="2"/>
    </font>
    <font>
      <b/>
      <sz val="10"/>
      <color rgb="FFFFC000"/>
      <name val="Arial"/>
      <family val="2"/>
    </font>
    <font>
      <sz val="11"/>
      <color rgb="FFFFC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 tint="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0"/>
      <color rgb="FFFFC000"/>
      <name val="Arial"/>
    </font>
    <font>
      <sz val="10"/>
      <name val="Arial"/>
    </font>
    <font>
      <b/>
      <sz val="11"/>
      <color theme="1"/>
      <name val="Calibri"/>
      <scheme val="minor"/>
    </font>
    <font>
      <sz val="18"/>
      <color theme="0"/>
      <name val="Harlow Solid Italic"/>
      <family val="5"/>
    </font>
    <font>
      <b/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1" tint="4.9989318521683403E-2"/>
      <name val="Calibri"/>
      <scheme val="minor"/>
    </font>
    <font>
      <sz val="8"/>
      <name val="Calibri"/>
      <family val="2"/>
      <scheme val="minor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/>
        <bgColor theme="9"/>
      </patternFill>
    </fill>
    <fill>
      <patternFill patternType="solid">
        <fgColor theme="1" tint="0.44999542222357858"/>
        <bgColor theme="1" tint="0.44999542222357858"/>
      </patternFill>
    </fill>
    <fill>
      <patternFill patternType="solid">
        <fgColor theme="6" tint="-0.499984740745262"/>
        <bgColor theme="6" tint="-0.499984740745262"/>
      </patternFill>
    </fill>
    <fill>
      <patternFill patternType="solid">
        <fgColor theme="6"/>
        <bgColor theme="6"/>
      </patternFill>
    </fill>
    <fill>
      <patternFill patternType="solid">
        <fgColor rgb="FFA8ED85"/>
        <bgColor indexed="64"/>
      </patternFill>
    </fill>
    <fill>
      <patternFill patternType="solid">
        <fgColor theme="2" tint="-0.89999084444715716"/>
        <bgColor theme="6" tint="-0.249977111117893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4.9989318521683403E-2"/>
        <bgColor theme="6"/>
      </patternFill>
    </fill>
    <fill>
      <patternFill patternType="solid">
        <fgColor theme="1" tint="4.9989318521683403E-2"/>
        <bgColor theme="6" tint="-0.249977111117893"/>
      </patternFill>
    </fill>
    <fill>
      <patternFill patternType="solid">
        <fgColor theme="9" tint="-0.499984740745262"/>
        <bgColor theme="9" tint="-0.499984740745262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360">
    <xf numFmtId="0" fontId="0" fillId="0" borderId="0" xfId="0"/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0" fillId="35" borderId="0" xfId="0" applyFill="1"/>
    <xf numFmtId="0" fontId="18" fillId="0" borderId="14" xfId="42" applyFont="1" applyFill="1" applyBorder="1"/>
    <xf numFmtId="0" fontId="18" fillId="0" borderId="26" xfId="42" applyFont="1" applyFill="1" applyBorder="1"/>
    <xf numFmtId="0" fontId="18" fillId="0" borderId="25" xfId="42" applyFont="1" applyFill="1" applyBorder="1"/>
    <xf numFmtId="0" fontId="18" fillId="0" borderId="39" xfId="42" applyFont="1" applyFill="1" applyBorder="1"/>
    <xf numFmtId="0" fontId="17" fillId="35" borderId="0" xfId="0" applyFont="1" applyFill="1"/>
    <xf numFmtId="0" fontId="20" fillId="0" borderId="10" xfId="42" applyFont="1" applyFill="1" applyBorder="1"/>
    <xf numFmtId="0" fontId="20" fillId="0" borderId="38" xfId="42" applyFont="1" applyFill="1" applyBorder="1"/>
    <xf numFmtId="0" fontId="0" fillId="0" borderId="0" xfId="0" applyFill="1" applyBorder="1"/>
    <xf numFmtId="0" fontId="13" fillId="0" borderId="12" xfId="0" applyFont="1" applyFill="1" applyBorder="1"/>
    <xf numFmtId="0" fontId="22" fillId="0" borderId="14" xfId="42" applyFont="1" applyFill="1" applyBorder="1"/>
    <xf numFmtId="0" fontId="22" fillId="0" borderId="26" xfId="42" applyFont="1" applyFill="1" applyBorder="1"/>
    <xf numFmtId="0" fontId="13" fillId="0" borderId="40" xfId="0" applyFont="1" applyFill="1" applyBorder="1"/>
    <xf numFmtId="0" fontId="0" fillId="35" borderId="0" xfId="0" applyFill="1" applyAlignment="1">
      <alignment horizontal="center"/>
    </xf>
    <xf numFmtId="0" fontId="13" fillId="36" borderId="17" xfId="0" applyFont="1" applyFill="1" applyBorder="1" applyAlignment="1">
      <alignment horizontal="center"/>
    </xf>
    <xf numFmtId="0" fontId="13" fillId="37" borderId="28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13" fillId="38" borderId="17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3" fillId="36" borderId="46" xfId="0" applyFont="1" applyFill="1" applyBorder="1" applyAlignment="1">
      <alignment horizontal="center"/>
    </xf>
    <xf numFmtId="0" fontId="13" fillId="36" borderId="40" xfId="0" applyFont="1" applyFill="1" applyBorder="1" applyAlignment="1">
      <alignment horizontal="center"/>
    </xf>
    <xf numFmtId="0" fontId="13" fillId="36" borderId="18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2" fillId="0" borderId="35" xfId="42" applyFont="1" applyFill="1" applyBorder="1"/>
    <xf numFmtId="0" fontId="22" fillId="0" borderId="36" xfId="42" applyFont="1" applyFill="1" applyBorder="1"/>
    <xf numFmtId="0" fontId="0" fillId="0" borderId="2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0" borderId="44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0" fontId="0" fillId="0" borderId="43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35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43" xfId="0" applyNumberFormat="1" applyFont="1" applyFill="1" applyBorder="1" applyAlignment="1">
      <alignment horizontal="center"/>
    </xf>
    <xf numFmtId="0" fontId="16" fillId="0" borderId="12" xfId="0" applyNumberFormat="1" applyFont="1" applyFill="1" applyBorder="1" applyAlignment="1">
      <alignment horizontal="center"/>
    </xf>
    <xf numFmtId="0" fontId="16" fillId="0" borderId="23" xfId="0" applyNumberFormat="1" applyFont="1" applyFill="1" applyBorder="1" applyAlignment="1">
      <alignment horizontal="center"/>
    </xf>
    <xf numFmtId="0" fontId="0" fillId="35" borderId="0" xfId="0" applyFont="1" applyFill="1" applyBorder="1"/>
    <xf numFmtId="0" fontId="0" fillId="35" borderId="0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16" fillId="0" borderId="42" xfId="0" applyFont="1" applyFill="1" applyBorder="1" applyAlignment="1">
      <alignment horizontal="center"/>
    </xf>
    <xf numFmtId="0" fontId="16" fillId="0" borderId="32" xfId="0" applyNumberFormat="1" applyFont="1" applyFill="1" applyBorder="1" applyAlignment="1">
      <alignment horizontal="center"/>
    </xf>
    <xf numFmtId="0" fontId="16" fillId="0" borderId="34" xfId="0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0" fontId="0" fillId="34" borderId="0" xfId="0" applyFont="1" applyFill="1" applyBorder="1"/>
    <xf numFmtId="0" fontId="20" fillId="0" borderId="12" xfId="42" applyFont="1" applyFill="1" applyBorder="1" applyAlignment="1">
      <alignment horizontal="center"/>
    </xf>
    <xf numFmtId="0" fontId="24" fillId="0" borderId="31" xfId="42" applyFont="1" applyFill="1" applyBorder="1"/>
    <xf numFmtId="0" fontId="20" fillId="0" borderId="32" xfId="42" applyNumberFormat="1" applyFont="1" applyFill="1" applyBorder="1" applyAlignment="1">
      <alignment horizontal="center"/>
    </xf>
    <xf numFmtId="0" fontId="17" fillId="0" borderId="32" xfId="0" applyNumberFormat="1" applyFont="1" applyFill="1" applyBorder="1" applyAlignment="1">
      <alignment horizontal="center"/>
    </xf>
    <xf numFmtId="0" fontId="24" fillId="0" borderId="33" xfId="42" applyFont="1" applyFill="1" applyBorder="1"/>
    <xf numFmtId="0" fontId="17" fillId="0" borderId="34" xfId="0" applyNumberFormat="1" applyFont="1" applyFill="1" applyBorder="1" applyAlignment="1">
      <alignment horizontal="center"/>
    </xf>
    <xf numFmtId="0" fontId="0" fillId="35" borderId="0" xfId="0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0" fontId="25" fillId="35" borderId="0" xfId="0" applyFont="1" applyFill="1"/>
    <xf numFmtId="0" fontId="0" fillId="0" borderId="10" xfId="0" applyFill="1" applyBorder="1" applyAlignment="1">
      <alignment horizontal="center"/>
    </xf>
    <xf numFmtId="0" fontId="0" fillId="0" borderId="39" xfId="0" applyNumberFormat="1" applyFill="1" applyBorder="1" applyAlignment="1">
      <alignment horizontal="center"/>
    </xf>
    <xf numFmtId="0" fontId="27" fillId="35" borderId="51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1" fontId="16" fillId="0" borderId="43" xfId="0" applyNumberFormat="1" applyFont="1" applyFill="1" applyBorder="1" applyAlignment="1">
      <alignment horizontal="center"/>
    </xf>
    <xf numFmtId="1" fontId="16" fillId="0" borderId="12" xfId="0" applyNumberFormat="1" applyFont="1" applyFill="1" applyBorder="1" applyAlignment="1">
      <alignment horizontal="center"/>
    </xf>
    <xf numFmtId="1" fontId="16" fillId="0" borderId="23" xfId="0" applyNumberFormat="1" applyFont="1" applyFill="1" applyBorder="1" applyAlignment="1">
      <alignment horizontal="center"/>
    </xf>
    <xf numFmtId="0" fontId="0" fillId="33" borderId="50" xfId="0" applyFill="1" applyBorder="1" applyAlignment="1">
      <alignment horizontal="center"/>
    </xf>
    <xf numFmtId="0" fontId="27" fillId="35" borderId="52" xfId="0" applyFont="1" applyFill="1" applyBorder="1" applyAlignment="1">
      <alignment horizontal="center"/>
    </xf>
    <xf numFmtId="0" fontId="0" fillId="38" borderId="0" xfId="0" applyFill="1"/>
    <xf numFmtId="0" fontId="17" fillId="38" borderId="0" xfId="0" applyFont="1" applyFill="1"/>
    <xf numFmtId="0" fontId="28" fillId="38" borderId="0" xfId="0" applyFont="1" applyFill="1"/>
    <xf numFmtId="0" fontId="22" fillId="0" borderId="10" xfId="42" applyFont="1" applyFill="1" applyBorder="1"/>
    <xf numFmtId="0" fontId="22" fillId="0" borderId="38" xfId="42" applyFont="1" applyFill="1" applyBorder="1"/>
    <xf numFmtId="0" fontId="17" fillId="38" borderId="12" xfId="0" applyFont="1" applyFill="1" applyBorder="1"/>
    <xf numFmtId="0" fontId="0" fillId="0" borderId="11" xfId="0" applyNumberFormat="1" applyFill="1" applyBorder="1"/>
    <xf numFmtId="0" fontId="0" fillId="0" borderId="12" xfId="0" applyNumberFormat="1" applyFill="1" applyBorder="1"/>
    <xf numFmtId="0" fontId="17" fillId="0" borderId="38" xfId="0" applyNumberFormat="1" applyFont="1" applyFill="1" applyBorder="1"/>
    <xf numFmtId="0" fontId="16" fillId="0" borderId="38" xfId="0" applyNumberFormat="1" applyFont="1" applyFill="1" applyBorder="1"/>
    <xf numFmtId="0" fontId="16" fillId="0" borderId="13" xfId="0" applyNumberFormat="1" applyFont="1" applyFill="1" applyBorder="1"/>
    <xf numFmtId="0" fontId="0" fillId="38" borderId="0" xfId="0" applyFill="1" applyAlignment="1">
      <alignment horizontal="center"/>
    </xf>
    <xf numFmtId="0" fontId="17" fillId="38" borderId="12" xfId="0" applyFont="1" applyFill="1" applyBorder="1" applyAlignment="1">
      <alignment horizontal="center"/>
    </xf>
    <xf numFmtId="0" fontId="25" fillId="38" borderId="0" xfId="0" applyFont="1" applyFill="1" applyAlignment="1">
      <alignment horizontal="center"/>
    </xf>
    <xf numFmtId="0" fontId="0" fillId="41" borderId="12" xfId="0" applyFill="1" applyBorder="1" applyAlignment="1">
      <alignment horizontal="center"/>
    </xf>
    <xf numFmtId="0" fontId="0" fillId="42" borderId="12" xfId="0" applyFill="1" applyBorder="1" applyAlignment="1">
      <alignment horizontal="center"/>
    </xf>
    <xf numFmtId="0" fontId="0" fillId="40" borderId="12" xfId="0" applyFill="1" applyBorder="1" applyAlignment="1">
      <alignment horizontal="center"/>
    </xf>
    <xf numFmtId="0" fontId="0" fillId="39" borderId="12" xfId="0" applyFill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5" fillId="38" borderId="0" xfId="0" applyFont="1" applyFill="1" applyAlignment="1">
      <alignment horizontal="left"/>
    </xf>
    <xf numFmtId="0" fontId="0" fillId="38" borderId="0" xfId="0" applyFont="1" applyFill="1" applyAlignment="1">
      <alignment horizontal="center"/>
    </xf>
    <xf numFmtId="0" fontId="17" fillId="35" borderId="0" xfId="0" applyFont="1" applyFill="1" applyAlignment="1">
      <alignment horizontal="center"/>
    </xf>
    <xf numFmtId="0" fontId="20" fillId="0" borderId="24" xfId="42" applyFont="1" applyFill="1" applyBorder="1"/>
    <xf numFmtId="0" fontId="20" fillId="0" borderId="13" xfId="42" applyFont="1" applyFill="1" applyBorder="1"/>
    <xf numFmtId="0" fontId="20" fillId="0" borderId="14" xfId="42" applyFont="1" applyFill="1" applyBorder="1"/>
    <xf numFmtId="0" fontId="20" fillId="0" borderId="26" xfId="42" applyFont="1" applyFill="1" applyBorder="1"/>
    <xf numFmtId="0" fontId="17" fillId="0" borderId="28" xfId="0" applyFont="1" applyFill="1" applyBorder="1" applyAlignment="1">
      <alignment horizontal="center"/>
    </xf>
    <xf numFmtId="0" fontId="13" fillId="0" borderId="38" xfId="0" applyNumberFormat="1" applyFont="1" applyFill="1" applyBorder="1"/>
    <xf numFmtId="0" fontId="17" fillId="0" borderId="27" xfId="0" applyNumberFormat="1" applyFont="1" applyFill="1" applyBorder="1" applyAlignment="1">
      <alignment horizontal="center"/>
    </xf>
    <xf numFmtId="0" fontId="13" fillId="0" borderId="13" xfId="0" applyNumberFormat="1" applyFont="1" applyFill="1" applyBorder="1"/>
    <xf numFmtId="0" fontId="17" fillId="0" borderId="44" xfId="0" applyNumberFormat="1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16" fillId="33" borderId="15" xfId="0" applyFont="1" applyFill="1" applyBorder="1" applyAlignment="1">
      <alignment horizontal="left"/>
    </xf>
    <xf numFmtId="0" fontId="16" fillId="33" borderId="16" xfId="0" applyFont="1" applyFill="1" applyBorder="1" applyAlignment="1">
      <alignment horizontal="left"/>
    </xf>
    <xf numFmtId="0" fontId="16" fillId="33" borderId="17" xfId="0" applyFont="1" applyFill="1" applyBorder="1" applyAlignment="1">
      <alignment horizontal="left"/>
    </xf>
    <xf numFmtId="165" fontId="0" fillId="43" borderId="53" xfId="0" applyNumberForma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4" xfId="0" applyNumberFormat="1" applyFill="1" applyBorder="1" applyAlignment="1">
      <alignment horizontal="center"/>
    </xf>
    <xf numFmtId="0" fontId="0" fillId="0" borderId="0" xfId="0" applyFill="1"/>
    <xf numFmtId="0" fontId="26" fillId="0" borderId="55" xfId="0" applyFont="1" applyFill="1" applyBorder="1" applyAlignment="1">
      <alignment horizontal="center"/>
    </xf>
    <xf numFmtId="0" fontId="26" fillId="0" borderId="56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20" fillId="44" borderId="0" xfId="42" applyFont="1" applyFill="1" applyBorder="1"/>
    <xf numFmtId="0" fontId="16" fillId="44" borderId="0" xfId="0" applyFont="1" applyFill="1" applyBorder="1" applyAlignment="1">
      <alignment horizontal="center"/>
    </xf>
    <xf numFmtId="0" fontId="16" fillId="44" borderId="0" xfId="0" applyNumberFormat="1" applyFont="1" applyFill="1" applyBorder="1"/>
    <xf numFmtId="0" fontId="13" fillId="36" borderId="21" xfId="0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8" fillId="0" borderId="50" xfId="42" applyFont="1" applyFill="1" applyBorder="1"/>
    <xf numFmtId="0" fontId="18" fillId="0" borderId="54" xfId="42" applyFont="1" applyFill="1" applyBorder="1"/>
    <xf numFmtId="0" fontId="0" fillId="0" borderId="15" xfId="0" applyNumberFormat="1" applyFill="1" applyBorder="1" applyAlignment="1">
      <alignment horizontal="center"/>
    </xf>
    <xf numFmtId="0" fontId="16" fillId="0" borderId="17" xfId="0" applyNumberFormat="1" applyFont="1" applyFill="1" applyBorder="1" applyAlignment="1">
      <alignment horizontal="center"/>
    </xf>
    <xf numFmtId="0" fontId="18" fillId="0" borderId="59" xfId="42" applyFont="1" applyFill="1" applyBorder="1"/>
    <xf numFmtId="0" fontId="18" fillId="0" borderId="60" xfId="42" applyFont="1" applyFill="1" applyBorder="1"/>
    <xf numFmtId="0" fontId="22" fillId="0" borderId="50" xfId="42" applyFont="1" applyFill="1" applyBorder="1"/>
    <xf numFmtId="0" fontId="22" fillId="0" borderId="54" xfId="42" applyFont="1" applyFill="1" applyBorder="1"/>
    <xf numFmtId="0" fontId="22" fillId="0" borderId="24" xfId="42" applyFont="1" applyFill="1" applyBorder="1"/>
    <xf numFmtId="0" fontId="22" fillId="0" borderId="13" xfId="42" applyFont="1" applyFill="1" applyBorder="1"/>
    <xf numFmtId="0" fontId="13" fillId="0" borderId="41" xfId="0" applyFont="1" applyFill="1" applyBorder="1"/>
    <xf numFmtId="0" fontId="0" fillId="0" borderId="46" xfId="0" applyNumberFormat="1" applyFill="1" applyBorder="1" applyAlignment="1">
      <alignment horizontal="center"/>
    </xf>
    <xf numFmtId="0" fontId="16" fillId="0" borderId="45" xfId="0" applyNumberFormat="1" applyFont="1" applyFill="1" applyBorder="1" applyAlignment="1">
      <alignment horizontal="center"/>
    </xf>
    <xf numFmtId="0" fontId="16" fillId="0" borderId="18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22" fillId="0" borderId="12" xfId="42" applyFont="1" applyFill="1" applyBorder="1"/>
    <xf numFmtId="0" fontId="18" fillId="0" borderId="12" xfId="42" applyFont="1" applyFill="1" applyBorder="1"/>
    <xf numFmtId="0" fontId="0" fillId="35" borderId="0" xfId="0" applyFill="1" applyBorder="1"/>
    <xf numFmtId="0" fontId="22" fillId="0" borderId="29" xfId="42" applyFont="1" applyFill="1" applyBorder="1"/>
    <xf numFmtId="0" fontId="22" fillId="0" borderId="43" xfId="42" applyFont="1" applyFill="1" applyBorder="1"/>
    <xf numFmtId="0" fontId="0" fillId="0" borderId="43" xfId="0" applyFill="1" applyBorder="1" applyAlignment="1">
      <alignment horizontal="center"/>
    </xf>
    <xf numFmtId="0" fontId="16" fillId="0" borderId="30" xfId="0" applyNumberFormat="1" applyFont="1" applyFill="1" applyBorder="1" applyAlignment="1">
      <alignment horizontal="center"/>
    </xf>
    <xf numFmtId="0" fontId="22" fillId="0" borderId="31" xfId="42" applyFont="1" applyFill="1" applyBorder="1"/>
    <xf numFmtId="0" fontId="18" fillId="0" borderId="31" xfId="42" applyFont="1" applyFill="1" applyBorder="1"/>
    <xf numFmtId="0" fontId="18" fillId="0" borderId="33" xfId="42" applyFont="1" applyFill="1" applyBorder="1"/>
    <xf numFmtId="0" fontId="18" fillId="0" borderId="58" xfId="42" applyFont="1" applyFill="1" applyBorder="1"/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26" fillId="0" borderId="61" xfId="0" applyFont="1" applyFill="1" applyBorder="1" applyAlignment="1">
      <alignment horizontal="center"/>
    </xf>
    <xf numFmtId="0" fontId="31" fillId="0" borderId="14" xfId="42" applyFont="1" applyFill="1" applyBorder="1"/>
    <xf numFmtId="0" fontId="31" fillId="0" borderId="26" xfId="42" applyFont="1" applyFill="1" applyBorder="1"/>
    <xf numFmtId="0" fontId="32" fillId="0" borderId="12" xfId="0" applyNumberFormat="1" applyFon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17" fillId="0" borderId="12" xfId="42" applyFont="1" applyFill="1" applyBorder="1" applyAlignment="1">
      <alignment horizontal="center"/>
    </xf>
    <xf numFmtId="0" fontId="34" fillId="0" borderId="28" xfId="0" applyNumberFormat="1" applyFont="1" applyFill="1" applyBorder="1"/>
    <xf numFmtId="0" fontId="18" fillId="0" borderId="24" xfId="42" applyFont="1" applyFill="1" applyBorder="1"/>
    <xf numFmtId="0" fontId="18" fillId="0" borderId="13" xfId="42" applyFont="1" applyFill="1" applyBorder="1"/>
    <xf numFmtId="0" fontId="33" fillId="38" borderId="10" xfId="42" applyFont="1" applyFill="1" applyBorder="1"/>
    <xf numFmtId="0" fontId="33" fillId="38" borderId="38" xfId="42" applyFont="1" applyFill="1" applyBorder="1"/>
    <xf numFmtId="0" fontId="16" fillId="38" borderId="11" xfId="0" applyFont="1" applyFill="1" applyBorder="1" applyAlignment="1">
      <alignment horizontal="center"/>
    </xf>
    <xf numFmtId="0" fontId="34" fillId="38" borderId="28" xfId="0" applyNumberFormat="1" applyFont="1" applyFill="1" applyBorder="1"/>
    <xf numFmtId="0" fontId="37" fillId="0" borderId="27" xfId="0" applyNumberFormat="1" applyFont="1" applyFill="1" applyBorder="1" applyAlignment="1">
      <alignment horizontal="center"/>
    </xf>
    <xf numFmtId="0" fontId="39" fillId="0" borderId="25" xfId="0" applyNumberFormat="1" applyFont="1" applyFill="1" applyBorder="1" applyAlignment="1" applyProtection="1"/>
    <xf numFmtId="0" fontId="39" fillId="0" borderId="39" xfId="0" applyNumberFormat="1" applyFont="1" applyFill="1" applyBorder="1" applyAlignment="1" applyProtection="1"/>
    <xf numFmtId="0" fontId="40" fillId="0" borderId="23" xfId="0" applyNumberFormat="1" applyFont="1" applyFill="1" applyBorder="1" applyAlignment="1">
      <alignment horizontal="center"/>
    </xf>
    <xf numFmtId="0" fontId="18" fillId="0" borderId="50" xfId="0" applyNumberFormat="1" applyFont="1" applyFill="1" applyBorder="1" applyAlignment="1" applyProtection="1"/>
    <xf numFmtId="0" fontId="18" fillId="0" borderId="54" xfId="0" applyNumberFormat="1" applyFont="1" applyFill="1" applyBorder="1" applyAlignment="1" applyProtection="1"/>
    <xf numFmtId="1" fontId="16" fillId="0" borderId="51" xfId="0" applyNumberFormat="1" applyFont="1" applyFill="1" applyBorder="1" applyAlignment="1">
      <alignment horizontal="center"/>
    </xf>
    <xf numFmtId="0" fontId="13" fillId="38" borderId="0" xfId="0" applyFont="1" applyFill="1" applyAlignment="1">
      <alignment horizontal="center"/>
    </xf>
    <xf numFmtId="10" fontId="25" fillId="38" borderId="0" xfId="0" applyNumberFormat="1" applyFont="1" applyFill="1"/>
    <xf numFmtId="0" fontId="13" fillId="38" borderId="0" xfId="0" applyFont="1" applyFill="1"/>
    <xf numFmtId="0" fontId="42" fillId="38" borderId="0" xfId="0" applyFont="1" applyFill="1" applyAlignment="1">
      <alignment horizontal="center"/>
    </xf>
    <xf numFmtId="0" fontId="42" fillId="38" borderId="0" xfId="0" applyFont="1" applyFill="1"/>
    <xf numFmtId="10" fontId="43" fillId="38" borderId="0" xfId="0" applyNumberFormat="1" applyFont="1" applyFill="1"/>
    <xf numFmtId="0" fontId="0" fillId="0" borderId="23" xfId="0" applyNumberFormat="1" applyFill="1" applyBorder="1"/>
    <xf numFmtId="0" fontId="0" fillId="46" borderId="12" xfId="0" applyFill="1" applyBorder="1" applyAlignment="1">
      <alignment horizontal="center"/>
    </xf>
    <xf numFmtId="0" fontId="17" fillId="38" borderId="47" xfId="0" applyFont="1" applyFill="1" applyBorder="1" applyAlignment="1">
      <alignment horizontal="center"/>
    </xf>
    <xf numFmtId="0" fontId="0" fillId="48" borderId="0" xfId="0" applyFill="1"/>
    <xf numFmtId="0" fontId="41" fillId="48" borderId="0" xfId="0" applyFont="1" applyFill="1"/>
    <xf numFmtId="0" fontId="0" fillId="49" borderId="0" xfId="0" applyFill="1" applyBorder="1"/>
    <xf numFmtId="0" fontId="0" fillId="47" borderId="0" xfId="0" applyFill="1" applyBorder="1"/>
    <xf numFmtId="0" fontId="0" fillId="46" borderId="0" xfId="0" applyFill="1" applyBorder="1"/>
    <xf numFmtId="0" fontId="0" fillId="48" borderId="0" xfId="0" applyFill="1" applyAlignment="1">
      <alignment horizontal="center"/>
    </xf>
    <xf numFmtId="0" fontId="0" fillId="48" borderId="0" xfId="0" applyFill="1" applyBorder="1"/>
    <xf numFmtId="0" fontId="0" fillId="0" borderId="28" xfId="0" applyNumberForma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2" fontId="0" fillId="33" borderId="15" xfId="0" applyNumberFormat="1" applyFill="1" applyBorder="1"/>
    <xf numFmtId="2" fontId="0" fillId="33" borderId="16" xfId="0" applyNumberFormat="1" applyFill="1" applyBorder="1"/>
    <xf numFmtId="2" fontId="0" fillId="33" borderId="17" xfId="0" applyNumberFormat="1" applyFill="1" applyBorder="1"/>
    <xf numFmtId="2" fontId="0" fillId="48" borderId="0" xfId="0" applyNumberFormat="1" applyFill="1"/>
    <xf numFmtId="2" fontId="0" fillId="33" borderId="20" xfId="0" applyNumberFormat="1" applyFill="1" applyBorder="1"/>
    <xf numFmtId="0" fontId="0" fillId="0" borderId="63" xfId="15" applyFont="1" applyFill="1" applyBorder="1" applyAlignment="1">
      <alignment horizontal="center"/>
    </xf>
    <xf numFmtId="2" fontId="0" fillId="0" borderId="62" xfId="15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42" borderId="0" xfId="0" applyFill="1" applyBorder="1"/>
    <xf numFmtId="0" fontId="0" fillId="39" borderId="0" xfId="0" applyFill="1" applyBorder="1"/>
    <xf numFmtId="0" fontId="0" fillId="50" borderId="0" xfId="0" applyFill="1"/>
    <xf numFmtId="10" fontId="0" fillId="50" borderId="0" xfId="0" applyNumberFormat="1" applyFill="1"/>
    <xf numFmtId="0" fontId="0" fillId="0" borderId="10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16" fillId="41" borderId="66" xfId="0" applyNumberFormat="1" applyFont="1" applyFill="1" applyBorder="1" applyAlignment="1">
      <alignment horizontal="center"/>
    </xf>
    <xf numFmtId="0" fontId="16" fillId="41" borderId="65" xfId="0" applyNumberFormat="1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0" fontId="17" fillId="0" borderId="58" xfId="0" applyFont="1" applyFill="1" applyBorder="1" applyAlignment="1">
      <alignment horizontal="center"/>
    </xf>
    <xf numFmtId="0" fontId="16" fillId="41" borderId="18" xfId="0" applyNumberFormat="1" applyFont="1" applyFill="1" applyBorder="1" applyAlignment="1">
      <alignment horizontal="center"/>
    </xf>
    <xf numFmtId="0" fontId="18" fillId="45" borderId="50" xfId="0" applyFont="1" applyFill="1" applyBorder="1"/>
    <xf numFmtId="0" fontId="20" fillId="0" borderId="50" xfId="0" applyFont="1" applyFill="1" applyBorder="1" applyAlignment="1">
      <alignment horizontal="center"/>
    </xf>
    <xf numFmtId="0" fontId="20" fillId="0" borderId="52" xfId="0" applyFont="1" applyFill="1" applyBorder="1" applyAlignment="1">
      <alignment horizontal="center"/>
    </xf>
    <xf numFmtId="0" fontId="17" fillId="0" borderId="52" xfId="0" applyFont="1" applyFill="1" applyBorder="1" applyAlignment="1">
      <alignment horizontal="center"/>
    </xf>
    <xf numFmtId="0" fontId="17" fillId="0" borderId="51" xfId="0" applyFont="1" applyFill="1" applyBorder="1" applyAlignment="1">
      <alignment horizontal="center"/>
    </xf>
    <xf numFmtId="0" fontId="17" fillId="38" borderId="27" xfId="0" applyFont="1" applyFill="1" applyBorder="1" applyAlignment="1">
      <alignment horizontal="center"/>
    </xf>
    <xf numFmtId="0" fontId="0" fillId="51" borderId="0" xfId="0" applyFill="1"/>
    <xf numFmtId="0" fontId="0" fillId="51" borderId="0" xfId="0" applyFill="1" applyAlignment="1">
      <alignment horizontal="center"/>
    </xf>
    <xf numFmtId="0" fontId="17" fillId="51" borderId="0" xfId="0" applyFont="1" applyFill="1"/>
    <xf numFmtId="0" fontId="17" fillId="51" borderId="0" xfId="0" applyFont="1" applyFill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20" fillId="0" borderId="67" xfId="42" applyFont="1" applyFill="1" applyBorder="1"/>
    <xf numFmtId="0" fontId="17" fillId="0" borderId="34" xfId="0" applyFont="1" applyFill="1" applyBorder="1" applyAlignment="1">
      <alignment horizontal="center"/>
    </xf>
    <xf numFmtId="0" fontId="20" fillId="0" borderId="67" xfId="42" applyFont="1" applyFill="1" applyBorder="1" applyAlignment="1">
      <alignment horizontal="center"/>
    </xf>
    <xf numFmtId="0" fontId="26" fillId="0" borderId="30" xfId="0" applyNumberFormat="1" applyFont="1" applyFill="1" applyBorder="1" applyAlignment="1">
      <alignment horizontal="center"/>
    </xf>
    <xf numFmtId="0" fontId="26" fillId="0" borderId="32" xfId="0" applyNumberFormat="1" applyFont="1" applyFill="1" applyBorder="1" applyAlignment="1">
      <alignment horizontal="center"/>
    </xf>
    <xf numFmtId="0" fontId="18" fillId="0" borderId="49" xfId="42" applyFont="1" applyFill="1" applyBorder="1"/>
    <xf numFmtId="164" fontId="26" fillId="0" borderId="58" xfId="0" applyNumberFormat="1" applyFont="1" applyFill="1" applyBorder="1"/>
    <xf numFmtId="0" fontId="26" fillId="0" borderId="58" xfId="0" applyNumberFormat="1" applyFont="1" applyFill="1" applyBorder="1"/>
    <xf numFmtId="0" fontId="26" fillId="0" borderId="34" xfId="0" applyNumberFormat="1" applyFont="1" applyFill="1" applyBorder="1" applyAlignment="1">
      <alignment horizontal="center"/>
    </xf>
    <xf numFmtId="0" fontId="29" fillId="0" borderId="35" xfId="42" applyFont="1" applyFill="1" applyBorder="1" applyAlignment="1">
      <alignment horizontal="center"/>
    </xf>
    <xf numFmtId="164" fontId="26" fillId="0" borderId="64" xfId="0" applyNumberFormat="1" applyFont="1" applyFill="1" applyBorder="1"/>
    <xf numFmtId="0" fontId="22" fillId="0" borderId="30" xfId="42" applyFont="1" applyFill="1" applyBorder="1"/>
    <xf numFmtId="0" fontId="18" fillId="0" borderId="32" xfId="42" applyFont="1" applyFill="1" applyBorder="1"/>
    <xf numFmtId="0" fontId="18" fillId="0" borderId="68" xfId="42" applyFont="1" applyFill="1" applyBorder="1"/>
    <xf numFmtId="0" fontId="18" fillId="0" borderId="34" xfId="42" applyFont="1" applyFill="1" applyBorder="1"/>
    <xf numFmtId="0" fontId="0" fillId="39" borderId="55" xfId="0" applyFill="1" applyBorder="1"/>
    <xf numFmtId="0" fontId="0" fillId="42" borderId="56" xfId="0" applyFill="1" applyBorder="1"/>
    <xf numFmtId="0" fontId="0" fillId="46" borderId="56" xfId="0" applyFill="1" applyBorder="1"/>
    <xf numFmtId="0" fontId="0" fillId="47" borderId="56" xfId="0" applyFill="1" applyBorder="1"/>
    <xf numFmtId="0" fontId="0" fillId="49" borderId="57" xfId="0" applyFill="1" applyBorder="1"/>
    <xf numFmtId="0" fontId="0" fillId="0" borderId="59" xfId="0" applyFont="1" applyFill="1" applyBorder="1"/>
    <xf numFmtId="0" fontId="0" fillId="0" borderId="69" xfId="0" applyFont="1" applyFill="1" applyBorder="1"/>
    <xf numFmtId="0" fontId="0" fillId="0" borderId="69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1" xfId="0" applyFont="1" applyFill="1" applyBorder="1" applyAlignment="1">
      <alignment horizontal="center"/>
    </xf>
    <xf numFmtId="166" fontId="0" fillId="0" borderId="38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166" fontId="0" fillId="0" borderId="26" xfId="0" applyNumberFormat="1" applyFont="1" applyFill="1" applyBorder="1" applyAlignment="1">
      <alignment horizontal="center"/>
    </xf>
    <xf numFmtId="0" fontId="0" fillId="0" borderId="25" xfId="0" applyFont="1" applyFill="1" applyBorder="1"/>
    <xf numFmtId="0" fontId="0" fillId="0" borderId="23" xfId="0" applyFont="1" applyFill="1" applyBorder="1"/>
    <xf numFmtId="0" fontId="0" fillId="0" borderId="23" xfId="0" applyFont="1" applyFill="1" applyBorder="1" applyAlignment="1">
      <alignment horizontal="center"/>
    </xf>
    <xf numFmtId="166" fontId="0" fillId="0" borderId="39" xfId="0" applyNumberFormat="1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30" fillId="0" borderId="21" xfId="0" applyFont="1" applyFill="1" applyBorder="1" applyAlignment="1">
      <alignment horizontal="center"/>
    </xf>
    <xf numFmtId="0" fontId="30" fillId="38" borderId="20" xfId="0" applyFont="1" applyFill="1" applyBorder="1" applyAlignment="1">
      <alignment horizontal="center"/>
    </xf>
    <xf numFmtId="0" fontId="18" fillId="52" borderId="19" xfId="42" applyNumberFormat="1" applyFont="1" applyFill="1" applyBorder="1" applyAlignment="1"/>
    <xf numFmtId="0" fontId="18" fillId="52" borderId="38" xfId="42" applyNumberFormat="1" applyFont="1" applyFill="1" applyBorder="1" applyAlignment="1"/>
    <xf numFmtId="0" fontId="18" fillId="53" borderId="31" xfId="42" applyNumberFormat="1" applyFont="1" applyFill="1" applyBorder="1" applyAlignment="1"/>
    <xf numFmtId="0" fontId="18" fillId="53" borderId="26" xfId="42" applyNumberFormat="1" applyFont="1" applyFill="1" applyBorder="1" applyAlignment="1"/>
    <xf numFmtId="0" fontId="18" fillId="52" borderId="31" xfId="42" applyNumberFormat="1" applyFont="1" applyFill="1" applyBorder="1" applyAlignment="1"/>
    <xf numFmtId="0" fontId="18" fillId="52" borderId="26" xfId="42" applyNumberFormat="1" applyFont="1" applyFill="1" applyBorder="1" applyAlignment="1"/>
    <xf numFmtId="0" fontId="18" fillId="52" borderId="49" xfId="42" applyNumberFormat="1" applyFont="1" applyFill="1" applyBorder="1" applyAlignment="1"/>
    <xf numFmtId="0" fontId="18" fillId="52" borderId="39" xfId="42" applyNumberFormat="1" applyFont="1" applyFill="1" applyBorder="1" applyAlignment="1"/>
    <xf numFmtId="10" fontId="0" fillId="41" borderId="12" xfId="0" applyNumberFormat="1" applyFill="1" applyBorder="1" applyAlignment="1">
      <alignment horizontal="center"/>
    </xf>
    <xf numFmtId="0" fontId="18" fillId="0" borderId="0" xfId="42" applyNumberFormat="1" applyFont="1" applyFill="1" applyBorder="1" applyAlignment="1"/>
    <xf numFmtId="0" fontId="16" fillId="0" borderId="0" xfId="0" applyFont="1"/>
    <xf numFmtId="164" fontId="0" fillId="0" borderId="0" xfId="0" applyNumberFormat="1"/>
    <xf numFmtId="0" fontId="0" fillId="0" borderId="0" xfId="0"/>
    <xf numFmtId="0" fontId="38" fillId="55" borderId="37" xfId="0" applyNumberFormat="1" applyFont="1" applyFill="1" applyBorder="1" applyAlignment="1"/>
    <xf numFmtId="164" fontId="38" fillId="55" borderId="58" xfId="0" applyNumberFormat="1" applyFont="1" applyFill="1" applyBorder="1" applyAlignment="1">
      <alignment horizontal="center"/>
    </xf>
    <xf numFmtId="0" fontId="16" fillId="0" borderId="55" xfId="0" applyFont="1" applyFill="1" applyBorder="1" applyAlignment="1">
      <alignment horizontal="center"/>
    </xf>
    <xf numFmtId="0" fontId="16" fillId="0" borderId="56" xfId="0" applyFont="1" applyFill="1" applyBorder="1" applyAlignment="1">
      <alignment horizontal="center"/>
    </xf>
    <xf numFmtId="0" fontId="16" fillId="0" borderId="61" xfId="0" applyFont="1" applyFill="1" applyBorder="1" applyAlignment="1">
      <alignment horizontal="center"/>
    </xf>
    <xf numFmtId="0" fontId="17" fillId="54" borderId="53" xfId="0" applyFont="1" applyFill="1" applyBorder="1" applyAlignment="1">
      <alignment horizontal="center"/>
    </xf>
    <xf numFmtId="0" fontId="18" fillId="53" borderId="49" xfId="42" applyNumberFormat="1" applyFont="1" applyFill="1" applyBorder="1" applyAlignment="1"/>
    <xf numFmtId="0" fontId="0" fillId="0" borderId="12" xfId="42" applyFont="1" applyFill="1" applyBorder="1" applyAlignment="1">
      <alignment horizontal="center"/>
    </xf>
    <xf numFmtId="0" fontId="24" fillId="0" borderId="12" xfId="42" applyFont="1" applyFill="1" applyBorder="1"/>
    <xf numFmtId="0" fontId="21" fillId="0" borderId="12" xfId="42" applyNumberFormat="1" applyFont="1" applyFill="1" applyBorder="1" applyAlignment="1">
      <alignment horizontal="center"/>
    </xf>
    <xf numFmtId="0" fontId="21" fillId="0" borderId="70" xfId="42" applyFont="1" applyFill="1" applyBorder="1"/>
    <xf numFmtId="0" fontId="21" fillId="0" borderId="13" xfId="42" applyFont="1" applyFill="1" applyBorder="1"/>
    <xf numFmtId="0" fontId="21" fillId="0" borderId="13" xfId="42" applyFont="1" applyFill="1" applyBorder="1" applyAlignment="1">
      <alignment horizontal="center"/>
    </xf>
    <xf numFmtId="0" fontId="21" fillId="0" borderId="67" xfId="42" applyFont="1" applyFill="1" applyBorder="1" applyAlignment="1">
      <alignment horizontal="center"/>
    </xf>
    <xf numFmtId="0" fontId="21" fillId="0" borderId="71" xfId="42" applyFont="1" applyFill="1" applyBorder="1" applyAlignment="1">
      <alignment horizontal="center"/>
    </xf>
    <xf numFmtId="0" fontId="24" fillId="0" borderId="29" xfId="42" applyFont="1" applyFill="1" applyBorder="1"/>
    <xf numFmtId="0" fontId="24" fillId="0" borderId="43" xfId="42" applyFont="1" applyFill="1" applyBorder="1"/>
    <xf numFmtId="0" fontId="21" fillId="0" borderId="43" xfId="42" applyNumberFormat="1" applyFont="1" applyFill="1" applyBorder="1" applyAlignment="1">
      <alignment horizontal="center"/>
    </xf>
    <xf numFmtId="0" fontId="0" fillId="0" borderId="43" xfId="42" applyFont="1" applyFill="1" applyBorder="1" applyAlignment="1">
      <alignment horizontal="center"/>
    </xf>
    <xf numFmtId="0" fontId="20" fillId="0" borderId="30" xfId="42" applyNumberFormat="1" applyFont="1" applyFill="1" applyBorder="1" applyAlignment="1">
      <alignment horizontal="center"/>
    </xf>
    <xf numFmtId="0" fontId="24" fillId="0" borderId="58" xfId="42" applyFont="1" applyFill="1" applyBorder="1"/>
    <xf numFmtId="0" fontId="21" fillId="0" borderId="58" xfId="42" applyNumberFormat="1" applyFont="1" applyFill="1" applyBorder="1" applyAlignment="1">
      <alignment horizontal="center"/>
    </xf>
    <xf numFmtId="0" fontId="0" fillId="0" borderId="12" xfId="42" applyNumberFormat="1" applyFont="1" applyFill="1" applyBorder="1" applyAlignment="1">
      <alignment horizontal="center"/>
    </xf>
    <xf numFmtId="0" fontId="20" fillId="0" borderId="58" xfId="42" applyNumberFormat="1" applyFont="1" applyFill="1" applyBorder="1" applyAlignment="1">
      <alignment horizontal="center"/>
    </xf>
    <xf numFmtId="0" fontId="17" fillId="0" borderId="34" xfId="42" applyNumberFormat="1" applyFont="1" applyFill="1" applyBorder="1" applyAlignment="1">
      <alignment horizontal="center"/>
    </xf>
    <xf numFmtId="0" fontId="44" fillId="38" borderId="44" xfId="0" applyNumberFormat="1" applyFont="1" applyFill="1" applyBorder="1" applyAlignment="1">
      <alignment horizontal="center"/>
    </xf>
    <xf numFmtId="2" fontId="0" fillId="38" borderId="0" xfId="0" applyNumberFormat="1" applyFill="1" applyAlignment="1">
      <alignment horizontal="center"/>
    </xf>
    <xf numFmtId="0" fontId="29" fillId="44" borderId="35" xfId="42" applyFont="1" applyFill="1" applyBorder="1" applyAlignment="1">
      <alignment horizontal="center"/>
    </xf>
    <xf numFmtId="0" fontId="26" fillId="44" borderId="29" xfId="0" applyFont="1" applyFill="1" applyBorder="1" applyAlignment="1">
      <alignment horizontal="center"/>
    </xf>
    <xf numFmtId="10" fontId="0" fillId="0" borderId="0" xfId="0" applyNumberFormat="1"/>
    <xf numFmtId="0" fontId="13" fillId="36" borderId="48" xfId="0" applyFont="1" applyFill="1" applyBorder="1"/>
    <xf numFmtId="0" fontId="13" fillId="36" borderId="41" xfId="0" applyFont="1" applyFill="1" applyBorder="1"/>
    <xf numFmtId="0" fontId="13" fillId="36" borderId="42" xfId="0" applyFont="1" applyFill="1" applyBorder="1" applyAlignment="1">
      <alignment horizontal="center"/>
    </xf>
    <xf numFmtId="0" fontId="18" fillId="37" borderId="48" xfId="42" applyNumberFormat="1" applyFont="1" applyFill="1" applyBorder="1" applyAlignment="1"/>
    <xf numFmtId="0" fontId="18" fillId="37" borderId="72" xfId="42" applyNumberFormat="1" applyFont="1" applyFill="1" applyBorder="1" applyAlignment="1"/>
    <xf numFmtId="0" fontId="26" fillId="37" borderId="39" xfId="0" applyFont="1" applyFill="1" applyBorder="1" applyAlignment="1">
      <alignment horizontal="center"/>
    </xf>
    <xf numFmtId="0" fontId="26" fillId="37" borderId="73" xfId="0" applyNumberFormat="1" applyFont="1" applyFill="1" applyBorder="1" applyAlignment="1">
      <alignment horizontal="center"/>
    </xf>
    <xf numFmtId="0" fontId="18" fillId="56" borderId="74" xfId="42" applyNumberFormat="1" applyFont="1" applyFill="1" applyBorder="1" applyAlignment="1"/>
    <xf numFmtId="0" fontId="18" fillId="56" borderId="39" xfId="42" applyNumberFormat="1" applyFont="1" applyFill="1" applyBorder="1" applyAlignment="1"/>
    <xf numFmtId="0" fontId="26" fillId="56" borderId="39" xfId="0" applyFont="1" applyFill="1" applyBorder="1" applyAlignment="1">
      <alignment horizontal="center"/>
    </xf>
    <xf numFmtId="0" fontId="26" fillId="56" borderId="68" xfId="0" applyNumberFormat="1" applyFont="1" applyFill="1" applyBorder="1" applyAlignment="1">
      <alignment horizontal="center"/>
    </xf>
    <xf numFmtId="0" fontId="18" fillId="37" borderId="74" xfId="42" applyNumberFormat="1" applyFont="1" applyFill="1" applyBorder="1" applyAlignment="1"/>
    <xf numFmtId="0" fontId="18" fillId="37" borderId="39" xfId="42" applyNumberFormat="1" applyFont="1" applyFill="1" applyBorder="1" applyAlignment="1"/>
    <xf numFmtId="0" fontId="26" fillId="37" borderId="68" xfId="0" applyNumberFormat="1" applyFont="1" applyFill="1" applyBorder="1" applyAlignment="1">
      <alignment horizontal="center"/>
    </xf>
    <xf numFmtId="0" fontId="26" fillId="44" borderId="39" xfId="0" applyFont="1" applyFill="1" applyBorder="1" applyAlignment="1">
      <alignment horizontal="center"/>
    </xf>
    <xf numFmtId="0" fontId="18" fillId="37" borderId="22" xfId="42" applyNumberFormat="1" applyFont="1" applyFill="1" applyBorder="1" applyAlignment="1"/>
    <xf numFmtId="0" fontId="18" fillId="37" borderId="0" xfId="42" applyNumberFormat="1" applyFont="1" applyFill="1" applyBorder="1" applyAlignment="1"/>
    <xf numFmtId="0" fontId="46" fillId="57" borderId="75" xfId="42" applyNumberFormat="1" applyFont="1" applyFill="1" applyBorder="1" applyAlignment="1"/>
    <xf numFmtId="0" fontId="46" fillId="57" borderId="37" xfId="42" applyNumberFormat="1" applyFont="1" applyFill="1" applyBorder="1" applyAlignment="1"/>
    <xf numFmtId="1" fontId="26" fillId="57" borderId="34" xfId="0" applyNumberFormat="1" applyFont="1" applyFill="1" applyBorder="1" applyAlignment="1">
      <alignment horizontal="center"/>
    </xf>
    <xf numFmtId="0" fontId="26" fillId="57" borderId="37" xfId="0" applyNumberFormat="1" applyFont="1" applyFill="1" applyBorder="1" applyAlignment="1">
      <alignment horizontal="center"/>
    </xf>
    <xf numFmtId="0" fontId="26" fillId="58" borderId="39" xfId="0" applyFont="1" applyFill="1" applyBorder="1" applyAlignment="1">
      <alignment horizontal="center"/>
    </xf>
    <xf numFmtId="0" fontId="26" fillId="59" borderId="29" xfId="0" applyFont="1" applyFill="1" applyBorder="1" applyAlignment="1">
      <alignment horizontal="center"/>
    </xf>
    <xf numFmtId="0" fontId="29" fillId="59" borderId="35" xfId="42" applyFont="1" applyFill="1" applyBorder="1" applyAlignment="1">
      <alignment horizontal="center"/>
    </xf>
    <xf numFmtId="0" fontId="42" fillId="59" borderId="0" xfId="0" applyFont="1" applyFill="1" applyAlignment="1">
      <alignment horizontal="center"/>
    </xf>
    <xf numFmtId="0" fontId="26" fillId="60" borderId="39" xfId="0" applyFont="1" applyFill="1" applyBorder="1" applyAlignment="1">
      <alignment horizontal="center"/>
    </xf>
    <xf numFmtId="0" fontId="26" fillId="38" borderId="29" xfId="0" applyFont="1" applyFill="1" applyBorder="1" applyAlignment="1">
      <alignment horizontal="center"/>
    </xf>
    <xf numFmtId="0" fontId="26" fillId="61" borderId="39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0" fontId="13" fillId="62" borderId="57" xfId="0" applyFont="1" applyFill="1" applyBorder="1" applyAlignment="1">
      <alignment horizontal="center"/>
    </xf>
    <xf numFmtId="0" fontId="0" fillId="35" borderId="44" xfId="0" applyFill="1" applyBorder="1" applyAlignment="1">
      <alignment horizontal="center"/>
    </xf>
    <xf numFmtId="0" fontId="16" fillId="33" borderId="15" xfId="0" applyFont="1" applyFill="1" applyBorder="1" applyAlignment="1">
      <alignment horizontal="left"/>
    </xf>
    <xf numFmtId="0" fontId="16" fillId="33" borderId="16" xfId="0" applyFont="1" applyFill="1" applyBorder="1" applyAlignment="1">
      <alignment horizontal="left"/>
    </xf>
    <xf numFmtId="0" fontId="16" fillId="33" borderId="17" xfId="0" applyFont="1" applyFill="1" applyBorder="1" applyAlignment="1">
      <alignment horizontal="left"/>
    </xf>
    <xf numFmtId="0" fontId="16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19" fillId="35" borderId="0" xfId="0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16" fillId="33" borderId="15" xfId="0" applyFont="1" applyFill="1" applyBorder="1" applyAlignment="1"/>
    <xf numFmtId="0" fontId="16" fillId="0" borderId="16" xfId="0" applyFont="1" applyBorder="1" applyAlignment="1"/>
    <xf numFmtId="0" fontId="16" fillId="0" borderId="17" xfId="0" applyFont="1" applyBorder="1" applyAlignment="1"/>
  </cellXfs>
  <cellStyles count="67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rklarande text" xfId="16" builtinId="53" customBuilti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 xr:uid="{00000000-0005-0000-0000-00003A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824">
    <dxf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B2B2B2"/>
        </top>
        <bottom style="thin">
          <color rgb="FFB2B2B2"/>
        </bottom>
      </border>
    </dxf>
    <dxf>
      <border>
        <top style="thin">
          <color rgb="FFB2B2B2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0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auto="1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top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ill>
        <patternFill patternType="solid">
          <fgColor indexed="64"/>
          <bgColor theme="1"/>
        </patternFill>
      </fill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$-409]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C00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thin">
          <color indexed="64"/>
        </left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medium">
          <color auto="1"/>
        </top>
        <bottom style="medium">
          <color auto="1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top style="thin">
          <color indexed="64"/>
        </top>
      </border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relative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border>
        <top style="thin">
          <color indexed="64"/>
        </top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 tint="0.44999542222357858"/>
          <bgColor theme="1" tint="0.44999542222357858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medium">
          <color auto="1"/>
        </bottom>
      </border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 tint="0.44999542222357858"/>
          <bgColor theme="1" tint="0.44999542222357858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relative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rgb="FFC00000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A8ED8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Årets</a:t>
            </a:r>
            <a:r>
              <a:rPr lang="sv-SE" baseline="0"/>
              <a:t> fullegubbe - Omg 9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36000" rIns="38100" bIns="1905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Dreamscore!$B$218:$C$233</c:f>
              <c:multiLvlStrCache>
                <c:ptCount val="16"/>
                <c:lvl>
                  <c:pt idx="0">
                    <c:v>Backe</c:v>
                  </c:pt>
                  <c:pt idx="1">
                    <c:v>Åberg</c:v>
                  </c:pt>
                  <c:pt idx="2">
                    <c:v> B Johansson</c:v>
                  </c:pt>
                  <c:pt idx="3">
                    <c:v>Simonsson</c:v>
                  </c:pt>
                  <c:pt idx="4">
                    <c:v>Svensson</c:v>
                  </c:pt>
                  <c:pt idx="5">
                    <c:v>L Johansson</c:v>
                  </c:pt>
                  <c:pt idx="6">
                    <c:v>Nilsson</c:v>
                  </c:pt>
                  <c:pt idx="7">
                    <c:v>Bengtsson</c:v>
                  </c:pt>
                  <c:pt idx="8">
                    <c:v>Larsson</c:v>
                  </c:pt>
                  <c:pt idx="9">
                    <c:v>Stranddahl</c:v>
                  </c:pt>
                  <c:pt idx="10">
                    <c:v>Thorvaldsson</c:v>
                  </c:pt>
                  <c:pt idx="11">
                    <c:v>Söder</c:v>
                  </c:pt>
                  <c:pt idx="12">
                    <c:v>Ljung</c:v>
                  </c:pt>
                  <c:pt idx="13">
                    <c:v>Glyssbo</c:v>
                  </c:pt>
                  <c:pt idx="14">
                    <c:v>Källström</c:v>
                  </c:pt>
                  <c:pt idx="15">
                    <c:v>Johansson</c:v>
                  </c:pt>
                </c:lvl>
                <c:lvl>
                  <c:pt idx="0">
                    <c:v>Göran</c:v>
                  </c:pt>
                  <c:pt idx="1">
                    <c:v>Micke</c:v>
                  </c:pt>
                  <c:pt idx="2">
                    <c:v>Börje</c:v>
                  </c:pt>
                  <c:pt idx="3">
                    <c:v>Jörgen</c:v>
                  </c:pt>
                  <c:pt idx="4">
                    <c:v>Claes</c:v>
                  </c:pt>
                  <c:pt idx="5">
                    <c:v>Lalle</c:v>
                  </c:pt>
                  <c:pt idx="6">
                    <c:v>Peter</c:v>
                  </c:pt>
                  <c:pt idx="7">
                    <c:v>Magnus</c:v>
                  </c:pt>
                  <c:pt idx="8">
                    <c:v>Thomas</c:v>
                  </c:pt>
                  <c:pt idx="9">
                    <c:v>Jörgen</c:v>
                  </c:pt>
                  <c:pt idx="10">
                    <c:v>Stefan</c:v>
                  </c:pt>
                  <c:pt idx="11">
                    <c:v>Jocke</c:v>
                  </c:pt>
                  <c:pt idx="12">
                    <c:v>Niklas</c:v>
                  </c:pt>
                  <c:pt idx="13">
                    <c:v>PJ</c:v>
                  </c:pt>
                  <c:pt idx="14">
                    <c:v>Stefan</c:v>
                  </c:pt>
                  <c:pt idx="15">
                    <c:v>Kent</c:v>
                  </c:pt>
                </c:lvl>
              </c:multiLvlStrCache>
            </c:multiLvlStrRef>
          </c:cat>
          <c:val>
            <c:numRef>
              <c:f>Dreamscore!$D$218:$D$233</c:f>
              <c:numCache>
                <c:formatCode>0.00%</c:formatCode>
                <c:ptCount val="16"/>
                <c:pt idx="0">
                  <c:v>4.9382716049382713E-2</c:v>
                </c:pt>
                <c:pt idx="1">
                  <c:v>1.8518518518518517E-2</c:v>
                </c:pt>
                <c:pt idx="2">
                  <c:v>6.1728395061728392E-3</c:v>
                </c:pt>
                <c:pt idx="3">
                  <c:v>2.0833333333333332E-2</c:v>
                </c:pt>
                <c:pt idx="4">
                  <c:v>6.7901234567901231E-2</c:v>
                </c:pt>
                <c:pt idx="5">
                  <c:v>1.2345679012345678E-2</c:v>
                </c:pt>
                <c:pt idx="6">
                  <c:v>1.3986013986013986E-2</c:v>
                </c:pt>
                <c:pt idx="7">
                  <c:v>1.2345679012345678E-2</c:v>
                </c:pt>
                <c:pt idx="8">
                  <c:v>3.0864197530864196E-2</c:v>
                </c:pt>
                <c:pt idx="9">
                  <c:v>0.1388888888888889</c:v>
                </c:pt>
                <c:pt idx="10">
                  <c:v>0</c:v>
                </c:pt>
                <c:pt idx="11">
                  <c:v>6.1728395061728392E-3</c:v>
                </c:pt>
                <c:pt idx="12">
                  <c:v>4.1666666666666664E-2</c:v>
                </c:pt>
                <c:pt idx="13">
                  <c:v>7.9365079365079361E-3</c:v>
                </c:pt>
                <c:pt idx="14">
                  <c:v>5.5555555555555552E-2</c:v>
                </c:pt>
                <c:pt idx="15">
                  <c:v>0.15527950310559005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7-42FD-BF6F-FAEFE9B497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15897904"/>
        <c:axId val="515898560"/>
      </c:barChart>
      <c:catAx>
        <c:axId val="51589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5898560"/>
        <c:crosses val="autoZero"/>
        <c:auto val="1"/>
        <c:lblAlgn val="ctr"/>
        <c:lblOffset val="100"/>
        <c:noMultiLvlLbl val="0"/>
      </c:catAx>
      <c:valAx>
        <c:axId val="51589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1589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Efter första rundan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Dreamscore!$AI$25:$AI$31</c:f>
              <c:strCache>
                <c:ptCount val="7"/>
                <c:pt idx="0">
                  <c:v>Birdies</c:v>
                </c:pt>
                <c:pt idx="1">
                  <c:v>Par</c:v>
                </c:pt>
                <c:pt idx="2">
                  <c:v>Bogeys</c:v>
                </c:pt>
                <c:pt idx="3">
                  <c:v>Dubbel</c:v>
                </c:pt>
                <c:pt idx="4">
                  <c:v>Trippel</c:v>
                </c:pt>
                <c:pt idx="5">
                  <c:v>Quattro</c:v>
                </c:pt>
                <c:pt idx="6">
                  <c:v>Shit</c:v>
                </c:pt>
              </c:strCache>
            </c:strRef>
          </c:cat>
          <c:val>
            <c:numRef>
              <c:f>Dreamscore!$AJ$25:$AJ$31</c:f>
              <c:numCache>
                <c:formatCode>0.00%</c:formatCode>
                <c:ptCount val="7"/>
                <c:pt idx="0">
                  <c:v>9.7864768683274019E-3</c:v>
                </c:pt>
                <c:pt idx="1">
                  <c:v>0.12900355871886121</c:v>
                </c:pt>
                <c:pt idx="2">
                  <c:v>0.35231316725978645</c:v>
                </c:pt>
                <c:pt idx="3">
                  <c:v>0.28202846975088969</c:v>
                </c:pt>
                <c:pt idx="4">
                  <c:v>0.13523131672597866</c:v>
                </c:pt>
                <c:pt idx="5">
                  <c:v>5.2935943060498224E-2</c:v>
                </c:pt>
                <c:pt idx="6">
                  <c:v>3.8701067615658363E-2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9-4742-A329-798CBAE4E8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946166784"/>
        <c:axId val="946164160"/>
      </c:barChart>
      <c:catAx>
        <c:axId val="946166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164160"/>
        <c:crosses val="autoZero"/>
        <c:auto val="1"/>
        <c:lblAlgn val="ctr"/>
        <c:lblOffset val="100"/>
        <c:noMultiLvlLbl val="0"/>
      </c:catAx>
      <c:valAx>
        <c:axId val="94616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4616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v-SE"/>
              <a:t>Jämförelse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Snittscorer!$D$67</c:f>
              <c:strCache>
                <c:ptCount val="1"/>
                <c:pt idx="0">
                  <c:v>Ligan 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Snittscorer!$C$68:$C$74</c:f>
              <c:strCache>
                <c:ptCount val="7"/>
                <c:pt idx="0">
                  <c:v>Birdies</c:v>
                </c:pt>
                <c:pt idx="1">
                  <c:v>Par</c:v>
                </c:pt>
                <c:pt idx="2">
                  <c:v>Bogeys</c:v>
                </c:pt>
                <c:pt idx="3">
                  <c:v>Dubbel</c:v>
                </c:pt>
                <c:pt idx="4">
                  <c:v>Trippel</c:v>
                </c:pt>
                <c:pt idx="5">
                  <c:v>Quattro</c:v>
                </c:pt>
                <c:pt idx="6">
                  <c:v>Shit</c:v>
                </c:pt>
              </c:strCache>
            </c:strRef>
          </c:cat>
          <c:val>
            <c:numRef>
              <c:f>Snittscorer!$D$68:$D$74</c:f>
              <c:numCache>
                <c:formatCode>0.00%</c:formatCode>
                <c:ptCount val="7"/>
                <c:pt idx="0">
                  <c:v>1.5873015873015872E-2</c:v>
                </c:pt>
                <c:pt idx="1">
                  <c:v>0.13095238095238096</c:v>
                </c:pt>
                <c:pt idx="2">
                  <c:v>0.37698412698412698</c:v>
                </c:pt>
                <c:pt idx="3">
                  <c:v>0.27380952380952384</c:v>
                </c:pt>
                <c:pt idx="4">
                  <c:v>9.5238095238095233E-2</c:v>
                </c:pt>
                <c:pt idx="5">
                  <c:v>4.3650793650793648E-2</c:v>
                </c:pt>
                <c:pt idx="6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2F-4EC9-A71F-1CFCB06C78F8}"/>
            </c:ext>
          </c:extLst>
        </c:ser>
        <c:ser>
          <c:idx val="1"/>
          <c:order val="1"/>
          <c:tx>
            <c:strRef>
              <c:f>Snittscorer!$E$67</c:f>
              <c:strCache>
                <c:ptCount val="1"/>
                <c:pt idx="0">
                  <c:v>Magnus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Snittscorer!$C$68:$C$74</c:f>
              <c:strCache>
                <c:ptCount val="7"/>
                <c:pt idx="0">
                  <c:v>Birdies</c:v>
                </c:pt>
                <c:pt idx="1">
                  <c:v>Par</c:v>
                </c:pt>
                <c:pt idx="2">
                  <c:v>Bogeys</c:v>
                </c:pt>
                <c:pt idx="3">
                  <c:v>Dubbel</c:v>
                </c:pt>
                <c:pt idx="4">
                  <c:v>Trippel</c:v>
                </c:pt>
                <c:pt idx="5">
                  <c:v>Quattro</c:v>
                </c:pt>
                <c:pt idx="6">
                  <c:v>Shit</c:v>
                </c:pt>
              </c:strCache>
            </c:strRef>
          </c:cat>
          <c:val>
            <c:numRef>
              <c:f>Snittscorer!$E$68:$E$74</c:f>
              <c:numCache>
                <c:formatCode>0.00%</c:formatCode>
                <c:ptCount val="7"/>
                <c:pt idx="0">
                  <c:v>0</c:v>
                </c:pt>
                <c:pt idx="1">
                  <c:v>0.1111111111111111</c:v>
                </c:pt>
                <c:pt idx="2">
                  <c:v>0.61111111111111116</c:v>
                </c:pt>
                <c:pt idx="3">
                  <c:v>0.22222222222222221</c:v>
                </c:pt>
                <c:pt idx="4">
                  <c:v>5.5555555555555552E-2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2F-4EC9-A71F-1CFCB06C78F8}"/>
            </c:ext>
          </c:extLst>
        </c:ser>
        <c:ser>
          <c:idx val="2"/>
          <c:order val="2"/>
          <c:tx>
            <c:strRef>
              <c:f>Snittscorer!$F$67</c:f>
              <c:strCache>
                <c:ptCount val="1"/>
                <c:pt idx="0">
                  <c:v>Strandahl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Snittscorer!$C$68:$C$74</c:f>
              <c:strCache>
                <c:ptCount val="7"/>
                <c:pt idx="0">
                  <c:v>Birdies</c:v>
                </c:pt>
                <c:pt idx="1">
                  <c:v>Par</c:v>
                </c:pt>
                <c:pt idx="2">
                  <c:v>Bogeys</c:v>
                </c:pt>
                <c:pt idx="3">
                  <c:v>Dubbel</c:v>
                </c:pt>
                <c:pt idx="4">
                  <c:v>Trippel</c:v>
                </c:pt>
                <c:pt idx="5">
                  <c:v>Quattro</c:v>
                </c:pt>
                <c:pt idx="6">
                  <c:v>Shit</c:v>
                </c:pt>
              </c:strCache>
            </c:strRef>
          </c:cat>
          <c:val>
            <c:numRef>
              <c:f>Snittscorer!$F$68:$F$74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0.22222222222222221</c:v>
                </c:pt>
                <c:pt idx="3">
                  <c:v>5.5555555555555552E-2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2F-4EC9-A71F-1CFCB06C78F8}"/>
            </c:ext>
          </c:extLst>
        </c:ser>
        <c:ser>
          <c:idx val="3"/>
          <c:order val="3"/>
          <c:tx>
            <c:strRef>
              <c:f>Snittscorer!$G$67</c:f>
              <c:strCache>
                <c:ptCount val="1"/>
                <c:pt idx="0">
                  <c:v>Ligan 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Snittscorer!$C$68:$C$74</c:f>
              <c:strCache>
                <c:ptCount val="7"/>
                <c:pt idx="0">
                  <c:v>Birdies</c:v>
                </c:pt>
                <c:pt idx="1">
                  <c:v>Par</c:v>
                </c:pt>
                <c:pt idx="2">
                  <c:v>Bogeys</c:v>
                </c:pt>
                <c:pt idx="3">
                  <c:v>Dubbel</c:v>
                </c:pt>
                <c:pt idx="4">
                  <c:v>Trippel</c:v>
                </c:pt>
                <c:pt idx="5">
                  <c:v>Quattro</c:v>
                </c:pt>
                <c:pt idx="6">
                  <c:v>Shit</c:v>
                </c:pt>
              </c:strCache>
            </c:strRef>
          </c:cat>
          <c:val>
            <c:numRef>
              <c:f>Snittscorer!$G$68:$G$74</c:f>
              <c:numCache>
                <c:formatCode>0.00%</c:formatCode>
                <c:ptCount val="7"/>
                <c:pt idx="0">
                  <c:v>1.3939393939393939E-2</c:v>
                </c:pt>
                <c:pt idx="1">
                  <c:v>0.15636363636363637</c:v>
                </c:pt>
                <c:pt idx="2">
                  <c:v>0.33333333333333331</c:v>
                </c:pt>
                <c:pt idx="3">
                  <c:v>0.27393939393939393</c:v>
                </c:pt>
                <c:pt idx="4">
                  <c:v>0.12727272727272726</c:v>
                </c:pt>
                <c:pt idx="5">
                  <c:v>4.9696969696969698E-2</c:v>
                </c:pt>
                <c:pt idx="6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2F-4EC9-A71F-1CFCB06C7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63920272"/>
        <c:axId val="663928472"/>
      </c:barChart>
      <c:catAx>
        <c:axId val="663920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3928472"/>
        <c:crosses val="autoZero"/>
        <c:auto val="1"/>
        <c:lblAlgn val="ctr"/>
        <c:lblOffset val="100"/>
        <c:noMultiLvlLbl val="0"/>
      </c:catAx>
      <c:valAx>
        <c:axId val="663928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639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ourfiniteworld.com/2016/10/11/why-energy-prices-are-ultimately-headed-lower-what-the-imf-missed/comment-page-1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136920</xdr:colOff>
      <xdr:row>216</xdr:row>
      <xdr:rowOff>182164</xdr:rowOff>
    </xdr:from>
    <xdr:to>
      <xdr:col>27</xdr:col>
      <xdr:colOff>321467</xdr:colOff>
      <xdr:row>241</xdr:row>
      <xdr:rowOff>95249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4594CEE-AA6B-4B4E-98FD-A0F919EDE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529828</xdr:colOff>
      <xdr:row>5</xdr:row>
      <xdr:rowOff>182165</xdr:rowOff>
    </xdr:from>
    <xdr:to>
      <xdr:col>43</xdr:col>
      <xdr:colOff>339328</xdr:colOff>
      <xdr:row>21</xdr:row>
      <xdr:rowOff>55958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2847DB-AB1E-4CAF-BC1F-24A523021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312964</xdr:colOff>
      <xdr:row>16</xdr:row>
      <xdr:rowOff>57149</xdr:rowOff>
    </xdr:from>
    <xdr:to>
      <xdr:col>39</xdr:col>
      <xdr:colOff>432708</xdr:colOff>
      <xdr:row>46</xdr:row>
      <xdr:rowOff>176892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6AAF51-A9DD-4505-BFD3-EF062F06E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22</xdr:row>
      <xdr:rowOff>0</xdr:rowOff>
    </xdr:from>
    <xdr:to>
      <xdr:col>19</xdr:col>
      <xdr:colOff>111125</xdr:colOff>
      <xdr:row>26</xdr:row>
      <xdr:rowOff>34925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041B5B7-F6BB-4AE6-9042-D6805E23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1296650" y="42164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6350</xdr:colOff>
      <xdr:row>22</xdr:row>
      <xdr:rowOff>0</xdr:rowOff>
    </xdr:from>
    <xdr:to>
      <xdr:col>12</xdr:col>
      <xdr:colOff>168275</xdr:colOff>
      <xdr:row>26</xdr:row>
      <xdr:rowOff>34925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8CF007A2-414A-4DC9-A768-D082047F3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7385050" y="4216400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654050</xdr:colOff>
      <xdr:row>21</xdr:row>
      <xdr:rowOff>184150</xdr:rowOff>
    </xdr:from>
    <xdr:to>
      <xdr:col>8</xdr:col>
      <xdr:colOff>149225</xdr:colOff>
      <xdr:row>26</xdr:row>
      <xdr:rowOff>19050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4C0832A9-9665-499C-9112-D9345FD6D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4800600" y="4210050"/>
          <a:ext cx="762000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4" displayName="Tabell4" ref="B23:O40" totalsRowShown="0" headerRowDxfId="823" dataDxfId="821" headerRowBorderDxfId="822" tableBorderDxfId="820" totalsRowBorderDxfId="819" headerRowCellStyle="Normal 2">
  <autoFilter ref="B23:O40" xr:uid="{00000000-0009-0000-0100-000004000000}"/>
  <tableColumns count="14">
    <tableColumn id="1" xr3:uid="{00000000-0010-0000-0100-000001000000}" name="För" dataDxfId="818" dataCellStyle="Normal 2"/>
    <tableColumn id="2" xr3:uid="{00000000-0010-0000-0100-000002000000}" name="Efter" dataDxfId="817" dataCellStyle="Normal 2"/>
    <tableColumn id="3" xr3:uid="{00000000-0010-0000-0100-000003000000}" name="1" dataDxfId="816"/>
    <tableColumn id="4" xr3:uid="{00000000-0010-0000-0100-000004000000}" name="2" dataDxfId="815"/>
    <tableColumn id="5" xr3:uid="{00000000-0010-0000-0100-000005000000}" name="3" dataDxfId="814"/>
    <tableColumn id="6" xr3:uid="{00000000-0010-0000-0100-000006000000}" name="4" dataDxfId="813"/>
    <tableColumn id="7" xr3:uid="{00000000-0010-0000-0100-000007000000}" name="5" dataDxfId="812"/>
    <tableColumn id="8" xr3:uid="{00000000-0010-0000-0100-000008000000}" name="6" dataDxfId="811"/>
    <tableColumn id="9" xr3:uid="{00000000-0010-0000-0100-000009000000}" name="7" dataDxfId="810"/>
    <tableColumn id="10" xr3:uid="{00000000-0010-0000-0100-00000A000000}" name="8" dataDxfId="809"/>
    <tableColumn id="13" xr3:uid="{00000000-0010-0000-0100-00000D000000}" name="9" dataDxfId="808" dataCellStyle="Normal 2"/>
    <tableColumn id="11" xr3:uid="{00000000-0010-0000-0100-00000B000000}" name="10" dataDxfId="807"/>
    <tableColumn id="12" xr3:uid="{00000000-0010-0000-0100-00000C000000}" name="Sum" dataDxfId="806">
      <calculatedColumnFormula>SMALL(D24:M24,1)+SMALL(D24:M24,2)+SMALL(D24:M24,3)+SMALL(D24:M24,4)++SMALL(D24:M24,5)</calculatedColumnFormula>
    </tableColumn>
    <tableColumn id="14" xr3:uid="{C539A9F5-4315-4CE7-8335-C37D994AAD4C}" name="Kolumn1" dataDxfId="805"/>
  </tableColumns>
  <tableStyleInfo name="TableStyleDark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0A000000}" name="Tabell63" displayName="Tabell63" ref="AC23:AC40" totalsRowCount="1" headerRowDxfId="739" dataDxfId="738" totalsRowDxfId="736" tableBorderDxfId="737" totalsRowBorderDxfId="735">
  <autoFilter ref="AC23:AC39" xr:uid="{00000000-0009-0000-0100-00003F000000}"/>
  <tableColumns count="1">
    <tableColumn id="1" xr3:uid="{00000000-0010-0000-0A00-000001000000}" name="Birdies" dataDxfId="734" totalsRowDxfId="733"/>
  </tableColumns>
  <tableStyleInfo name="TableStyleDark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B000000}" name="Tabell21" displayName="Tabell21" ref="B3:F21" totalsRowCount="1" headerRowDxfId="732" dataDxfId="731" totalsRowDxfId="729" tableBorderDxfId="730" totalsRowBorderDxfId="728">
  <autoFilter ref="B3:F20" xr:uid="{00000000-0009-0000-0100-000015000000}"/>
  <sortState xmlns:xlrd2="http://schemas.microsoft.com/office/spreadsheetml/2017/richdata2" ref="B4:F17">
    <sortCondition descending="1" ref="E4:E17"/>
  </sortState>
  <tableColumns count="5">
    <tableColumn id="1" xr3:uid="{00000000-0010-0000-0B00-000001000000}" name="För" dataDxfId="727" totalsRowDxfId="726" dataCellStyle="Normal 2"/>
    <tableColumn id="2" xr3:uid="{00000000-0010-0000-0B00-000002000000}" name="Efter" dataDxfId="725" totalsRowDxfId="724" dataCellStyle="Normal 2"/>
    <tableColumn id="3" xr3:uid="{00000000-0010-0000-0B00-000003000000}" name="Öl tid" totalsRowFunction="custom" dataDxfId="723" totalsRowDxfId="722">
      <totalsRowFormula>SUM(D4:D20)</totalsRowFormula>
    </tableColumn>
    <tableColumn id="4" xr3:uid="{00000000-0010-0000-0B00-000004000000}" name="Öl i år" totalsRowFunction="custom" dataDxfId="721" totalsRowDxfId="720">
      <calculatedColumnFormula>Tabell11[[#This Row],[Öl]]</calculatedColumnFormula>
      <totalsRowFormula>E4+E5+E6+E7+E8+E9+E10+E11+E12+E13+E14+E15+E16+E17+E18+E19+E20</totalsRowFormula>
    </tableColumn>
    <tableColumn id="5" xr3:uid="{00000000-0010-0000-0B00-000005000000}" name="Tot" totalsRowFunction="custom" dataDxfId="719" totalsRowDxfId="718">
      <calculatedColumnFormula>D4+E4</calculatedColumnFormula>
      <totalsRowFormula>SUM(F4:F20)</totalsRowFormula>
    </tableColumn>
  </tableColumns>
  <tableStyleInfo name="TableStyleDark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C000000}" name="Tabell2123" displayName="Tabell2123" ref="H3:L21" totalsRowCount="1" headerRowDxfId="717" dataDxfId="716" tableBorderDxfId="715">
  <autoFilter ref="H3:L20" xr:uid="{00000000-0009-0000-0100-000016000000}"/>
  <sortState xmlns:xlrd2="http://schemas.microsoft.com/office/spreadsheetml/2017/richdata2" ref="H4:L17">
    <sortCondition descending="1" ref="K4:K17"/>
  </sortState>
  <tableColumns count="5">
    <tableColumn id="1" xr3:uid="{00000000-0010-0000-0C00-000001000000}" name="För" dataDxfId="714" totalsRowDxfId="713" dataCellStyle="Normal 2"/>
    <tableColumn id="2" xr3:uid="{00000000-0010-0000-0C00-000002000000}" name="Efter" dataDxfId="712" totalsRowDxfId="711" dataCellStyle="Normal 2"/>
    <tableColumn id="3" xr3:uid="{00000000-0010-0000-0C00-000003000000}" name="Birdie tid" totalsRowFunction="custom" dataDxfId="710" totalsRowDxfId="709">
      <totalsRowFormula>SUM(J4:J20)</totalsRowFormula>
    </tableColumn>
    <tableColumn id="4" xr3:uid="{00000000-0010-0000-0C00-000004000000}" name="Birdie i år" totalsRowFunction="custom" dataDxfId="708" totalsRowDxfId="707">
      <calculatedColumnFormula>Scoreboard!AC24</calculatedColumnFormula>
      <totalsRowFormula>SUM(K4:K20)</totalsRowFormula>
    </tableColumn>
    <tableColumn id="5" xr3:uid="{00000000-0010-0000-0C00-000005000000}" name="Tot" totalsRowFunction="custom" dataDxfId="706" totalsRowDxfId="705">
      <calculatedColumnFormula>J4+K4</calculatedColumnFormula>
      <totalsRowFormula>(L4+L5+L6+L7+L8+L9+L10+L11+L12+L13+L14+L15+L16+L17+L18+J20)</totalsRowFormula>
    </tableColumn>
  </tableColumns>
  <tableStyleInfo name="TableStyleDark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0D000000}" name="Tabell65" displayName="Tabell65" ref="N3:N17" totalsRowShown="0" headerRowDxfId="704" dataDxfId="703" tableBorderDxfId="702">
  <autoFilter ref="N3:N17" xr:uid="{00000000-0009-0000-0100-000041000000}"/>
  <tableColumns count="1">
    <tableColumn id="1" xr3:uid="{00000000-0010-0000-0D00-000001000000}" name="Anm" dataDxfId="701"/>
  </tableColumns>
  <tableStyleInfo name="TableStyleDark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E000000}" name="Tabell23" displayName="Tabell23" ref="B3:E19" totalsRowShown="0" tableBorderDxfId="700">
  <autoFilter ref="B3:E19" xr:uid="{00000000-0009-0000-0100-000017000000}"/>
  <tableColumns count="4">
    <tableColumn id="1" xr3:uid="{00000000-0010-0000-0E00-000001000000}" name="För" dataDxfId="699" dataCellStyle="Normal 2"/>
    <tableColumn id="2" xr3:uid="{00000000-0010-0000-0E00-000002000000}" name="Efter" dataDxfId="698" dataCellStyle="Normal 2"/>
    <tableColumn id="3" xr3:uid="{00000000-0010-0000-0E00-000003000000}" name="I år" dataDxfId="697">
      <calculatedColumnFormula>SMALL(Scoreboard!$B4:$N18,1)</calculatedColumnFormula>
    </tableColumn>
    <tableColumn id="4" xr3:uid="{00000000-0010-0000-0E00-000004000000}" name="Bäst &quot;Ever&quot;" dataDxfId="696"/>
  </tableColumns>
  <tableStyleInfo name="TableStyleDark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F000000}" name="Tabell24" displayName="Tabell24" ref="F3:F19" totalsRowShown="0" headerRowDxfId="695" dataDxfId="694" tableBorderDxfId="693">
  <autoFilter ref="F3:F19" xr:uid="{00000000-0009-0000-0100-000018000000}"/>
  <tableColumns count="1">
    <tableColumn id="1" xr3:uid="{00000000-0010-0000-0F00-000001000000}" name="Skillnad" dataDxfId="692">
      <calculatedColumnFormula>Tabell23[[#This Row],[I år]]-E4</calculatedColumnFormula>
    </tableColumn>
  </tableColumns>
  <tableStyleInfo name="TableStyleDark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0000000}" name="Tabell2326" displayName="Tabell2326" ref="H3:K19" totalsRowShown="0" tableBorderDxfId="691">
  <autoFilter ref="H3:K19" xr:uid="{00000000-0009-0000-0100-000019000000}"/>
  <tableColumns count="4">
    <tableColumn id="1" xr3:uid="{00000000-0010-0000-1000-000001000000}" name="För" dataDxfId="690" dataCellStyle="Normal 2"/>
    <tableColumn id="2" xr3:uid="{00000000-0010-0000-1000-000002000000}" name="Efter" dataDxfId="689" dataCellStyle="Normal 2"/>
    <tableColumn id="3" xr3:uid="{00000000-0010-0000-1000-000003000000}" name="I år" dataDxfId="688">
      <calculatedColumnFormula>MIN(Scoreboard!D24:M24)</calculatedColumnFormula>
    </tableColumn>
    <tableColumn id="4" xr3:uid="{00000000-0010-0000-1000-000004000000}" name="Bäst &quot;Ever&quot;" dataDxfId="687"/>
  </tableColumns>
  <tableStyleInfo name="TableStyleDark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1000000}" name="Tabell2427" displayName="Tabell2427" ref="L3:L19" totalsRowShown="0" headerRowDxfId="686" dataDxfId="685" tableBorderDxfId="684">
  <autoFilter ref="L3:L19" xr:uid="{00000000-0009-0000-0100-00001A000000}"/>
  <tableColumns count="1">
    <tableColumn id="1" xr3:uid="{00000000-0010-0000-1100-000001000000}" name="Skillnad" dataDxfId="683">
      <calculatedColumnFormula>Tabell2326[[#This Row],[I år]]-K4</calculatedColumnFormula>
    </tableColumn>
  </tableColumns>
  <tableStyleInfo name="TableStyleDark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3000000}" name="Tabell2" displayName="Tabell2" ref="C4:F47" totalsRowCount="1" headerRowDxfId="682" dataDxfId="680" headerRowBorderDxfId="681" tableBorderDxfId="679" totalsRowBorderDxfId="678">
  <autoFilter ref="C4:F46" xr:uid="{00000000-0009-0000-0100-000002000000}"/>
  <sortState xmlns:xlrd2="http://schemas.microsoft.com/office/spreadsheetml/2017/richdata2" ref="C5:F44">
    <sortCondition descending="1" ref="F4:F44"/>
  </sortState>
  <tableColumns count="4">
    <tableColumn id="1" xr3:uid="{00000000-0010-0000-1300-000001000000}" name="Bana" dataDxfId="677" totalsRowDxfId="676"/>
    <tableColumn id="2" xr3:uid="{00000000-0010-0000-1300-000002000000}" name="Brutto" dataDxfId="675" totalsRowDxfId="674"/>
    <tableColumn id="3" xr3:uid="{00000000-0010-0000-1300-000003000000}" name="Netto" dataDxfId="673" totalsRowDxfId="672"/>
    <tableColumn id="4" xr3:uid="{00000000-0010-0000-1300-000004000000}" name="Antal ggr" totalsRowFunction="custom" dataDxfId="671" totalsRowDxfId="670">
      <totalsRowFormula>SUM(F5:F46)</totalsRowFormula>
    </tableColumn>
  </tableColumns>
  <tableStyleInfo name="TableStyleDark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4000000}" name="Tabell27" displayName="Tabell27" ref="B3:F19" totalsRowShown="0" headerRowDxfId="669" dataDxfId="667" headerRowBorderDxfId="668" tableBorderDxfId="666" totalsRowBorderDxfId="665" headerRowCellStyle="Normal 2">
  <autoFilter ref="B3:F19" xr:uid="{00000000-0009-0000-0100-00001B000000}"/>
  <sortState xmlns:xlrd2="http://schemas.microsoft.com/office/spreadsheetml/2017/richdata2" ref="B4:F18">
    <sortCondition ref="D3:D18"/>
  </sortState>
  <tableColumns count="5">
    <tableColumn id="1" xr3:uid="{00000000-0010-0000-1400-000001000000}" name="För" dataDxfId="664" dataCellStyle="Normal 2"/>
    <tableColumn id="2" xr3:uid="{00000000-0010-0000-1400-000002000000}" name="Efter" dataDxfId="663" dataCellStyle="Normal 2"/>
    <tableColumn id="5" xr3:uid="{00000000-0010-0000-1400-000005000000}" name="Summa" dataDxfId="662" dataCellStyle="Normal 2">
      <calculatedColumnFormula>Scoreboard!Z4</calculatedColumnFormula>
    </tableColumn>
    <tableColumn id="3" xr3:uid="{00000000-0010-0000-1400-000003000000}" name="Plac" dataDxfId="661">
      <calculatedColumnFormula>Tabell8[[#This Row],[Plac]]</calculatedColumnFormula>
    </tableColumn>
    <tableColumn id="4" xr3:uid="{00000000-0010-0000-1400-000004000000}" name="Att slå" dataDxfId="660"/>
  </tableColumns>
  <tableStyleInfo name="TableStyleDark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l6" displayName="Tabell6" ref="P23:Z40" totalsRowShown="0" headerRowDxfId="804" dataDxfId="803" tableBorderDxfId="802">
  <autoFilter ref="P23:Z40" xr:uid="{00000000-0009-0000-0100-000006000000}"/>
  <tableColumns count="11">
    <tableColumn id="1" xr3:uid="{00000000-0010-0000-0200-000001000000}" name="1" dataDxfId="801"/>
    <tableColumn id="2" xr3:uid="{00000000-0010-0000-0200-000002000000}" name="2" dataDxfId="800"/>
    <tableColumn id="3" xr3:uid="{00000000-0010-0000-0200-000003000000}" name="3" dataDxfId="799"/>
    <tableColumn id="4" xr3:uid="{00000000-0010-0000-0200-000004000000}" name="4" dataDxfId="798"/>
    <tableColumn id="5" xr3:uid="{00000000-0010-0000-0200-000005000000}" name="5" dataDxfId="797"/>
    <tableColumn id="6" xr3:uid="{00000000-0010-0000-0200-000006000000}" name="6" dataDxfId="796"/>
    <tableColumn id="7" xr3:uid="{00000000-0010-0000-0200-000007000000}" name="7" dataDxfId="795"/>
    <tableColumn id="8" xr3:uid="{00000000-0010-0000-0200-000008000000}" name="8" dataDxfId="794"/>
    <tableColumn id="11" xr3:uid="{00000000-0010-0000-0200-00000B000000}" name="9" dataDxfId="793"/>
    <tableColumn id="9" xr3:uid="{00000000-0010-0000-0200-000009000000}" name="10" dataDxfId="792"/>
    <tableColumn id="10" xr3:uid="{00000000-0010-0000-0200-00000A000000}" name="Sum" dataDxfId="791">
      <calculatedColumnFormula>SMALL(P24:Y24,1)+SMALL(P24:Y24,2)+SMALL(P24:Y24,3)+SMALL(P24:Y24,4)</calculatedColumnFormula>
    </tableColumn>
  </tableColumns>
  <tableStyleInfo name="TableStyleDark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5000000}" name="Tabell2729" displayName="Tabell2729" ref="H3:L19" totalsRowShown="0" headerRowDxfId="659" dataDxfId="657" headerRowBorderDxfId="658" tableBorderDxfId="656" totalsRowBorderDxfId="655" headerRowCellStyle="Normal 2">
  <autoFilter ref="H3:L19" xr:uid="{00000000-0009-0000-0100-00001C000000}"/>
  <sortState xmlns:xlrd2="http://schemas.microsoft.com/office/spreadsheetml/2017/richdata2" ref="H4:L17">
    <sortCondition ref="K3:K17"/>
  </sortState>
  <tableColumns count="5">
    <tableColumn id="1" xr3:uid="{00000000-0010-0000-1500-000001000000}" name="För" dataDxfId="654" dataCellStyle="Normal 2"/>
    <tableColumn id="2" xr3:uid="{00000000-0010-0000-1500-000002000000}" name="Efter" dataDxfId="653" dataCellStyle="Normal 2"/>
    <tableColumn id="5" xr3:uid="{00000000-0010-0000-1500-000005000000}" name="Summa" dataDxfId="652" dataCellStyle="Normal 2">
      <calculatedColumnFormula>Scoreboard!Z24</calculatedColumnFormula>
    </tableColumn>
    <tableColumn id="3" xr3:uid="{00000000-0010-0000-1500-000003000000}" name="Plac" dataDxfId="651" dataCellStyle="Normal 2">
      <calculatedColumnFormula>RANK(J4,J4:J19,1)</calculatedColumnFormula>
    </tableColumn>
    <tableColumn id="4" xr3:uid="{00000000-0010-0000-1500-000004000000}" name="Att slå" dataDxfId="650">
      <calculatedColumnFormula>SMALL(Scoreboard!P24:Y24,4)</calculatedColumnFormula>
    </tableColumn>
  </tableColumns>
  <tableStyleInfo name="TableStyleDark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16000000}" name="Tabell272969" displayName="Tabell272969" ref="B23:F39" totalsRowShown="0" headerRowDxfId="649" dataDxfId="647" headerRowBorderDxfId="648" tableBorderDxfId="646" totalsRowBorderDxfId="645" headerRowCellStyle="Normal 2">
  <autoFilter ref="B23:F39" xr:uid="{00000000-0009-0000-0100-000044000000}"/>
  <sortState xmlns:xlrd2="http://schemas.microsoft.com/office/spreadsheetml/2017/richdata2" ref="B24:F37">
    <sortCondition ref="E3:E17"/>
  </sortState>
  <tableColumns count="5">
    <tableColumn id="1" xr3:uid="{00000000-0010-0000-1600-000001000000}" name="För" dataDxfId="644" dataCellStyle="Normal 2"/>
    <tableColumn id="2" xr3:uid="{00000000-0010-0000-1600-000002000000}" name="Efter" dataDxfId="643" dataCellStyle="Normal 2"/>
    <tableColumn id="5" xr3:uid="{00000000-0010-0000-1600-000005000000}" name="Summa" dataDxfId="642" dataCellStyle="Normal 2">
      <calculatedColumnFormula>Scoreboard!T43</calculatedColumnFormula>
    </tableColumn>
    <tableColumn id="3" xr3:uid="{00000000-0010-0000-1600-000003000000}" name="Plac" dataDxfId="641" dataCellStyle="Normal 2">
      <calculatedColumnFormula>RANK(D24,D24:D39,1)</calculatedColumnFormula>
    </tableColumn>
    <tableColumn id="4" xr3:uid="{00000000-0010-0000-1600-000004000000}" name="Att slå" dataDxfId="640">
      <calculatedColumnFormula>SMALL(Scoreboard!J43:S43,4)</calculatedColumnFormula>
    </tableColumn>
  </tableColumns>
  <tableStyleInfo name="TableStyleDark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1C0B832-7AF8-4C51-94B0-816A3634E779}" name="Tabell16" displayName="Tabell16" ref="D2:H18" totalsRowShown="0" headerRowDxfId="639" dataDxfId="637" headerRowBorderDxfId="638" tableBorderDxfId="636">
  <autoFilter ref="D2:H18" xr:uid="{CE934EE5-D76B-4C99-9D54-5ED5633398A7}"/>
  <sortState xmlns:xlrd2="http://schemas.microsoft.com/office/spreadsheetml/2017/richdata2" ref="D3:H18">
    <sortCondition descending="1" ref="H2:H18"/>
  </sortState>
  <tableColumns count="5">
    <tableColumn id="1" xr3:uid="{A79CC55E-3A50-4A2E-A028-A211338AA4FB}" name="Player" dataDxfId="635"/>
    <tableColumn id="2" xr3:uid="{9E168BE8-84E4-4EC2-9945-764BEE4B923D}" name="Name" dataDxfId="634"/>
    <tableColumn id="3" xr3:uid="{4543364A-59BF-4416-8B95-56F88C46A2BE}" name="Form-Ind" dataDxfId="633"/>
    <tableColumn id="4" xr3:uid="{3941D92C-5DCA-47C1-A55A-F43BE49B20F9}" name="ATP" dataDxfId="632"/>
    <tableColumn id="5" xr3:uid="{EF1EEFF8-E3F7-4F88-B15E-93D5DBC3493D}" name="PGA" dataDxfId="631"/>
  </tableColumns>
  <tableStyleInfo name="TableStyleDark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B86B53E-1A54-4456-A078-C1B9BEB8BDC9}" name="Tabell32" displayName="Tabell32" ref="B2:B18" totalsRowShown="0" headerRowDxfId="630" dataDxfId="628" headerRowBorderDxfId="629" tableBorderDxfId="627" totalsRowBorderDxfId="626">
  <tableColumns count="1">
    <tableColumn id="1" xr3:uid="{F69B8940-CB3F-4EF4-AFDC-BC2D6FDC8823}" name="Rank" dataDxfId="625"/>
  </tableColumns>
  <tableStyleInfo name="TableStyleMedium1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1B99A06-DBDC-4481-BF43-37E39401CF3A}" name="Tabell64" displayName="Tabell64" ref="I2:I18" totalsRowShown="0" headerRowDxfId="624" dataDxfId="622" headerRowBorderDxfId="623" tableBorderDxfId="621" totalsRowBorderDxfId="620">
  <autoFilter ref="I2:I18" xr:uid="{7CB72A7C-5C61-4F14-90EC-30678AB22B20}"/>
  <sortState xmlns:xlrd2="http://schemas.microsoft.com/office/spreadsheetml/2017/richdata2" ref="I3:I18">
    <sortCondition descending="1" ref="I2:I18"/>
  </sortState>
  <tableColumns count="1">
    <tableColumn id="1" xr3:uid="{2E5FE50F-362C-49EB-AD72-B6A5C46C54EB}" name="Bd/P" dataDxfId="619"/>
  </tableColumns>
  <tableStyleInfo name="TableStyleDark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7000000}" name="Tabell5" displayName="Tabell5" ref="B4:V21" totalsRowShown="0" headerRowDxfId="579" dataDxfId="577" headerRowBorderDxfId="578" tableBorderDxfId="576">
  <autoFilter ref="B4:V21" xr:uid="{00000000-0009-0000-0100-000005000000}"/>
  <tableColumns count="21">
    <tableColumn id="1" xr3:uid="{00000000-0010-0000-1700-000001000000}" name="För" dataDxfId="575" dataCellStyle="Normal 2"/>
    <tableColumn id="2" xr3:uid="{00000000-0010-0000-1700-000002000000}" name="Efter" dataDxfId="574" dataCellStyle="Normal 2"/>
    <tableColumn id="3" xr3:uid="{00000000-0010-0000-1700-000003000000}" name="1" dataDxfId="573"/>
    <tableColumn id="4" xr3:uid="{00000000-0010-0000-1700-000004000000}" name="2" dataDxfId="572"/>
    <tableColumn id="5" xr3:uid="{00000000-0010-0000-1700-000005000000}" name="3" dataDxfId="571"/>
    <tableColumn id="6" xr3:uid="{00000000-0010-0000-1700-000006000000}" name="4" dataDxfId="570"/>
    <tableColumn id="7" xr3:uid="{00000000-0010-0000-1700-000007000000}" name="5" dataDxfId="569"/>
    <tableColumn id="8" xr3:uid="{00000000-0010-0000-1700-000008000000}" name="6" dataDxfId="568"/>
    <tableColumn id="9" xr3:uid="{00000000-0010-0000-1700-000009000000}" name="7" dataDxfId="567"/>
    <tableColumn id="10" xr3:uid="{00000000-0010-0000-1700-00000A000000}" name="8" dataDxfId="566"/>
    <tableColumn id="11" xr3:uid="{00000000-0010-0000-1700-00000B000000}" name="9" dataDxfId="565"/>
    <tableColumn id="12" xr3:uid="{00000000-0010-0000-1700-00000C000000}" name="10" dataDxfId="564"/>
    <tableColumn id="13" xr3:uid="{00000000-0010-0000-1700-00000D000000}" name="11" dataDxfId="563"/>
    <tableColumn id="14" xr3:uid="{00000000-0010-0000-1700-00000E000000}" name="12" dataDxfId="562"/>
    <tableColumn id="15" xr3:uid="{00000000-0010-0000-1700-00000F000000}" name="13" dataDxfId="561"/>
    <tableColumn id="16" xr3:uid="{00000000-0010-0000-1700-000010000000}" name="14" dataDxfId="560"/>
    <tableColumn id="17" xr3:uid="{00000000-0010-0000-1700-000011000000}" name="15" dataDxfId="559"/>
    <tableColumn id="18" xr3:uid="{00000000-0010-0000-1700-000012000000}" name="16" dataDxfId="558"/>
    <tableColumn id="19" xr3:uid="{00000000-0010-0000-1700-000013000000}" name="17" dataDxfId="557"/>
    <tableColumn id="20" xr3:uid="{00000000-0010-0000-1700-000014000000}" name="18" dataDxfId="556"/>
    <tableColumn id="21" xr3:uid="{00000000-0010-0000-1700-000015000000}" name="Tot" dataDxfId="555">
      <calculatedColumnFormula>SUM(D5:U5)</calculatedColumnFormula>
    </tableColumn>
  </tableColumns>
  <tableStyleInfo name="TableStyleDark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8000000}" name="Tabell7" displayName="Tabell7" ref="B25:V35" totalsRowShown="0" headerRowDxfId="554" dataDxfId="552" headerRowBorderDxfId="553" tableBorderDxfId="551">
  <autoFilter ref="B25:V35" xr:uid="{00000000-0009-0000-0100-000007000000}"/>
  <tableColumns count="21">
    <tableColumn id="1" xr3:uid="{00000000-0010-0000-1800-000001000000}" name="För" dataDxfId="550" dataCellStyle="Normal 2"/>
    <tableColumn id="2" xr3:uid="{00000000-0010-0000-1800-000002000000}" name="Efter" dataDxfId="549" dataCellStyle="Normal 2"/>
    <tableColumn id="3" xr3:uid="{00000000-0010-0000-1800-000003000000}" name="1" dataDxfId="548"/>
    <tableColumn id="4" xr3:uid="{00000000-0010-0000-1800-000004000000}" name="2" dataDxfId="547"/>
    <tableColumn id="5" xr3:uid="{00000000-0010-0000-1800-000005000000}" name="3" dataDxfId="546"/>
    <tableColumn id="6" xr3:uid="{00000000-0010-0000-1800-000006000000}" name="4" dataDxfId="545"/>
    <tableColumn id="7" xr3:uid="{00000000-0010-0000-1800-000007000000}" name="5" dataDxfId="544"/>
    <tableColumn id="8" xr3:uid="{00000000-0010-0000-1800-000008000000}" name="6" dataDxfId="543"/>
    <tableColumn id="9" xr3:uid="{00000000-0010-0000-1800-000009000000}" name="7" dataDxfId="542"/>
    <tableColumn id="10" xr3:uid="{00000000-0010-0000-1800-00000A000000}" name="8" dataDxfId="541"/>
    <tableColumn id="11" xr3:uid="{00000000-0010-0000-1800-00000B000000}" name="9" dataDxfId="540"/>
    <tableColumn id="12" xr3:uid="{00000000-0010-0000-1800-00000C000000}" name="10" dataDxfId="539"/>
    <tableColumn id="13" xr3:uid="{00000000-0010-0000-1800-00000D000000}" name="11" dataDxfId="538"/>
    <tableColumn id="14" xr3:uid="{00000000-0010-0000-1800-00000E000000}" name="12" dataDxfId="537"/>
    <tableColumn id="15" xr3:uid="{00000000-0010-0000-1800-00000F000000}" name="13" dataDxfId="536"/>
    <tableColumn id="16" xr3:uid="{00000000-0010-0000-1800-000010000000}" name="14" dataDxfId="535"/>
    <tableColumn id="17" xr3:uid="{00000000-0010-0000-1800-000011000000}" name="15" dataDxfId="534"/>
    <tableColumn id="18" xr3:uid="{00000000-0010-0000-1800-000012000000}" name="16" dataDxfId="533"/>
    <tableColumn id="19" xr3:uid="{00000000-0010-0000-1800-000013000000}" name="17" dataDxfId="532"/>
    <tableColumn id="20" xr3:uid="{00000000-0010-0000-1800-000014000000}" name="18" dataDxfId="531"/>
    <tableColumn id="21" xr3:uid="{00000000-0010-0000-1800-000015000000}" name="Tot" dataDxfId="530">
      <calculatedColumnFormula>SUM(D26:U26)</calculatedColumnFormula>
    </tableColumn>
  </tableColumns>
  <tableStyleInfo name="TableStyleDark3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9000000}" name="Tabell714" displayName="Tabell714" ref="B37:V47" totalsRowShown="0" headerRowDxfId="529" dataDxfId="527" headerRowBorderDxfId="528" tableBorderDxfId="526">
  <autoFilter ref="B37:V47" xr:uid="{00000000-0009-0000-0100-00000D000000}"/>
  <tableColumns count="21">
    <tableColumn id="1" xr3:uid="{00000000-0010-0000-1900-000001000000}" name="För" dataDxfId="525" dataCellStyle="Normal 2"/>
    <tableColumn id="2" xr3:uid="{00000000-0010-0000-1900-000002000000}" name="Efter" dataDxfId="524" dataCellStyle="Normal 2"/>
    <tableColumn id="3" xr3:uid="{00000000-0010-0000-1900-000003000000}" name="1" dataDxfId="523"/>
    <tableColumn id="4" xr3:uid="{00000000-0010-0000-1900-000004000000}" name="2" dataDxfId="522"/>
    <tableColumn id="5" xr3:uid="{00000000-0010-0000-1900-000005000000}" name="3" dataDxfId="521"/>
    <tableColumn id="6" xr3:uid="{00000000-0010-0000-1900-000006000000}" name="4" dataDxfId="520"/>
    <tableColumn id="7" xr3:uid="{00000000-0010-0000-1900-000007000000}" name="5" dataDxfId="519"/>
    <tableColumn id="8" xr3:uid="{00000000-0010-0000-1900-000008000000}" name="6" dataDxfId="518"/>
    <tableColumn id="9" xr3:uid="{00000000-0010-0000-1900-000009000000}" name="7" dataDxfId="517"/>
    <tableColumn id="10" xr3:uid="{00000000-0010-0000-1900-00000A000000}" name="8" dataDxfId="516"/>
    <tableColumn id="11" xr3:uid="{00000000-0010-0000-1900-00000B000000}" name="9" dataDxfId="515"/>
    <tableColumn id="12" xr3:uid="{00000000-0010-0000-1900-00000C000000}" name="10" dataDxfId="514"/>
    <tableColumn id="13" xr3:uid="{00000000-0010-0000-1900-00000D000000}" name="11" dataDxfId="513"/>
    <tableColumn id="14" xr3:uid="{00000000-0010-0000-1900-00000E000000}" name="12" dataDxfId="512"/>
    <tableColumn id="15" xr3:uid="{00000000-0010-0000-1900-00000F000000}" name="13" dataDxfId="511"/>
    <tableColumn id="16" xr3:uid="{00000000-0010-0000-1900-000010000000}" name="14" dataDxfId="510"/>
    <tableColumn id="17" xr3:uid="{00000000-0010-0000-1900-000011000000}" name="15" dataDxfId="509"/>
    <tableColumn id="18" xr3:uid="{00000000-0010-0000-1900-000012000000}" name="16" dataDxfId="508"/>
    <tableColumn id="19" xr3:uid="{00000000-0010-0000-1900-000013000000}" name="17" dataDxfId="507"/>
    <tableColumn id="20" xr3:uid="{00000000-0010-0000-1900-000014000000}" name="18" dataDxfId="506"/>
    <tableColumn id="21" xr3:uid="{00000000-0010-0000-1900-000015000000}" name="Tot" dataDxfId="505">
      <calculatedColumnFormula>SUM(D38:U38)</calculatedColumnFormula>
    </tableColumn>
  </tableColumns>
  <tableStyleInfo name="TableStyleDark3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1A000000}" name="Tabell71415" displayName="Tabell71415" ref="B50:V60" totalsRowShown="0" headerRowDxfId="504" dataDxfId="502" headerRowBorderDxfId="503" tableBorderDxfId="501">
  <autoFilter ref="B50:V60" xr:uid="{00000000-0009-0000-0100-00000E000000}"/>
  <tableColumns count="21">
    <tableColumn id="1" xr3:uid="{00000000-0010-0000-1A00-000001000000}" name="För" dataDxfId="500" dataCellStyle="Normal 2"/>
    <tableColumn id="2" xr3:uid="{00000000-0010-0000-1A00-000002000000}" name="Efter" dataDxfId="499" dataCellStyle="Normal 2"/>
    <tableColumn id="3" xr3:uid="{00000000-0010-0000-1A00-000003000000}" name="1" dataDxfId="498"/>
    <tableColumn id="4" xr3:uid="{00000000-0010-0000-1A00-000004000000}" name="2" dataDxfId="497"/>
    <tableColumn id="5" xr3:uid="{00000000-0010-0000-1A00-000005000000}" name="3" dataDxfId="496"/>
    <tableColumn id="6" xr3:uid="{00000000-0010-0000-1A00-000006000000}" name="4" dataDxfId="495"/>
    <tableColumn id="7" xr3:uid="{00000000-0010-0000-1A00-000007000000}" name="5" dataDxfId="494"/>
    <tableColumn id="8" xr3:uid="{00000000-0010-0000-1A00-000008000000}" name="6" dataDxfId="493"/>
    <tableColumn id="9" xr3:uid="{00000000-0010-0000-1A00-000009000000}" name="7" dataDxfId="492"/>
    <tableColumn id="10" xr3:uid="{00000000-0010-0000-1A00-00000A000000}" name="8" dataDxfId="491"/>
    <tableColumn id="11" xr3:uid="{00000000-0010-0000-1A00-00000B000000}" name="9" dataDxfId="490"/>
    <tableColumn id="12" xr3:uid="{00000000-0010-0000-1A00-00000C000000}" name="10" dataDxfId="489"/>
    <tableColumn id="13" xr3:uid="{00000000-0010-0000-1A00-00000D000000}" name="11" dataDxfId="488"/>
    <tableColumn id="14" xr3:uid="{00000000-0010-0000-1A00-00000E000000}" name="12" dataDxfId="487"/>
    <tableColumn id="15" xr3:uid="{00000000-0010-0000-1A00-00000F000000}" name="13" dataDxfId="486"/>
    <tableColumn id="16" xr3:uid="{00000000-0010-0000-1A00-000010000000}" name="14" dataDxfId="485"/>
    <tableColumn id="17" xr3:uid="{00000000-0010-0000-1A00-000011000000}" name="15" dataDxfId="484"/>
    <tableColumn id="18" xr3:uid="{00000000-0010-0000-1A00-000012000000}" name="16" dataDxfId="483"/>
    <tableColumn id="19" xr3:uid="{00000000-0010-0000-1A00-000013000000}" name="17" dataDxfId="482"/>
    <tableColumn id="20" xr3:uid="{00000000-0010-0000-1A00-000014000000}" name="18" dataDxfId="481"/>
    <tableColumn id="21" xr3:uid="{00000000-0010-0000-1A00-000015000000}" name="Tot" dataDxfId="480">
      <calculatedColumnFormula>SUM(D51:U51)</calculatedColumnFormula>
    </tableColumn>
  </tableColumns>
  <tableStyleInfo name="TableStyleDark3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B000000}" name="Tabell7141520" displayName="Tabell7141520" ref="B62:V72" totalsRowShown="0" headerRowDxfId="479" dataDxfId="477" headerRowBorderDxfId="478" tableBorderDxfId="476">
  <autoFilter ref="B62:V72" xr:uid="{00000000-0009-0000-0100-000013000000}"/>
  <tableColumns count="21">
    <tableColumn id="1" xr3:uid="{00000000-0010-0000-1B00-000001000000}" name="För" dataDxfId="475" dataCellStyle="Normal 2"/>
    <tableColumn id="2" xr3:uid="{00000000-0010-0000-1B00-000002000000}" name="Efter" dataDxfId="474" dataCellStyle="Normal 2"/>
    <tableColumn id="3" xr3:uid="{00000000-0010-0000-1B00-000003000000}" name="1" dataDxfId="473"/>
    <tableColumn id="4" xr3:uid="{00000000-0010-0000-1B00-000004000000}" name="2" dataDxfId="472"/>
    <tableColumn id="5" xr3:uid="{00000000-0010-0000-1B00-000005000000}" name="3" dataDxfId="471"/>
    <tableColumn id="6" xr3:uid="{00000000-0010-0000-1B00-000006000000}" name="4" dataDxfId="470"/>
    <tableColumn id="7" xr3:uid="{00000000-0010-0000-1B00-000007000000}" name="5" dataDxfId="469"/>
    <tableColumn id="8" xr3:uid="{00000000-0010-0000-1B00-000008000000}" name="6" dataDxfId="468"/>
    <tableColumn id="9" xr3:uid="{00000000-0010-0000-1B00-000009000000}" name="7" dataDxfId="467"/>
    <tableColumn id="10" xr3:uid="{00000000-0010-0000-1B00-00000A000000}" name="8" dataDxfId="466"/>
    <tableColumn id="11" xr3:uid="{00000000-0010-0000-1B00-00000B000000}" name="9" dataDxfId="465"/>
    <tableColumn id="12" xr3:uid="{00000000-0010-0000-1B00-00000C000000}" name="10" dataDxfId="464"/>
    <tableColumn id="13" xr3:uid="{00000000-0010-0000-1B00-00000D000000}" name="11" dataDxfId="463"/>
    <tableColumn id="14" xr3:uid="{00000000-0010-0000-1B00-00000E000000}" name="12" dataDxfId="462"/>
    <tableColumn id="15" xr3:uid="{00000000-0010-0000-1B00-00000F000000}" name="13" dataDxfId="461"/>
    <tableColumn id="16" xr3:uid="{00000000-0010-0000-1B00-000010000000}" name="14" dataDxfId="460"/>
    <tableColumn id="17" xr3:uid="{00000000-0010-0000-1B00-000011000000}" name="15" dataDxfId="459"/>
    <tableColumn id="18" xr3:uid="{00000000-0010-0000-1B00-000012000000}" name="16" dataDxfId="458"/>
    <tableColumn id="19" xr3:uid="{00000000-0010-0000-1B00-000013000000}" name="17" dataDxfId="457"/>
    <tableColumn id="20" xr3:uid="{00000000-0010-0000-1B00-000014000000}" name="18" dataDxfId="456"/>
    <tableColumn id="21" xr3:uid="{00000000-0010-0000-1B00-000015000000}" name="Tot" dataDxfId="455">
      <calculatedColumnFormula>SUM(D63:U63)</calculatedColumnFormula>
    </tableColumn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ell8" displayName="Tabell8" ref="AA3:AA19" totalsRowCount="1" headerRowDxfId="790" dataDxfId="788" headerRowBorderDxfId="789" tableBorderDxfId="787">
  <autoFilter ref="AA3:AA18" xr:uid="{00000000-0009-0000-0100-000008000000}"/>
  <tableColumns count="1">
    <tableColumn id="1" xr3:uid="{00000000-0010-0000-0300-000001000000}" name="Plac" totalsRowFunction="custom" dataDxfId="786" totalsRowDxfId="785">
      <totalsRowFormula>RANK(Z19,Z4:Z19,1)</totalsRowFormula>
    </tableColumn>
  </tableColumns>
  <tableStyleInfo name="TableStyleDark4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C000000}" name="Tabell714152021" displayName="Tabell714152021" ref="B74:V84" totalsRowShown="0" headerRowDxfId="454" dataDxfId="452" headerRowBorderDxfId="453" tableBorderDxfId="451">
  <autoFilter ref="B74:V84" xr:uid="{00000000-0009-0000-0100-000014000000}"/>
  <tableColumns count="21">
    <tableColumn id="1" xr3:uid="{00000000-0010-0000-1C00-000001000000}" name="För" dataDxfId="450" dataCellStyle="Normal 2"/>
    <tableColumn id="2" xr3:uid="{00000000-0010-0000-1C00-000002000000}" name="Efter" dataDxfId="449" dataCellStyle="Normal 2"/>
    <tableColumn id="3" xr3:uid="{00000000-0010-0000-1C00-000003000000}" name="1" dataDxfId="448"/>
    <tableColumn id="4" xr3:uid="{00000000-0010-0000-1C00-000004000000}" name="2" dataDxfId="447"/>
    <tableColumn id="5" xr3:uid="{00000000-0010-0000-1C00-000005000000}" name="3" dataDxfId="446"/>
    <tableColumn id="6" xr3:uid="{00000000-0010-0000-1C00-000006000000}" name="4" dataDxfId="445"/>
    <tableColumn id="7" xr3:uid="{00000000-0010-0000-1C00-000007000000}" name="5" dataDxfId="444"/>
    <tableColumn id="8" xr3:uid="{00000000-0010-0000-1C00-000008000000}" name="6" dataDxfId="443"/>
    <tableColumn id="9" xr3:uid="{00000000-0010-0000-1C00-000009000000}" name="7" dataDxfId="442"/>
    <tableColumn id="10" xr3:uid="{00000000-0010-0000-1C00-00000A000000}" name="8" dataDxfId="441"/>
    <tableColumn id="11" xr3:uid="{00000000-0010-0000-1C00-00000B000000}" name="9" dataDxfId="440"/>
    <tableColumn id="12" xr3:uid="{00000000-0010-0000-1C00-00000C000000}" name="10" dataDxfId="439"/>
    <tableColumn id="13" xr3:uid="{00000000-0010-0000-1C00-00000D000000}" name="11" dataDxfId="438"/>
    <tableColumn id="14" xr3:uid="{00000000-0010-0000-1C00-00000E000000}" name="12" dataDxfId="437"/>
    <tableColumn id="15" xr3:uid="{00000000-0010-0000-1C00-00000F000000}" name="13" dataDxfId="436"/>
    <tableColumn id="16" xr3:uid="{00000000-0010-0000-1C00-000010000000}" name="14" dataDxfId="435"/>
    <tableColumn id="17" xr3:uid="{00000000-0010-0000-1C00-000011000000}" name="15" dataDxfId="434"/>
    <tableColumn id="18" xr3:uid="{00000000-0010-0000-1C00-000012000000}" name="16" dataDxfId="433"/>
    <tableColumn id="19" xr3:uid="{00000000-0010-0000-1C00-000013000000}" name="17" dataDxfId="432"/>
    <tableColumn id="20" xr3:uid="{00000000-0010-0000-1C00-000014000000}" name="18" dataDxfId="431"/>
    <tableColumn id="21" xr3:uid="{00000000-0010-0000-1C00-000015000000}" name="Tot" dataDxfId="430">
      <calculatedColumnFormula>SUM(D75:U75)</calculatedColumnFormula>
    </tableColumn>
  </tableColumns>
  <tableStyleInfo name="TableStyleDark3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D000000}" name="Tabell71415202134" displayName="Tabell71415202134" ref="B86:V96" totalsRowShown="0" headerRowDxfId="429" dataDxfId="427" headerRowBorderDxfId="428" tableBorderDxfId="426">
  <autoFilter ref="B86:V96" xr:uid="{00000000-0009-0000-0100-000021000000}"/>
  <tableColumns count="21">
    <tableColumn id="1" xr3:uid="{00000000-0010-0000-1D00-000001000000}" name="För" dataDxfId="425" dataCellStyle="Normal 2"/>
    <tableColumn id="2" xr3:uid="{00000000-0010-0000-1D00-000002000000}" name="Efter" dataDxfId="424" dataCellStyle="Normal 2"/>
    <tableColumn id="3" xr3:uid="{00000000-0010-0000-1D00-000003000000}" name="1" dataDxfId="423"/>
    <tableColumn id="4" xr3:uid="{00000000-0010-0000-1D00-000004000000}" name="2" dataDxfId="422"/>
    <tableColumn id="5" xr3:uid="{00000000-0010-0000-1D00-000005000000}" name="3" dataDxfId="421"/>
    <tableColumn id="6" xr3:uid="{00000000-0010-0000-1D00-000006000000}" name="4" dataDxfId="420"/>
    <tableColumn id="7" xr3:uid="{00000000-0010-0000-1D00-000007000000}" name="5" dataDxfId="419"/>
    <tableColumn id="8" xr3:uid="{00000000-0010-0000-1D00-000008000000}" name="6" dataDxfId="418"/>
    <tableColumn id="9" xr3:uid="{00000000-0010-0000-1D00-000009000000}" name="7" dataDxfId="417"/>
    <tableColumn id="10" xr3:uid="{00000000-0010-0000-1D00-00000A000000}" name="8" dataDxfId="416"/>
    <tableColumn id="11" xr3:uid="{00000000-0010-0000-1D00-00000B000000}" name="9" dataDxfId="415"/>
    <tableColumn id="12" xr3:uid="{00000000-0010-0000-1D00-00000C000000}" name="10" dataDxfId="414"/>
    <tableColumn id="13" xr3:uid="{00000000-0010-0000-1D00-00000D000000}" name="11" dataDxfId="413"/>
    <tableColumn id="14" xr3:uid="{00000000-0010-0000-1D00-00000E000000}" name="12" dataDxfId="412"/>
    <tableColumn id="15" xr3:uid="{00000000-0010-0000-1D00-00000F000000}" name="13" dataDxfId="411"/>
    <tableColumn id="16" xr3:uid="{00000000-0010-0000-1D00-000010000000}" name="14" dataDxfId="410"/>
    <tableColumn id="17" xr3:uid="{00000000-0010-0000-1D00-000011000000}" name="15" dataDxfId="409"/>
    <tableColumn id="18" xr3:uid="{00000000-0010-0000-1D00-000012000000}" name="16" dataDxfId="408"/>
    <tableColumn id="19" xr3:uid="{00000000-0010-0000-1D00-000013000000}" name="17" dataDxfId="407"/>
    <tableColumn id="20" xr3:uid="{00000000-0010-0000-1D00-000014000000}" name="18" dataDxfId="406"/>
    <tableColumn id="21" xr3:uid="{00000000-0010-0000-1D00-000015000000}" name="Tot" dataDxfId="405">
      <calculatedColumnFormula>SUM(D87:U87)</calculatedColumnFormula>
    </tableColumn>
  </tableColumns>
  <tableStyleInfo name="TableStyleDark3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abell7141520213435" displayName="Tabell7141520213435" ref="B98:V108" totalsRowShown="0" headerRowDxfId="404" dataDxfId="402" headerRowBorderDxfId="403" tableBorderDxfId="401">
  <autoFilter ref="B98:V108" xr:uid="{00000000-0009-0000-0100-000022000000}"/>
  <tableColumns count="21">
    <tableColumn id="1" xr3:uid="{00000000-0010-0000-1E00-000001000000}" name="För" dataDxfId="400" dataCellStyle="Normal 2"/>
    <tableColumn id="2" xr3:uid="{00000000-0010-0000-1E00-000002000000}" name="Efter" dataDxfId="399" dataCellStyle="Normal 2"/>
    <tableColumn id="3" xr3:uid="{00000000-0010-0000-1E00-000003000000}" name="1" dataDxfId="398"/>
    <tableColumn id="4" xr3:uid="{00000000-0010-0000-1E00-000004000000}" name="2" dataDxfId="397"/>
    <tableColumn id="5" xr3:uid="{00000000-0010-0000-1E00-000005000000}" name="3" dataDxfId="396"/>
    <tableColumn id="6" xr3:uid="{00000000-0010-0000-1E00-000006000000}" name="4" dataDxfId="395"/>
    <tableColumn id="7" xr3:uid="{00000000-0010-0000-1E00-000007000000}" name="5" dataDxfId="394"/>
    <tableColumn id="8" xr3:uid="{00000000-0010-0000-1E00-000008000000}" name="6" dataDxfId="393"/>
    <tableColumn id="9" xr3:uid="{00000000-0010-0000-1E00-000009000000}" name="7" dataDxfId="392"/>
    <tableColumn id="10" xr3:uid="{00000000-0010-0000-1E00-00000A000000}" name="8" dataDxfId="391"/>
    <tableColumn id="11" xr3:uid="{00000000-0010-0000-1E00-00000B000000}" name="9" dataDxfId="390"/>
    <tableColumn id="12" xr3:uid="{00000000-0010-0000-1E00-00000C000000}" name="10" dataDxfId="389"/>
    <tableColumn id="13" xr3:uid="{00000000-0010-0000-1E00-00000D000000}" name="11" dataDxfId="388"/>
    <tableColumn id="14" xr3:uid="{00000000-0010-0000-1E00-00000E000000}" name="12" dataDxfId="387"/>
    <tableColumn id="15" xr3:uid="{00000000-0010-0000-1E00-00000F000000}" name="13" dataDxfId="386"/>
    <tableColumn id="16" xr3:uid="{00000000-0010-0000-1E00-000010000000}" name="14" dataDxfId="385"/>
    <tableColumn id="17" xr3:uid="{00000000-0010-0000-1E00-000011000000}" name="15" dataDxfId="384"/>
    <tableColumn id="18" xr3:uid="{00000000-0010-0000-1E00-000012000000}" name="16" dataDxfId="383"/>
    <tableColumn id="19" xr3:uid="{00000000-0010-0000-1E00-000013000000}" name="17" dataDxfId="382"/>
    <tableColumn id="20" xr3:uid="{00000000-0010-0000-1E00-000014000000}" name="18" dataDxfId="381"/>
    <tableColumn id="21" xr3:uid="{00000000-0010-0000-1E00-000015000000}" name="Tot" dataDxfId="380">
      <calculatedColumnFormula>SUM(D99:U99)</calculatedColumnFormula>
    </tableColumn>
  </tableColumns>
  <tableStyleInfo name="TableStyleDark3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1F000000}" name="Tabell714152021343536" displayName="Tabell714152021343536" ref="B110:V120" totalsRowShown="0" headerRowDxfId="379" dataDxfId="377" headerRowBorderDxfId="378" tableBorderDxfId="376">
  <autoFilter ref="B110:V120" xr:uid="{00000000-0009-0000-0100-000023000000}"/>
  <tableColumns count="21">
    <tableColumn id="1" xr3:uid="{00000000-0010-0000-1F00-000001000000}" name="För" dataDxfId="375" dataCellStyle="Normal 2"/>
    <tableColumn id="2" xr3:uid="{00000000-0010-0000-1F00-000002000000}" name="Efter" dataDxfId="374" dataCellStyle="Normal 2"/>
    <tableColumn id="3" xr3:uid="{00000000-0010-0000-1F00-000003000000}" name="1" dataDxfId="373"/>
    <tableColumn id="4" xr3:uid="{00000000-0010-0000-1F00-000004000000}" name="2" dataDxfId="372"/>
    <tableColumn id="5" xr3:uid="{00000000-0010-0000-1F00-000005000000}" name="3" dataDxfId="371"/>
    <tableColumn id="6" xr3:uid="{00000000-0010-0000-1F00-000006000000}" name="4" dataDxfId="370"/>
    <tableColumn id="7" xr3:uid="{00000000-0010-0000-1F00-000007000000}" name="5" dataDxfId="369"/>
    <tableColumn id="8" xr3:uid="{00000000-0010-0000-1F00-000008000000}" name="6" dataDxfId="368"/>
    <tableColumn id="9" xr3:uid="{00000000-0010-0000-1F00-000009000000}" name="7" dataDxfId="367"/>
    <tableColumn id="10" xr3:uid="{00000000-0010-0000-1F00-00000A000000}" name="8" dataDxfId="366"/>
    <tableColumn id="11" xr3:uid="{00000000-0010-0000-1F00-00000B000000}" name="9" dataDxfId="365"/>
    <tableColumn id="12" xr3:uid="{00000000-0010-0000-1F00-00000C000000}" name="10" dataDxfId="364"/>
    <tableColumn id="13" xr3:uid="{00000000-0010-0000-1F00-00000D000000}" name="11" dataDxfId="363"/>
    <tableColumn id="14" xr3:uid="{00000000-0010-0000-1F00-00000E000000}" name="12" dataDxfId="362"/>
    <tableColumn id="15" xr3:uid="{00000000-0010-0000-1F00-00000F000000}" name="13" dataDxfId="361"/>
    <tableColumn id="16" xr3:uid="{00000000-0010-0000-1F00-000010000000}" name="14" dataDxfId="360"/>
    <tableColumn id="17" xr3:uid="{00000000-0010-0000-1F00-000011000000}" name="15" dataDxfId="359"/>
    <tableColumn id="18" xr3:uid="{00000000-0010-0000-1F00-000012000000}" name="16" dataDxfId="358"/>
    <tableColumn id="19" xr3:uid="{00000000-0010-0000-1F00-000013000000}" name="17" dataDxfId="357"/>
    <tableColumn id="20" xr3:uid="{00000000-0010-0000-1F00-000014000000}" name="18" dataDxfId="356"/>
    <tableColumn id="21" xr3:uid="{00000000-0010-0000-1F00-000015000000}" name="Tot" dataDxfId="355">
      <calculatedColumnFormula>SUM(D111:U111)</calculatedColumnFormula>
    </tableColumn>
  </tableColumns>
  <tableStyleInfo name="TableStyleDark3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0000000}" name="Tabell71415202134353637" displayName="Tabell71415202134353637" ref="B122:V132" totalsRowShown="0" headerRowDxfId="354" dataDxfId="352" headerRowBorderDxfId="353" tableBorderDxfId="351">
  <autoFilter ref="B122:V132" xr:uid="{00000000-0009-0000-0100-000024000000}"/>
  <tableColumns count="21">
    <tableColumn id="1" xr3:uid="{00000000-0010-0000-2000-000001000000}" name="För" dataDxfId="350" dataCellStyle="Normal 2"/>
    <tableColumn id="2" xr3:uid="{00000000-0010-0000-2000-000002000000}" name="Efter" dataDxfId="349" dataCellStyle="Normal 2"/>
    <tableColumn id="3" xr3:uid="{00000000-0010-0000-2000-000003000000}" name="1" dataDxfId="348"/>
    <tableColumn id="4" xr3:uid="{00000000-0010-0000-2000-000004000000}" name="2" dataDxfId="347"/>
    <tableColumn id="5" xr3:uid="{00000000-0010-0000-2000-000005000000}" name="3" dataDxfId="346"/>
    <tableColumn id="6" xr3:uid="{00000000-0010-0000-2000-000006000000}" name="4" dataDxfId="345"/>
    <tableColumn id="7" xr3:uid="{00000000-0010-0000-2000-000007000000}" name="5" dataDxfId="344"/>
    <tableColumn id="8" xr3:uid="{00000000-0010-0000-2000-000008000000}" name="6" dataDxfId="343"/>
    <tableColumn id="9" xr3:uid="{00000000-0010-0000-2000-000009000000}" name="7" dataDxfId="342"/>
    <tableColumn id="10" xr3:uid="{00000000-0010-0000-2000-00000A000000}" name="8" dataDxfId="341"/>
    <tableColumn id="11" xr3:uid="{00000000-0010-0000-2000-00000B000000}" name="9" dataDxfId="340"/>
    <tableColumn id="12" xr3:uid="{00000000-0010-0000-2000-00000C000000}" name="10" dataDxfId="339"/>
    <tableColumn id="13" xr3:uid="{00000000-0010-0000-2000-00000D000000}" name="11" dataDxfId="338"/>
    <tableColumn id="14" xr3:uid="{00000000-0010-0000-2000-00000E000000}" name="12" dataDxfId="337"/>
    <tableColumn id="15" xr3:uid="{00000000-0010-0000-2000-00000F000000}" name="13" dataDxfId="336"/>
    <tableColumn id="16" xr3:uid="{00000000-0010-0000-2000-000010000000}" name="14" dataDxfId="335"/>
    <tableColumn id="17" xr3:uid="{00000000-0010-0000-2000-000011000000}" name="15" dataDxfId="334"/>
    <tableColumn id="18" xr3:uid="{00000000-0010-0000-2000-000012000000}" name="16" dataDxfId="333"/>
    <tableColumn id="19" xr3:uid="{00000000-0010-0000-2000-000013000000}" name="17" dataDxfId="332"/>
    <tableColumn id="20" xr3:uid="{00000000-0010-0000-2000-000014000000}" name="18" dataDxfId="331"/>
    <tableColumn id="21" xr3:uid="{00000000-0010-0000-2000-000015000000}" name="Tot" dataDxfId="330">
      <calculatedColumnFormula>SUM(D123:U123)</calculatedColumnFormula>
    </tableColumn>
  </tableColumns>
  <tableStyleInfo name="TableStyleDark3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1000000}" name="Tabell7141520213435363738" displayName="Tabell7141520213435363738" ref="B134:V144" totalsRowShown="0" headerRowDxfId="329" dataDxfId="327" headerRowBorderDxfId="328" tableBorderDxfId="326">
  <autoFilter ref="B134:V144" xr:uid="{00000000-0009-0000-0100-000025000000}"/>
  <tableColumns count="21">
    <tableColumn id="1" xr3:uid="{00000000-0010-0000-2100-000001000000}" name="För" dataDxfId="325" dataCellStyle="Normal 2"/>
    <tableColumn id="2" xr3:uid="{00000000-0010-0000-2100-000002000000}" name="Efter" dataDxfId="324" dataCellStyle="Normal 2"/>
    <tableColumn id="3" xr3:uid="{00000000-0010-0000-2100-000003000000}" name="1" dataDxfId="323"/>
    <tableColumn id="4" xr3:uid="{00000000-0010-0000-2100-000004000000}" name="2" dataDxfId="322"/>
    <tableColumn id="5" xr3:uid="{00000000-0010-0000-2100-000005000000}" name="3" dataDxfId="321"/>
    <tableColumn id="6" xr3:uid="{00000000-0010-0000-2100-000006000000}" name="4" dataDxfId="320"/>
    <tableColumn id="7" xr3:uid="{00000000-0010-0000-2100-000007000000}" name="5" dataDxfId="319"/>
    <tableColumn id="8" xr3:uid="{00000000-0010-0000-2100-000008000000}" name="6" dataDxfId="318"/>
    <tableColumn id="9" xr3:uid="{00000000-0010-0000-2100-000009000000}" name="7" dataDxfId="317"/>
    <tableColumn id="10" xr3:uid="{00000000-0010-0000-2100-00000A000000}" name="8" dataDxfId="316"/>
    <tableColumn id="11" xr3:uid="{00000000-0010-0000-2100-00000B000000}" name="9" dataDxfId="315"/>
    <tableColumn id="12" xr3:uid="{00000000-0010-0000-2100-00000C000000}" name="10" dataDxfId="314"/>
    <tableColumn id="13" xr3:uid="{00000000-0010-0000-2100-00000D000000}" name="11" dataDxfId="313"/>
    <tableColumn id="14" xr3:uid="{00000000-0010-0000-2100-00000E000000}" name="12" dataDxfId="312"/>
    <tableColumn id="15" xr3:uid="{00000000-0010-0000-2100-00000F000000}" name="13" dataDxfId="311"/>
    <tableColumn id="16" xr3:uid="{00000000-0010-0000-2100-000010000000}" name="14" dataDxfId="310"/>
    <tableColumn id="17" xr3:uid="{00000000-0010-0000-2100-000011000000}" name="15" dataDxfId="309"/>
    <tableColumn id="18" xr3:uid="{00000000-0010-0000-2100-000012000000}" name="16" dataDxfId="308"/>
    <tableColumn id="19" xr3:uid="{00000000-0010-0000-2100-000013000000}" name="17" dataDxfId="307"/>
    <tableColumn id="20" xr3:uid="{00000000-0010-0000-2100-000014000000}" name="18" dataDxfId="306"/>
    <tableColumn id="21" xr3:uid="{00000000-0010-0000-2100-000015000000}" name="Tot" dataDxfId="305">
      <calculatedColumnFormula>SUM(D135:U135)</calculatedColumnFormula>
    </tableColumn>
  </tableColumns>
  <tableStyleInfo name="TableStyleDark3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2000000}" name="Tabell714152021343536373839" displayName="Tabell714152021343536373839" ref="B146:V156" totalsRowShown="0" headerRowDxfId="304" dataDxfId="302" headerRowBorderDxfId="303" tableBorderDxfId="301">
  <autoFilter ref="B146:V156" xr:uid="{00000000-0009-0000-0100-000026000000}"/>
  <tableColumns count="21">
    <tableColumn id="1" xr3:uid="{00000000-0010-0000-2200-000001000000}" name="För" dataDxfId="300" dataCellStyle="Normal 2"/>
    <tableColumn id="2" xr3:uid="{00000000-0010-0000-2200-000002000000}" name="Efter" dataDxfId="299" dataCellStyle="Normal 2"/>
    <tableColumn id="3" xr3:uid="{00000000-0010-0000-2200-000003000000}" name="1" dataDxfId="298"/>
    <tableColumn id="4" xr3:uid="{00000000-0010-0000-2200-000004000000}" name="2" dataDxfId="297"/>
    <tableColumn id="5" xr3:uid="{00000000-0010-0000-2200-000005000000}" name="3" dataDxfId="296"/>
    <tableColumn id="6" xr3:uid="{00000000-0010-0000-2200-000006000000}" name="4" dataDxfId="295"/>
    <tableColumn id="7" xr3:uid="{00000000-0010-0000-2200-000007000000}" name="5" dataDxfId="294"/>
    <tableColumn id="8" xr3:uid="{00000000-0010-0000-2200-000008000000}" name="6" dataDxfId="293"/>
    <tableColumn id="9" xr3:uid="{00000000-0010-0000-2200-000009000000}" name="7" dataDxfId="292"/>
    <tableColumn id="10" xr3:uid="{00000000-0010-0000-2200-00000A000000}" name="8" dataDxfId="291"/>
    <tableColumn id="11" xr3:uid="{00000000-0010-0000-2200-00000B000000}" name="9" dataDxfId="290"/>
    <tableColumn id="12" xr3:uid="{00000000-0010-0000-2200-00000C000000}" name="10" dataDxfId="289"/>
    <tableColumn id="13" xr3:uid="{00000000-0010-0000-2200-00000D000000}" name="11" dataDxfId="288"/>
    <tableColumn id="14" xr3:uid="{00000000-0010-0000-2200-00000E000000}" name="12" dataDxfId="287"/>
    <tableColumn id="15" xr3:uid="{00000000-0010-0000-2200-00000F000000}" name="13" dataDxfId="286"/>
    <tableColumn id="16" xr3:uid="{00000000-0010-0000-2200-000010000000}" name="14" dataDxfId="285"/>
    <tableColumn id="17" xr3:uid="{00000000-0010-0000-2200-000011000000}" name="15" dataDxfId="284"/>
    <tableColumn id="18" xr3:uid="{00000000-0010-0000-2200-000012000000}" name="16" dataDxfId="283"/>
    <tableColumn id="19" xr3:uid="{00000000-0010-0000-2200-000013000000}" name="17" dataDxfId="282"/>
    <tableColumn id="20" xr3:uid="{00000000-0010-0000-2200-000014000000}" name="18" dataDxfId="281"/>
    <tableColumn id="21" xr3:uid="{00000000-0010-0000-2200-000015000000}" name="Tot" dataDxfId="280">
      <calculatedColumnFormula>SUM(D147:U147)</calculatedColumnFormula>
    </tableColumn>
  </tableColumns>
  <tableStyleInfo name="TableStyleDark3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3000000}" name="Tabell71415202134353637383940" displayName="Tabell71415202134353637383940" ref="B158:V168" totalsRowShown="0" headerRowDxfId="279" dataDxfId="277" headerRowBorderDxfId="278" tableBorderDxfId="276">
  <autoFilter ref="B158:V168" xr:uid="{00000000-0009-0000-0100-000027000000}"/>
  <tableColumns count="21">
    <tableColumn id="1" xr3:uid="{00000000-0010-0000-2300-000001000000}" name="För" dataDxfId="275" dataCellStyle="Normal 2"/>
    <tableColumn id="2" xr3:uid="{00000000-0010-0000-2300-000002000000}" name="Efter" dataDxfId="274" dataCellStyle="Normal 2"/>
    <tableColumn id="3" xr3:uid="{00000000-0010-0000-2300-000003000000}" name="1" dataDxfId="273"/>
    <tableColumn id="4" xr3:uid="{00000000-0010-0000-2300-000004000000}" name="2" dataDxfId="272"/>
    <tableColumn id="5" xr3:uid="{00000000-0010-0000-2300-000005000000}" name="3" dataDxfId="271"/>
    <tableColumn id="6" xr3:uid="{00000000-0010-0000-2300-000006000000}" name="4" dataDxfId="270"/>
    <tableColumn id="7" xr3:uid="{00000000-0010-0000-2300-000007000000}" name="5" dataDxfId="269"/>
    <tableColumn id="8" xr3:uid="{00000000-0010-0000-2300-000008000000}" name="6" dataDxfId="268"/>
    <tableColumn id="9" xr3:uid="{00000000-0010-0000-2300-000009000000}" name="7" dataDxfId="267"/>
    <tableColumn id="10" xr3:uid="{00000000-0010-0000-2300-00000A000000}" name="8" dataDxfId="266"/>
    <tableColumn id="11" xr3:uid="{00000000-0010-0000-2300-00000B000000}" name="9" dataDxfId="265"/>
    <tableColumn id="12" xr3:uid="{00000000-0010-0000-2300-00000C000000}" name="10" dataDxfId="264"/>
    <tableColumn id="13" xr3:uid="{00000000-0010-0000-2300-00000D000000}" name="11" dataDxfId="263"/>
    <tableColumn id="14" xr3:uid="{00000000-0010-0000-2300-00000E000000}" name="12" dataDxfId="262"/>
    <tableColumn id="15" xr3:uid="{00000000-0010-0000-2300-00000F000000}" name="13" dataDxfId="261"/>
    <tableColumn id="16" xr3:uid="{00000000-0010-0000-2300-000010000000}" name="14" dataDxfId="260"/>
    <tableColumn id="17" xr3:uid="{00000000-0010-0000-2300-000011000000}" name="15" dataDxfId="259"/>
    <tableColumn id="18" xr3:uid="{00000000-0010-0000-2300-000012000000}" name="16" dataDxfId="258"/>
    <tableColumn id="19" xr3:uid="{00000000-0010-0000-2300-000013000000}" name="17" dataDxfId="257"/>
    <tableColumn id="20" xr3:uid="{00000000-0010-0000-2300-000014000000}" name="18" dataDxfId="256"/>
    <tableColumn id="21" xr3:uid="{00000000-0010-0000-2300-000015000000}" name="Tot" dataDxfId="255">
      <calculatedColumnFormula>SUM(D159:U159)</calculatedColumnFormula>
    </tableColumn>
  </tableColumns>
  <tableStyleInfo name="TableStyleDark3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4000000}" name="Tabell7141520213435363738394041" displayName="Tabell7141520213435363738394041" ref="B170:V180" totalsRowShown="0" headerRowDxfId="254" dataDxfId="252" headerRowBorderDxfId="253" tableBorderDxfId="251">
  <autoFilter ref="B170:V180" xr:uid="{00000000-0009-0000-0100-000028000000}"/>
  <tableColumns count="21">
    <tableColumn id="1" xr3:uid="{00000000-0010-0000-2400-000001000000}" name="För" dataDxfId="250" dataCellStyle="Normal 2"/>
    <tableColumn id="2" xr3:uid="{00000000-0010-0000-2400-000002000000}" name="Efter" dataDxfId="249" dataCellStyle="Normal 2"/>
    <tableColumn id="3" xr3:uid="{00000000-0010-0000-2400-000003000000}" name="1" dataDxfId="248"/>
    <tableColumn id="4" xr3:uid="{00000000-0010-0000-2400-000004000000}" name="2" dataDxfId="247"/>
    <tableColumn id="5" xr3:uid="{00000000-0010-0000-2400-000005000000}" name="3" dataDxfId="246"/>
    <tableColumn id="6" xr3:uid="{00000000-0010-0000-2400-000006000000}" name="4" dataDxfId="245"/>
    <tableColumn id="7" xr3:uid="{00000000-0010-0000-2400-000007000000}" name="5" dataDxfId="244"/>
    <tableColumn id="8" xr3:uid="{00000000-0010-0000-2400-000008000000}" name="6" dataDxfId="243"/>
    <tableColumn id="9" xr3:uid="{00000000-0010-0000-2400-000009000000}" name="7" dataDxfId="242"/>
    <tableColumn id="10" xr3:uid="{00000000-0010-0000-2400-00000A000000}" name="8" dataDxfId="241"/>
    <tableColumn id="11" xr3:uid="{00000000-0010-0000-2400-00000B000000}" name="9" dataDxfId="240"/>
    <tableColumn id="12" xr3:uid="{00000000-0010-0000-2400-00000C000000}" name="10" dataDxfId="239"/>
    <tableColumn id="13" xr3:uid="{00000000-0010-0000-2400-00000D000000}" name="11" dataDxfId="238"/>
    <tableColumn id="14" xr3:uid="{00000000-0010-0000-2400-00000E000000}" name="12" dataDxfId="237"/>
    <tableColumn id="15" xr3:uid="{00000000-0010-0000-2400-00000F000000}" name="13" dataDxfId="236"/>
    <tableColumn id="16" xr3:uid="{00000000-0010-0000-2400-000010000000}" name="14" dataDxfId="235"/>
    <tableColumn id="17" xr3:uid="{00000000-0010-0000-2400-000011000000}" name="15" dataDxfId="234"/>
    <tableColumn id="18" xr3:uid="{00000000-0010-0000-2400-000012000000}" name="16" dataDxfId="233"/>
    <tableColumn id="19" xr3:uid="{00000000-0010-0000-2400-000013000000}" name="17" dataDxfId="232"/>
    <tableColumn id="20" xr3:uid="{00000000-0010-0000-2400-000014000000}" name="18" dataDxfId="231"/>
    <tableColumn id="21" xr3:uid="{00000000-0010-0000-2400-000015000000}" name="Tot" dataDxfId="230">
      <calculatedColumnFormula>SUM(D171:U171)</calculatedColumnFormula>
    </tableColumn>
  </tableColumns>
  <tableStyleInfo name="TableStyleDark3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5000000}" name="Tabell714152021343536373839404142" displayName="Tabell714152021343536373839404142" ref="B182:V192" totalsRowShown="0" headerRowDxfId="229" dataDxfId="227" headerRowBorderDxfId="228" tableBorderDxfId="226">
  <autoFilter ref="B182:V192" xr:uid="{00000000-0009-0000-0100-000029000000}"/>
  <tableColumns count="21">
    <tableColumn id="1" xr3:uid="{00000000-0010-0000-2500-000001000000}" name="För" dataDxfId="225" dataCellStyle="Normal 2"/>
    <tableColumn id="2" xr3:uid="{00000000-0010-0000-2500-000002000000}" name="Efter" dataDxfId="224" dataCellStyle="Normal 2"/>
    <tableColumn id="3" xr3:uid="{00000000-0010-0000-2500-000003000000}" name="1" dataDxfId="223"/>
    <tableColumn id="4" xr3:uid="{00000000-0010-0000-2500-000004000000}" name="2" dataDxfId="222"/>
    <tableColumn id="5" xr3:uid="{00000000-0010-0000-2500-000005000000}" name="3" dataDxfId="221"/>
    <tableColumn id="6" xr3:uid="{00000000-0010-0000-2500-000006000000}" name="4" dataDxfId="220"/>
    <tableColumn id="7" xr3:uid="{00000000-0010-0000-2500-000007000000}" name="5" dataDxfId="219"/>
    <tableColumn id="8" xr3:uid="{00000000-0010-0000-2500-000008000000}" name="6" dataDxfId="218"/>
    <tableColumn id="9" xr3:uid="{00000000-0010-0000-2500-000009000000}" name="7" dataDxfId="217"/>
    <tableColumn id="10" xr3:uid="{00000000-0010-0000-2500-00000A000000}" name="8" dataDxfId="216"/>
    <tableColumn id="11" xr3:uid="{00000000-0010-0000-2500-00000B000000}" name="9" dataDxfId="215"/>
    <tableColumn id="12" xr3:uid="{00000000-0010-0000-2500-00000C000000}" name="10" dataDxfId="214"/>
    <tableColumn id="13" xr3:uid="{00000000-0010-0000-2500-00000D000000}" name="11" dataDxfId="213"/>
    <tableColumn id="14" xr3:uid="{00000000-0010-0000-2500-00000E000000}" name="12" dataDxfId="212"/>
    <tableColumn id="15" xr3:uid="{00000000-0010-0000-2500-00000F000000}" name="13" dataDxfId="211"/>
    <tableColumn id="16" xr3:uid="{00000000-0010-0000-2500-000010000000}" name="14" dataDxfId="210"/>
    <tableColumn id="17" xr3:uid="{00000000-0010-0000-2500-000011000000}" name="15" dataDxfId="209"/>
    <tableColumn id="18" xr3:uid="{00000000-0010-0000-2500-000012000000}" name="16" dataDxfId="208"/>
    <tableColumn id="19" xr3:uid="{00000000-0010-0000-2500-000013000000}" name="17" dataDxfId="207"/>
    <tableColumn id="20" xr3:uid="{00000000-0010-0000-2500-000014000000}" name="18" dataDxfId="206"/>
    <tableColumn id="21" xr3:uid="{00000000-0010-0000-2500-000015000000}" name="Tot" dataDxfId="205">
      <calculatedColumnFormula>SUM(D183:U183)</calculatedColumnFormula>
    </tableColumn>
  </tableColumns>
  <tableStyleInfo name="TableStyleDark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ell810" displayName="Tabell810" ref="AA23:AA39" totalsRowShown="0" headerRowDxfId="784" dataDxfId="782" headerRowBorderDxfId="783" tableBorderDxfId="781">
  <autoFilter ref="AA23:AA39" xr:uid="{00000000-0009-0000-0100-000009000000}"/>
  <tableColumns count="1">
    <tableColumn id="1" xr3:uid="{00000000-0010-0000-0400-000001000000}" name="Plac" dataDxfId="780">
      <calculatedColumnFormula>RANK(Z24,Z24:Z38,1)</calculatedColumnFormula>
    </tableColumn>
  </tableColumns>
  <tableStyleInfo name="TableStyleDark7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6000000}" name="Tabell42" displayName="Tabell42" ref="X4:X22" totalsRowCount="1" headerRowDxfId="204" dataDxfId="202" totalsRowDxfId="200" headerRowBorderDxfId="203" tableBorderDxfId="201" totalsRowBorderDxfId="199">
  <autoFilter ref="X4:X21" xr:uid="{00000000-0009-0000-0100-00002A000000}"/>
  <tableColumns count="1">
    <tableColumn id="1" xr3:uid="{00000000-0010-0000-2600-000001000000}" name="Score" dataDxfId="198" totalsRowDxfId="197">
      <calculatedColumnFormula>72-Tabell5[[#This Row],[Tot]]</calculatedColumnFormula>
    </tableColumn>
  </tableColumns>
  <tableStyleInfo name="TableStyleDark7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7000000}" name="Tabell43" displayName="Tabell43" ref="X25:X35" totalsRowShown="0" headerRowDxfId="196" dataDxfId="194" headerRowBorderDxfId="195" tableBorderDxfId="193" totalsRowBorderDxfId="192">
  <autoFilter ref="X25:X35" xr:uid="{00000000-0009-0000-0100-00002B000000}"/>
  <tableColumns count="1">
    <tableColumn id="1" xr3:uid="{00000000-0010-0000-2700-000001000000}" name="Score" dataDxfId="191">
      <calculatedColumnFormula>70+Tabell7[[#This Row],[Tot]]</calculatedColumnFormula>
    </tableColumn>
  </tableColumns>
  <tableStyleInfo name="TableStyleDark3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8000000}" name="Tabell4345" displayName="Tabell4345" ref="X37:X47" totalsRowShown="0" headerRowDxfId="190" dataDxfId="188" headerRowBorderDxfId="189" tableBorderDxfId="187" totalsRowBorderDxfId="186">
  <autoFilter ref="X37:X47" xr:uid="{00000000-0009-0000-0100-00002C000000}"/>
  <tableColumns count="1">
    <tableColumn id="1" xr3:uid="{00000000-0010-0000-2800-000001000000}" name="Score" dataDxfId="185">
      <calculatedColumnFormula>70+Tabell714[[#This Row],[Tot]]</calculatedColumnFormula>
    </tableColumn>
  </tableColumns>
  <tableStyleInfo name="TableStyleDark3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9000000}" name="Tabell43454647" displayName="Tabell43454647" ref="X62:X72" totalsRowShown="0" headerRowDxfId="184" dataDxfId="182" headerRowBorderDxfId="183" tableBorderDxfId="181" totalsRowBorderDxfId="180">
  <autoFilter ref="X62:X72" xr:uid="{00000000-0009-0000-0100-00002E000000}"/>
  <tableColumns count="1">
    <tableColumn id="1" xr3:uid="{00000000-0010-0000-2900-000001000000}" name="Score" dataDxfId="179"/>
  </tableColumns>
  <tableStyleInfo name="TableStyleDark3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A000000}" name="Tabell43454648" displayName="Tabell43454648" ref="X74:X84" totalsRowShown="0" headerRowDxfId="178" dataDxfId="176" headerRowBorderDxfId="177" tableBorderDxfId="175" totalsRowBorderDxfId="174">
  <autoFilter ref="X74:X84" xr:uid="{00000000-0009-0000-0100-00002F000000}"/>
  <tableColumns count="1">
    <tableColumn id="1" xr3:uid="{00000000-0010-0000-2A00-000001000000}" name="Score" dataDxfId="173"/>
  </tableColumns>
  <tableStyleInfo name="TableStyleDark3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B000000}" name="Tabell43454649" displayName="Tabell43454649" ref="X86:X96" totalsRowShown="0" headerRowDxfId="172" dataDxfId="170" headerRowBorderDxfId="171" tableBorderDxfId="169" totalsRowBorderDxfId="168">
  <autoFilter ref="X86:X96" xr:uid="{00000000-0009-0000-0100-000030000000}"/>
  <tableColumns count="1">
    <tableColumn id="1" xr3:uid="{00000000-0010-0000-2B00-000001000000}" name="Score" dataDxfId="167"/>
  </tableColumns>
  <tableStyleInfo name="TableStyleDark3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C000000}" name="Tabell43454650" displayName="Tabell43454650" ref="X98:X108" totalsRowShown="0" headerRowDxfId="166" dataDxfId="164" headerRowBorderDxfId="165" tableBorderDxfId="163" totalsRowBorderDxfId="162">
  <autoFilter ref="X98:X108" xr:uid="{00000000-0009-0000-0100-000031000000}"/>
  <tableColumns count="1">
    <tableColumn id="1" xr3:uid="{00000000-0010-0000-2C00-000001000000}" name="Score" dataDxfId="161"/>
  </tableColumns>
  <tableStyleInfo name="TableStyleDark3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2D000000}" name="Tabell43454651" displayName="Tabell43454651" ref="X110:X120" totalsRowShown="0" headerRowDxfId="160" dataDxfId="158" headerRowBorderDxfId="159" tableBorderDxfId="157" totalsRowBorderDxfId="156">
  <autoFilter ref="X110:X120" xr:uid="{00000000-0009-0000-0100-000032000000}"/>
  <tableColumns count="1">
    <tableColumn id="1" xr3:uid="{00000000-0010-0000-2D00-000001000000}" name="Score" dataDxfId="155"/>
  </tableColumns>
  <tableStyleInfo name="TableStyleDark3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2E000000}" name="Tabell43454652" displayName="Tabell43454652" ref="X122:X132" totalsRowShown="0" headerRowDxfId="154" dataDxfId="152" headerRowBorderDxfId="153" tableBorderDxfId="151" totalsRowBorderDxfId="150">
  <autoFilter ref="X122:X132" xr:uid="{00000000-0009-0000-0100-000033000000}"/>
  <tableColumns count="1">
    <tableColumn id="1" xr3:uid="{00000000-0010-0000-2E00-000001000000}" name="Score" dataDxfId="149">
      <calculatedColumnFormula>71+V123</calculatedColumnFormula>
    </tableColumn>
  </tableColumns>
  <tableStyleInfo name="TableStyleDark3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2F000000}" name="Tabell43454653" displayName="Tabell43454653" ref="X134:X144" totalsRowShown="0" headerRowDxfId="148" dataDxfId="146" headerRowBorderDxfId="147" tableBorderDxfId="145" totalsRowBorderDxfId="144">
  <autoFilter ref="X134:X144" xr:uid="{00000000-0009-0000-0100-000034000000}"/>
  <tableColumns count="1">
    <tableColumn id="1" xr3:uid="{00000000-0010-0000-2F00-000001000000}" name="Score" dataDxfId="143">
      <calculatedColumnFormula>70+V135</calculatedColumnFormula>
    </tableColumn>
  </tableColumns>
  <tableStyleInfo name="TableStyleDark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ell10" displayName="Tabell10" ref="P3:Y20" totalsRowShown="0" headerRowDxfId="779" dataDxfId="777" headerRowBorderDxfId="778" tableBorderDxfId="776">
  <autoFilter ref="P3:Y20" xr:uid="{00000000-0009-0000-0100-00000A000000}"/>
  <tableColumns count="10">
    <tableColumn id="1" xr3:uid="{00000000-0010-0000-0500-000001000000}" name="1" dataDxfId="775"/>
    <tableColumn id="2" xr3:uid="{00000000-0010-0000-0500-000002000000}" name="2" dataDxfId="774"/>
    <tableColumn id="3" xr3:uid="{00000000-0010-0000-0500-000003000000}" name="3" dataDxfId="773"/>
    <tableColumn id="4" xr3:uid="{00000000-0010-0000-0500-000004000000}" name="4" dataDxfId="772"/>
    <tableColumn id="5" xr3:uid="{00000000-0010-0000-0500-000005000000}" name="5" dataDxfId="771"/>
    <tableColumn id="6" xr3:uid="{00000000-0010-0000-0500-000006000000}" name="6" dataDxfId="770"/>
    <tableColumn id="7" xr3:uid="{00000000-0010-0000-0500-000007000000}" name="7" dataDxfId="769"/>
    <tableColumn id="8" xr3:uid="{00000000-0010-0000-0500-000008000000}" name="8" dataDxfId="768"/>
    <tableColumn id="9" xr3:uid="{00000000-0010-0000-0500-000009000000}" name="9" dataDxfId="767"/>
    <tableColumn id="10" xr3:uid="{00000000-0010-0000-0500-00000A000000}" name="10" dataDxfId="766"/>
  </tableColumns>
  <tableStyleInfo name="TableStyleDark4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0000000}" name="Tabell43454654" displayName="Tabell43454654" ref="X146:X156" totalsRowShown="0" headerRowDxfId="142" dataDxfId="140" headerRowBorderDxfId="141" tableBorderDxfId="139" totalsRowBorderDxfId="138">
  <autoFilter ref="X146:X156" xr:uid="{00000000-0009-0000-0100-000035000000}"/>
  <tableColumns count="1">
    <tableColumn id="1" xr3:uid="{00000000-0010-0000-3000-000001000000}" name="Score" dataDxfId="137"/>
  </tableColumns>
  <tableStyleInfo name="TableStyleDark3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1000000}" name="Tabell43454655" displayName="Tabell43454655" ref="X158:X168" totalsRowShown="0" headerRowDxfId="136" dataDxfId="134" headerRowBorderDxfId="135" tableBorderDxfId="133" totalsRowBorderDxfId="132">
  <autoFilter ref="X158:X168" xr:uid="{00000000-0009-0000-0100-000036000000}"/>
  <tableColumns count="1">
    <tableColumn id="1" xr3:uid="{00000000-0010-0000-3100-000001000000}" name="Score" dataDxfId="131">
      <calculatedColumnFormula>70+V159</calculatedColumnFormula>
    </tableColumn>
  </tableColumns>
  <tableStyleInfo name="TableStyleDark3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2000000}" name="Tabell43454656" displayName="Tabell43454656" ref="X170:X180" totalsRowShown="0" headerRowDxfId="130" dataDxfId="128" headerRowBorderDxfId="129" tableBorderDxfId="127" totalsRowBorderDxfId="126">
  <autoFilter ref="X170:X180" xr:uid="{00000000-0009-0000-0100-000037000000}"/>
  <tableColumns count="1">
    <tableColumn id="1" xr3:uid="{00000000-0010-0000-3200-000001000000}" name="Score" dataDxfId="125">
      <calculatedColumnFormula>70+V171</calculatedColumnFormula>
    </tableColumn>
  </tableColumns>
  <tableStyleInfo name="TableStyleDark3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3000000}" name="Tabell43454657" displayName="Tabell43454657" ref="X182:X191" totalsRowShown="0" headerRowDxfId="124" dataDxfId="122" headerRowBorderDxfId="123" tableBorderDxfId="121" totalsRowBorderDxfId="120">
  <autoFilter ref="X182:X191" xr:uid="{00000000-0009-0000-0100-000038000000}"/>
  <tableColumns count="1">
    <tableColumn id="1" xr3:uid="{00000000-0010-0000-3300-000001000000}" name="Score" dataDxfId="119">
      <calculatedColumnFormula>72+V183</calculatedColumnFormula>
    </tableColumn>
  </tableColumns>
  <tableStyleInfo name="TableStyleDark3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4000000}" name="Tabell57" displayName="Tabell57" ref="Z4:Z21" totalsRowShown="0" headerRowDxfId="118" dataDxfId="117">
  <autoFilter ref="Z4:Z21" xr:uid="{00000000-0009-0000-0100-000039000000}"/>
  <tableColumns count="1">
    <tableColumn id="1" xr3:uid="{00000000-0010-0000-3400-000001000000}" name="PL" dataDxfId="116">
      <calculatedColumnFormula>RANK(X5,Tabell42[Score],0)</calculatedColumnFormula>
    </tableColumn>
  </tableColumns>
  <tableStyleInfo name="TableStyleDark7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5000000}" name="Tabell58" displayName="Tabell58" ref="AB4:AB21" totalsRowShown="0" headerRowDxfId="115" dataDxfId="114">
  <autoFilter ref="AB4:AB21" xr:uid="{00000000-0009-0000-0100-00003A000000}"/>
  <tableColumns count="1">
    <tableColumn id="1" xr3:uid="{00000000-0010-0000-3500-000001000000}" name="Ahead" dataDxfId="113">
      <calculatedColumnFormula>X5-SMALL(X5:X21,1)</calculatedColumnFormula>
    </tableColumn>
  </tableColumns>
  <tableStyleInfo name="TableStyleDark7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6000000}" name="Tabell62" displayName="Tabell62" ref="AD4:AD21" totalsRowShown="0" headerRowDxfId="112" dataDxfId="111">
  <autoFilter ref="AD4:AD21" xr:uid="{00000000-0009-0000-0100-00003E000000}"/>
  <tableColumns count="1">
    <tableColumn id="1" xr3:uid="{00000000-0010-0000-3600-000001000000}" name="Bästa" dataDxfId="110"/>
  </tableColumns>
  <tableStyleInfo name="TableStyleDark7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7000000}" name="Tabell434546" displayName="Tabell434546" ref="X50:X60" totalsRowShown="0" headerRowDxfId="109" dataDxfId="107" headerRowBorderDxfId="108" tableBorderDxfId="106" totalsRowBorderDxfId="105">
  <autoFilter ref="X50:X60" xr:uid="{00000000-0009-0000-0100-00002D000000}"/>
  <tableColumns count="1">
    <tableColumn id="1" xr3:uid="{00000000-0010-0000-3700-000001000000}" name="Score" dataDxfId="104">
      <calculatedColumnFormula>70+Tabell71415[[#This Row],[Tot]]</calculatedColumnFormula>
    </tableColumn>
  </tableColumns>
  <tableStyleInfo name="TableStyleDark3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38000000}" name="Tabell71415202134353637383940414272" displayName="Tabell71415202134353637383940414272" ref="B193:V203" totalsRowShown="0" headerRowDxfId="103" dataDxfId="101" headerRowBorderDxfId="102" tableBorderDxfId="100">
  <autoFilter ref="B193:V203" xr:uid="{00000000-0009-0000-0100-000047000000}"/>
  <tableColumns count="21">
    <tableColumn id="1" xr3:uid="{00000000-0010-0000-3800-000001000000}" name="För" dataDxfId="99" dataCellStyle="Normal 2"/>
    <tableColumn id="2" xr3:uid="{00000000-0010-0000-3800-000002000000}" name="Efter" dataDxfId="98" dataCellStyle="Normal 2"/>
    <tableColumn id="3" xr3:uid="{00000000-0010-0000-3800-000003000000}" name="1" dataDxfId="97"/>
    <tableColumn id="4" xr3:uid="{00000000-0010-0000-3800-000004000000}" name="2" dataDxfId="96"/>
    <tableColumn id="5" xr3:uid="{00000000-0010-0000-3800-000005000000}" name="3" dataDxfId="95"/>
    <tableColumn id="6" xr3:uid="{00000000-0010-0000-3800-000006000000}" name="4" dataDxfId="94"/>
    <tableColumn id="7" xr3:uid="{00000000-0010-0000-3800-000007000000}" name="5" dataDxfId="93"/>
    <tableColumn id="8" xr3:uid="{00000000-0010-0000-3800-000008000000}" name="6" dataDxfId="92"/>
    <tableColumn id="9" xr3:uid="{00000000-0010-0000-3800-000009000000}" name="7" dataDxfId="91"/>
    <tableColumn id="10" xr3:uid="{00000000-0010-0000-3800-00000A000000}" name="8" dataDxfId="90"/>
    <tableColumn id="11" xr3:uid="{00000000-0010-0000-3800-00000B000000}" name="9" dataDxfId="89"/>
    <tableColumn id="12" xr3:uid="{00000000-0010-0000-3800-00000C000000}" name="10" dataDxfId="88"/>
    <tableColumn id="13" xr3:uid="{00000000-0010-0000-3800-00000D000000}" name="11" dataDxfId="87"/>
    <tableColumn id="14" xr3:uid="{00000000-0010-0000-3800-00000E000000}" name="12" dataDxfId="86"/>
    <tableColumn id="15" xr3:uid="{00000000-0010-0000-3800-00000F000000}" name="13" dataDxfId="85"/>
    <tableColumn id="16" xr3:uid="{00000000-0010-0000-3800-000010000000}" name="14" dataDxfId="84"/>
    <tableColumn id="17" xr3:uid="{00000000-0010-0000-3800-000011000000}" name="15" dataDxfId="83"/>
    <tableColumn id="18" xr3:uid="{00000000-0010-0000-3800-000012000000}" name="16" dataDxfId="82"/>
    <tableColumn id="19" xr3:uid="{00000000-0010-0000-3800-000013000000}" name="17" dataDxfId="81"/>
    <tableColumn id="20" xr3:uid="{00000000-0010-0000-3800-000014000000}" name="18" dataDxfId="80"/>
    <tableColumn id="21" xr3:uid="{00000000-0010-0000-3800-000015000000}" name="Tot" dataDxfId="79">
      <calculatedColumnFormula>SUM(D194:U194)</calculatedColumnFormula>
    </tableColumn>
  </tableColumns>
  <tableStyleInfo name="TableStyleDark3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39000000}" name="Tabell4345465773" displayName="Tabell4345465773" ref="X193:X203" totalsRowCount="1" headerRowDxfId="78" dataDxfId="76" headerRowBorderDxfId="77" tableBorderDxfId="75" totalsRowBorderDxfId="74">
  <autoFilter ref="X193:X202" xr:uid="{00000000-0009-0000-0100-000048000000}"/>
  <tableColumns count="1">
    <tableColumn id="1" xr3:uid="{00000000-0010-0000-3900-000001000000}" name="Score" totalsRowFunction="custom" dataDxfId="73" totalsRowDxfId="72">
      <calculatedColumnFormula>70+V194</calculatedColumnFormula>
      <totalsRowFormula>72+V203</totalsRowFormula>
    </tableColumn>
  </tableColumns>
  <tableStyleInfo name="TableStyleDark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ell11" displayName="Tabell11" ref="AC3:AC19" totalsRowCount="1" headerRowDxfId="765" dataDxfId="764" totalsRowDxfId="763">
  <autoFilter ref="AC3:AC18" xr:uid="{00000000-0009-0000-0100-00000B000000}"/>
  <tableColumns count="1">
    <tableColumn id="1" xr3:uid="{00000000-0010-0000-0600-000001000000}" name="Öl" totalsRowLabel="6" dataDxfId="762" totalsRowDxfId="761"/>
  </tableColumns>
  <tableStyleInfo name="TableStyleDark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D92156-128E-4A83-8695-D57D22D36D3A}" name="Tabell714152021343536373839404142722" displayName="Tabell714152021343536373839404142722" ref="B205:V215" totalsRowShown="0" headerRowDxfId="71" dataDxfId="69" headerRowBorderDxfId="70" tableBorderDxfId="68">
  <autoFilter ref="B205:V215" xr:uid="{FD30C75B-0C76-448F-A094-37FE58FF7BC2}"/>
  <tableColumns count="21">
    <tableColumn id="1" xr3:uid="{D302A8C3-38A2-46D0-8ADD-C51ABA333E55}" name="För" dataDxfId="67" dataCellStyle="Normal 2"/>
    <tableColumn id="2" xr3:uid="{409B86FC-18AE-43E7-B495-FD7D152723FA}" name="Efter" dataDxfId="66" dataCellStyle="Normal 2"/>
    <tableColumn id="3" xr3:uid="{9404F1C7-8BF0-439C-A2C3-C052A948352C}" name="1" dataDxfId="65"/>
    <tableColumn id="4" xr3:uid="{6C882491-F79E-421C-B980-6BF4CC86C064}" name="2" dataDxfId="64"/>
    <tableColumn id="5" xr3:uid="{3DE90502-D5B4-440E-8EA0-277682941241}" name="3" dataDxfId="63"/>
    <tableColumn id="6" xr3:uid="{A0B4858D-704E-41F9-AEA4-01D089C875B7}" name="4" dataDxfId="62"/>
    <tableColumn id="7" xr3:uid="{8A0541FC-9E9B-475B-B410-3E273788AB03}" name="5" dataDxfId="61"/>
    <tableColumn id="8" xr3:uid="{DBD2AF9A-BFDE-4104-AFA9-1F216A90881A}" name="6" dataDxfId="60"/>
    <tableColumn id="9" xr3:uid="{FC2DF8A6-C1F8-4045-97FE-93277403F93B}" name="7" dataDxfId="59"/>
    <tableColumn id="10" xr3:uid="{1B0093D7-020F-433F-BDDD-BFDF8F2DCC79}" name="8" dataDxfId="58"/>
    <tableColumn id="11" xr3:uid="{357E38BC-0128-4497-802A-461128D90FDB}" name="9" dataDxfId="57"/>
    <tableColumn id="12" xr3:uid="{7DBE5883-3CE2-4719-9B2E-47242C86FD93}" name="10" dataDxfId="56"/>
    <tableColumn id="13" xr3:uid="{9917BB52-28B0-419D-AB1A-7801A0052C82}" name="11" dataDxfId="55"/>
    <tableColumn id="14" xr3:uid="{B76BFCFD-5EA7-4338-89C9-F89A339B793A}" name="12" dataDxfId="54"/>
    <tableColumn id="15" xr3:uid="{F8650BB7-9CE8-4CA1-8796-1B637215679B}" name="13" dataDxfId="53"/>
    <tableColumn id="16" xr3:uid="{386814F6-4413-4DE3-8EF5-1D965FFF0937}" name="14" dataDxfId="52"/>
    <tableColumn id="17" xr3:uid="{9F5F1166-D44D-4881-AF6C-A1A4B5418F19}" name="15" dataDxfId="51"/>
    <tableColumn id="18" xr3:uid="{C494ADEA-252C-4936-AA1D-B81DCA78B4F5}" name="16" dataDxfId="50"/>
    <tableColumn id="19" xr3:uid="{CDEA5A1D-83B0-426D-AFD8-C63B0E8ED983}" name="17" dataDxfId="49"/>
    <tableColumn id="20" xr3:uid="{57BC0DD3-4D3E-4814-BD0F-1B0C2A715536}" name="18" dataDxfId="48"/>
    <tableColumn id="21" xr3:uid="{58E05848-4349-474E-80FB-9C7FC8A088D2}" name="Tot" dataDxfId="47">
      <calculatedColumnFormula>SUM(D206:U206)</calculatedColumnFormula>
    </tableColumn>
  </tableColumns>
  <tableStyleInfo name="TableStyleDark3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E8A2EEE-7AD8-4528-AC0A-472660FD1F3B}" name="Tabell434546577313" displayName="Tabell434546577313" ref="X205:X215" totalsRowCount="1" headerRowDxfId="46" dataDxfId="44" headerRowBorderDxfId="45" tableBorderDxfId="43" totalsRowBorderDxfId="42">
  <autoFilter ref="X205:X214" xr:uid="{16C3ACC1-8900-4E29-93B5-09E49CA68AF3}"/>
  <tableColumns count="1">
    <tableColumn id="1" xr3:uid="{C1D37496-122B-4EF4-9B21-FE7379842FA8}" name="Score" totalsRowFunction="custom" dataDxfId="41" totalsRowDxfId="40">
      <calculatedColumnFormula>70+V206</calculatedColumnFormula>
      <totalsRowFormula>71+V215</totalsRowFormula>
    </tableColumn>
  </tableColumns>
  <tableStyleInfo name="TableStyleDark3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F6069AC-604B-4272-BD1C-4F4089A25D3B}" name="Tabell15" displayName="Tabell15" ref="C4:L20" totalsRowShown="0" headerRowDxfId="39" dataDxfId="38" tableBorderDxfId="37">
  <autoFilter ref="C4:L20" xr:uid="{7C94BB4F-BE0D-4459-8729-80B588470099}"/>
  <tableColumns count="10">
    <tableColumn id="1" xr3:uid="{FB466465-6AA8-44FE-957A-4A0C310072B6}" name="Spelare" dataDxfId="36"/>
    <tableColumn id="2" xr3:uid="{D5BAE6CA-C89F-4E6A-9674-DE7C42FD02A5}" name="Namn" dataDxfId="35"/>
    <tableColumn id="3" xr3:uid="{9FF710E9-92BF-4A8B-BABA-36155D3A9ACC}" name="Lag" dataDxfId="34"/>
    <tableColumn id="4" xr3:uid="{7EB86CA0-59C8-470A-9A34-565F5A6E5D80}" name="Brutto 1" dataDxfId="33">
      <calculatedColumnFormula>Scoreboard!L4</calculatedColumnFormula>
    </tableColumn>
    <tableColumn id="5" xr3:uid="{E425506A-197E-46D4-8A28-1513ACDB0F53}" name="Brutto 2" dataDxfId="32">
      <calculatedColumnFormula>Scoreboard!M4</calculatedColumnFormula>
    </tableColumn>
    <tableColumn id="6" xr3:uid="{0E8D2C50-0533-45F2-9761-1A8BE716D56F}" name="Totalt B" dataDxfId="31">
      <calculatedColumnFormula>F5+G5</calculatedColumnFormula>
    </tableColumn>
    <tableColumn id="7" xr3:uid="{680EFF0E-E954-486E-9386-3086821C6833}" name="Lag2" dataDxfId="30"/>
    <tableColumn id="8" xr3:uid="{193F132F-A3BA-400D-993D-E2C24450BF2E}" name="Netto 1" dataDxfId="29">
      <calculatedColumnFormula>Scoreboard!L24</calculatedColumnFormula>
    </tableColumn>
    <tableColumn id="9" xr3:uid="{51A2486F-E714-4F6D-A3E8-0D1BD3EA533D}" name="Netto 2" dataDxfId="28">
      <calculatedColumnFormula>Scoreboard!M24</calculatedColumnFormula>
    </tableColumn>
    <tableColumn id="10" xr3:uid="{0BAE6347-CA5E-4724-BE63-CCC5DC066BE5}" name="Totalt N" dataDxfId="27">
      <calculatedColumnFormula>J5+K5</calculatedColumnFormula>
    </tableColumn>
  </tableColumns>
  <tableStyleInfo name="TableStyleMedium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DD1EA5C-45BF-4A8A-BBF2-16FE23C35099}" name="Tabell17" displayName="Tabell17" ref="N4:N20" totalsRowShown="0" headerRowDxfId="26" dataDxfId="24" headerRowBorderDxfId="25" tableBorderDxfId="23" totalsRowBorderDxfId="22">
  <autoFilter ref="N4:N20" xr:uid="{9206FDFF-1079-416C-8AD6-D71933AA5274}"/>
  <tableColumns count="1">
    <tableColumn id="1" xr3:uid="{0E497DB1-8A2A-4619-A8B6-2FA1D91EA16E}" name="Samla Par" dataDxfId="21"/>
  </tableColumns>
  <tableStyleInfo name="TableStyleMedium16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0446DEF-B56F-435E-80C4-B22F6A6E3679}" name="Tabell1719" displayName="Tabell1719" ref="P4:Q20" totalsRowShown="0" headerRowDxfId="20" dataDxfId="18" headerRowBorderDxfId="19" tableBorderDxfId="17" totalsRowBorderDxfId="16">
  <autoFilter ref="P4:Q20" xr:uid="{4CDCFF86-0B9D-43DF-96C0-D000FB00FD8F}"/>
  <tableColumns count="2">
    <tableColumn id="1" xr3:uid="{F74096DB-755D-4497-9E6D-F7DD18D3C8D3}" name="Samla birdie" dataDxfId="15">
      <calculatedColumnFormula>COUNTIF(Dreamscore!D166:U167,0)</calculatedColumnFormula>
    </tableColumn>
    <tableColumn id="2" xr3:uid="{40714E67-5616-44C5-A292-33005E15116E}" name="Kolumn1" dataDxfId="14">
      <calculatedColumnFormula>Tabell1719[[#This Row],[Samla birdie]]*2</calculatedColumnFormula>
    </tableColumn>
  </tableColumns>
  <tableStyleInfo name="TableStyleMedium16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463B0AB-73C2-49EC-B602-8673385B463B}" name="Tabell29" displayName="Tabell29" ref="S4:S20" totalsRowShown="0" headerRowDxfId="13" dataDxfId="12" tableBorderDxfId="11">
  <autoFilter ref="S4:S20" xr:uid="{9B7D93AA-0A90-4444-B49C-EC6763E3D1AB}"/>
  <tableColumns count="1">
    <tableColumn id="1" xr3:uid="{BF65B52F-D7D2-47A6-8D4E-45A441743D2B}" name="Poäng" dataDxfId="10"/>
  </tableColumns>
  <tableStyleInfo name="TableStyleMedium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9B57BF4-9673-4AFB-A575-1FEB6BA9CDE7}" name="Tabell30" displayName="Tabell30" ref="U4:U20" totalsRowShown="0" headerRowDxfId="9" dataDxfId="7" headerRowBorderDxfId="8" tableBorderDxfId="6" totalsRowBorderDxfId="5" headerRowCellStyle="Anteckning" dataCellStyle="Anteckning">
  <autoFilter ref="U4:U20" xr:uid="{70B1A997-6307-4234-A86C-5DABEACAB1B6}"/>
  <tableColumns count="1">
    <tableColumn id="1" xr3:uid="{42F55760-12E1-4D35-8AA9-AB38149266A6}" name="Prognos" dataDxfId="4" dataCellStyle="Anteckning"/>
  </tableColumns>
  <tableStyleInfo name="TableStyleMedium1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D2C9845-6980-40CB-B046-BACD59816326}" name="Tabell31" displayName="Tabell31" ref="W4:W20" totalsRowShown="0" headerRowDxfId="3" dataDxfId="2" tableBorderDxfId="1">
  <autoFilter ref="W4:W20" xr:uid="{FB467A10-30CE-4E50-8EE1-41482B05FC21}"/>
  <tableColumns count="1">
    <tableColumn id="1" xr3:uid="{AE536783-233D-416C-B29C-707D96F7693E}" name="Hur gick det" dataDxfId="0"/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07000000}" name="Tabell59" displayName="Tabell59" ref="AE3:AE20" totalsRowShown="0" headerRowDxfId="760" dataDxfId="758" headerRowBorderDxfId="759" tableBorderDxfId="757" totalsRowBorderDxfId="756">
  <autoFilter ref="AE3:AE20" xr:uid="{00000000-0009-0000-0100-00003B000000}"/>
  <tableColumns count="1">
    <tableColumn id="1" xr3:uid="{00000000-0010-0000-0700-000001000000}" name="HCP" dataDxfId="755"/>
  </tableColumns>
  <tableStyleInfo name="TableStyleDark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08000000}" name="Tabell60" displayName="Tabell60" ref="AE22:AE40" totalsRowCount="1" headerRowDxfId="754" dataDxfId="752" totalsRowDxfId="750" headerRowBorderDxfId="753" tableBorderDxfId="751" totalsRowBorderDxfId="749">
  <autoFilter ref="AE22:AE39" xr:uid="{00000000-0009-0000-0100-00003C000000}"/>
  <tableColumns count="1">
    <tableColumn id="1" xr3:uid="{00000000-0010-0000-0800-000001000000}" name="Snittscore" dataDxfId="748" totalsRowDxfId="747"/>
  </tableColumns>
  <tableStyleInfo name="TableStyleDark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09000000}" name="Tabell61" displayName="Tabell61" ref="AF3:AF20" totalsRowCount="1" headerRowDxfId="746" dataDxfId="744" headerRowBorderDxfId="745" tableBorderDxfId="743" totalsRowBorderDxfId="742">
  <autoFilter ref="AF3:AF19" xr:uid="{00000000-0009-0000-0100-00003D000000}"/>
  <tableColumns count="1">
    <tableColumn id="1" xr3:uid="{00000000-0010-0000-0900-000001000000}" name="Snittscore" totalsRowFunction="average" dataDxfId="741" totalsRowDxfId="740">
      <calculatedColumnFormula>(SMALL(D4:M4,1)+SMALL(D4:M4,2)+SMALL(D4:M4,3)+SMALL(D4:M4,4)+SMALL(D4:M4,5))/5</calculatedColumnFormula>
    </tableColumn>
  </tableColumns>
  <tableStyleInfo name="TableStyleDark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table" Target="../tables/table14.xml"/><Relationship Id="rId4" Type="http://schemas.openxmlformats.org/officeDocument/2006/relationships/table" Target="../tables/table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0.xml"/><Relationship Id="rId13" Type="http://schemas.openxmlformats.org/officeDocument/2006/relationships/table" Target="../tables/table35.xml"/><Relationship Id="rId18" Type="http://schemas.openxmlformats.org/officeDocument/2006/relationships/table" Target="../tables/table40.xml"/><Relationship Id="rId26" Type="http://schemas.openxmlformats.org/officeDocument/2006/relationships/table" Target="../tables/table48.xml"/><Relationship Id="rId39" Type="http://schemas.openxmlformats.org/officeDocument/2006/relationships/table" Target="../tables/table61.xml"/><Relationship Id="rId3" Type="http://schemas.openxmlformats.org/officeDocument/2006/relationships/table" Target="../tables/table25.xml"/><Relationship Id="rId21" Type="http://schemas.openxmlformats.org/officeDocument/2006/relationships/table" Target="../tables/table43.xml"/><Relationship Id="rId34" Type="http://schemas.openxmlformats.org/officeDocument/2006/relationships/table" Target="../tables/table56.xml"/><Relationship Id="rId7" Type="http://schemas.openxmlformats.org/officeDocument/2006/relationships/table" Target="../tables/table29.xml"/><Relationship Id="rId12" Type="http://schemas.openxmlformats.org/officeDocument/2006/relationships/table" Target="../tables/table34.xml"/><Relationship Id="rId17" Type="http://schemas.openxmlformats.org/officeDocument/2006/relationships/table" Target="../tables/table39.xml"/><Relationship Id="rId25" Type="http://schemas.openxmlformats.org/officeDocument/2006/relationships/table" Target="../tables/table47.xml"/><Relationship Id="rId33" Type="http://schemas.openxmlformats.org/officeDocument/2006/relationships/table" Target="../tables/table55.xml"/><Relationship Id="rId38" Type="http://schemas.openxmlformats.org/officeDocument/2006/relationships/table" Target="../tables/table60.xml"/><Relationship Id="rId2" Type="http://schemas.openxmlformats.org/officeDocument/2006/relationships/drawing" Target="../drawings/drawing1.xml"/><Relationship Id="rId16" Type="http://schemas.openxmlformats.org/officeDocument/2006/relationships/table" Target="../tables/table38.xml"/><Relationship Id="rId20" Type="http://schemas.openxmlformats.org/officeDocument/2006/relationships/table" Target="../tables/table42.xml"/><Relationship Id="rId29" Type="http://schemas.openxmlformats.org/officeDocument/2006/relationships/table" Target="../tables/table5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28.xml"/><Relationship Id="rId11" Type="http://schemas.openxmlformats.org/officeDocument/2006/relationships/table" Target="../tables/table33.xml"/><Relationship Id="rId24" Type="http://schemas.openxmlformats.org/officeDocument/2006/relationships/table" Target="../tables/table46.xml"/><Relationship Id="rId32" Type="http://schemas.openxmlformats.org/officeDocument/2006/relationships/table" Target="../tables/table54.xml"/><Relationship Id="rId37" Type="http://schemas.openxmlformats.org/officeDocument/2006/relationships/table" Target="../tables/table59.xml"/><Relationship Id="rId5" Type="http://schemas.openxmlformats.org/officeDocument/2006/relationships/table" Target="../tables/table27.xml"/><Relationship Id="rId15" Type="http://schemas.openxmlformats.org/officeDocument/2006/relationships/table" Target="../tables/table37.xml"/><Relationship Id="rId23" Type="http://schemas.openxmlformats.org/officeDocument/2006/relationships/table" Target="../tables/table45.xml"/><Relationship Id="rId28" Type="http://schemas.openxmlformats.org/officeDocument/2006/relationships/table" Target="../tables/table50.xml"/><Relationship Id="rId36" Type="http://schemas.openxmlformats.org/officeDocument/2006/relationships/table" Target="../tables/table58.xml"/><Relationship Id="rId10" Type="http://schemas.openxmlformats.org/officeDocument/2006/relationships/table" Target="../tables/table32.xml"/><Relationship Id="rId19" Type="http://schemas.openxmlformats.org/officeDocument/2006/relationships/table" Target="../tables/table41.xml"/><Relationship Id="rId31" Type="http://schemas.openxmlformats.org/officeDocument/2006/relationships/table" Target="../tables/table53.xml"/><Relationship Id="rId4" Type="http://schemas.openxmlformats.org/officeDocument/2006/relationships/table" Target="../tables/table26.xml"/><Relationship Id="rId9" Type="http://schemas.openxmlformats.org/officeDocument/2006/relationships/table" Target="../tables/table31.xml"/><Relationship Id="rId14" Type="http://schemas.openxmlformats.org/officeDocument/2006/relationships/table" Target="../tables/table36.xml"/><Relationship Id="rId22" Type="http://schemas.openxmlformats.org/officeDocument/2006/relationships/table" Target="../tables/table44.xml"/><Relationship Id="rId27" Type="http://schemas.openxmlformats.org/officeDocument/2006/relationships/table" Target="../tables/table49.xml"/><Relationship Id="rId30" Type="http://schemas.openxmlformats.org/officeDocument/2006/relationships/table" Target="../tables/table52.xml"/><Relationship Id="rId35" Type="http://schemas.openxmlformats.org/officeDocument/2006/relationships/table" Target="../tables/table5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AR44"/>
  <sheetViews>
    <sheetView topLeftCell="B9" zoomScale="85" zoomScaleNormal="85" workbookViewId="0">
      <selection activeCell="AE43" sqref="AE43"/>
    </sheetView>
  </sheetViews>
  <sheetFormatPr defaultColWidth="8.85546875" defaultRowHeight="15" x14ac:dyDescent="0.25"/>
  <cols>
    <col min="1" max="1" width="3.42578125" style="3" customWidth="1"/>
    <col min="2" max="2" width="9.140625" style="3" bestFit="1" customWidth="1"/>
    <col min="3" max="3" width="15.42578125" style="3" bestFit="1" customWidth="1"/>
    <col min="4" max="4" width="6.85546875" style="3" customWidth="1"/>
    <col min="5" max="5" width="9.42578125" style="3" customWidth="1"/>
    <col min="6" max="6" width="6.28515625" style="3" customWidth="1"/>
    <col min="7" max="7" width="6.7109375" style="3" customWidth="1"/>
    <col min="8" max="8" width="6.140625" style="3" customWidth="1"/>
    <col min="9" max="9" width="5.7109375" style="3" customWidth="1"/>
    <col min="10" max="10" width="6" style="3" customWidth="1"/>
    <col min="11" max="12" width="7" style="3" customWidth="1"/>
    <col min="13" max="13" width="6.42578125" style="16" customWidth="1"/>
    <col min="14" max="14" width="25.7109375" style="3" customWidth="1"/>
    <col min="15" max="23" width="4.140625" style="16" customWidth="1"/>
    <col min="24" max="24" width="5" style="16" customWidth="1"/>
    <col min="25" max="25" width="4.85546875" style="16" customWidth="1"/>
    <col min="26" max="26" width="8.85546875" style="3" customWidth="1"/>
    <col min="27" max="27" width="9.42578125" style="16" customWidth="1"/>
    <col min="28" max="28" width="2.42578125" style="3" customWidth="1"/>
    <col min="29" max="29" width="11.42578125" style="16" bestFit="1" customWidth="1"/>
    <col min="30" max="30" width="5.42578125" style="3" customWidth="1"/>
    <col min="31" max="31" width="12" style="16" customWidth="1"/>
    <col min="32" max="32" width="11.7109375" style="3" bestFit="1" customWidth="1"/>
    <col min="33" max="33" width="8.85546875" style="3"/>
    <col min="34" max="34" width="11.5703125" style="3" hidden="1" customWidth="1"/>
    <col min="35" max="42" width="0" style="3" hidden="1" customWidth="1"/>
    <col min="43" max="16384" width="8.85546875" style="3"/>
  </cols>
  <sheetData>
    <row r="1" spans="2:42" ht="15.75" thickBot="1" x14ac:dyDescent="0.3"/>
    <row r="2" spans="2:42" ht="15.75" thickBot="1" x14ac:dyDescent="0.3">
      <c r="D2" s="349" t="s">
        <v>44</v>
      </c>
      <c r="E2" s="350"/>
      <c r="F2" s="350"/>
      <c r="G2" s="350"/>
      <c r="H2" s="350"/>
      <c r="I2" s="350"/>
      <c r="J2" s="350"/>
      <c r="K2" s="350"/>
      <c r="L2" s="351"/>
      <c r="P2" s="119" t="s">
        <v>97</v>
      </c>
      <c r="Q2" s="120"/>
      <c r="R2" s="120"/>
      <c r="S2" s="120"/>
      <c r="T2" s="120"/>
      <c r="U2" s="120"/>
      <c r="V2" s="120"/>
      <c r="W2" s="120"/>
      <c r="X2" s="121"/>
    </row>
    <row r="3" spans="2:42" ht="15.75" thickBot="1" x14ac:dyDescent="0.3">
      <c r="B3" s="317" t="s">
        <v>20</v>
      </c>
      <c r="C3" s="318" t="s">
        <v>21</v>
      </c>
      <c r="D3" s="318" t="s">
        <v>22</v>
      </c>
      <c r="E3" s="318" t="s">
        <v>23</v>
      </c>
      <c r="F3" s="318" t="s">
        <v>24</v>
      </c>
      <c r="G3" s="318" t="s">
        <v>25</v>
      </c>
      <c r="H3" s="318" t="s">
        <v>26</v>
      </c>
      <c r="I3" s="318" t="s">
        <v>27</v>
      </c>
      <c r="J3" s="318" t="s">
        <v>28</v>
      </c>
      <c r="K3" s="318" t="s">
        <v>29</v>
      </c>
      <c r="L3" s="318" t="s">
        <v>96</v>
      </c>
      <c r="M3" s="318" t="s">
        <v>72</v>
      </c>
      <c r="N3" s="319" t="s">
        <v>31</v>
      </c>
      <c r="O3" s="3"/>
      <c r="P3" s="26" t="s">
        <v>22</v>
      </c>
      <c r="Q3" s="27" t="s">
        <v>23</v>
      </c>
      <c r="R3" s="27" t="s">
        <v>24</v>
      </c>
      <c r="S3" s="27" t="s">
        <v>25</v>
      </c>
      <c r="T3" s="27" t="s">
        <v>26</v>
      </c>
      <c r="U3" s="27" t="s">
        <v>27</v>
      </c>
      <c r="V3" s="27" t="s">
        <v>28</v>
      </c>
      <c r="W3" s="27" t="s">
        <v>29</v>
      </c>
      <c r="X3" s="28" t="s">
        <v>30</v>
      </c>
      <c r="Y3" s="27" t="s">
        <v>72</v>
      </c>
      <c r="Z3" s="17" t="s">
        <v>31</v>
      </c>
      <c r="AA3" s="22" t="s">
        <v>32</v>
      </c>
      <c r="AC3" s="30" t="s">
        <v>33</v>
      </c>
      <c r="AE3" s="40" t="s">
        <v>89</v>
      </c>
      <c r="AF3" s="37" t="s">
        <v>92</v>
      </c>
    </row>
    <row r="4" spans="2:42" ht="15.75" thickBot="1" x14ac:dyDescent="0.3">
      <c r="B4" s="320" t="s">
        <v>2</v>
      </c>
      <c r="C4" s="321" t="s">
        <v>3</v>
      </c>
      <c r="D4" s="322">
        <v>89</v>
      </c>
      <c r="E4" s="322">
        <v>94</v>
      </c>
      <c r="F4" s="322">
        <v>81</v>
      </c>
      <c r="G4" s="322">
        <v>86</v>
      </c>
      <c r="H4" s="322">
        <v>88</v>
      </c>
      <c r="I4" s="322">
        <v>93</v>
      </c>
      <c r="J4" s="322">
        <v>93</v>
      </c>
      <c r="K4" s="322">
        <v>87</v>
      </c>
      <c r="L4" s="322">
        <v>89</v>
      </c>
      <c r="M4" s="322">
        <v>162</v>
      </c>
      <c r="N4" s="323">
        <f t="shared" ref="N4:N18" si="0">SMALL(D4:M4,1)+SMALL(D4:M4,2)+SMALL(D4:M4,3)+SMALL(D4:M4,4)+SMALL(D4:M4,5)</f>
        <v>431</v>
      </c>
      <c r="O4" s="3"/>
      <c r="P4" s="216">
        <v>1</v>
      </c>
      <c r="Q4" s="216">
        <v>1</v>
      </c>
      <c r="R4" s="216">
        <v>1</v>
      </c>
      <c r="S4" s="216">
        <v>1</v>
      </c>
      <c r="T4" s="216">
        <v>1</v>
      </c>
      <c r="U4" s="216">
        <v>3</v>
      </c>
      <c r="V4" s="216">
        <v>3</v>
      </c>
      <c r="W4" s="216">
        <v>1</v>
      </c>
      <c r="X4" s="216">
        <v>1</v>
      </c>
      <c r="Y4" s="216">
        <v>16</v>
      </c>
      <c r="Z4" s="18">
        <f>SMALL(P4:Y4,1)+SMALL(P4:Y4,2)+SMALL(P4:Y4,3)+SMALL(P4:Y4,4)+SMALL(P4:Y4,5)</f>
        <v>5</v>
      </c>
      <c r="AA4" s="23">
        <f>RANK(Z4,Z4:Z19,1)</f>
        <v>1</v>
      </c>
      <c r="AC4" s="30"/>
      <c r="AE4" s="289"/>
      <c r="AF4" s="118">
        <f t="shared" ref="AF4:AF19" si="1">(SMALL(D4:M4,1)+SMALL(D4:M4,2)+SMALL(D4:M4,3)+SMALL(D4:M4,4)+SMALL(D4:M4,5))/5</f>
        <v>86.2</v>
      </c>
      <c r="AH4" s="3">
        <f>COUNTIF(Tabell10[#This Row],1)</f>
        <v>7</v>
      </c>
      <c r="AI4" s="3">
        <f>COUNTIF(Tabell10[#This Row],2)</f>
        <v>0</v>
      </c>
      <c r="AJ4" s="3">
        <f>COUNTIF(Tabell10[#This Row],3)</f>
        <v>2</v>
      </c>
      <c r="AK4" s="3">
        <f>AH4*300</f>
        <v>2100</v>
      </c>
      <c r="AL4" s="3">
        <f>AI4*200</f>
        <v>0</v>
      </c>
      <c r="AM4" s="3">
        <f>AJ4*100</f>
        <v>200</v>
      </c>
      <c r="AN4" s="3">
        <f>AK4+AL4+AM4</f>
        <v>2300</v>
      </c>
      <c r="AP4" s="3">
        <f>AN4+AN24</f>
        <v>3100</v>
      </c>
    </row>
    <row r="5" spans="2:42" ht="15.75" thickBot="1" x14ac:dyDescent="0.3">
      <c r="B5" s="324" t="s">
        <v>0</v>
      </c>
      <c r="C5" s="325" t="s">
        <v>1</v>
      </c>
      <c r="D5" s="326">
        <v>92</v>
      </c>
      <c r="E5" s="326">
        <v>106</v>
      </c>
      <c r="F5" s="342"/>
      <c r="G5" s="326">
        <v>88</v>
      </c>
      <c r="H5" s="326">
        <v>98</v>
      </c>
      <c r="I5" s="326">
        <v>96</v>
      </c>
      <c r="J5" s="326">
        <v>89</v>
      </c>
      <c r="K5" s="326">
        <v>97</v>
      </c>
      <c r="L5" s="326">
        <v>99</v>
      </c>
      <c r="M5" s="326">
        <v>162</v>
      </c>
      <c r="N5" s="327">
        <f t="shared" si="0"/>
        <v>462</v>
      </c>
      <c r="O5" s="1"/>
      <c r="P5" s="216">
        <v>3</v>
      </c>
      <c r="Q5" s="216">
        <v>8</v>
      </c>
      <c r="R5" s="315">
        <v>16</v>
      </c>
      <c r="S5" s="216">
        <v>2</v>
      </c>
      <c r="T5" s="216">
        <v>6</v>
      </c>
      <c r="U5" s="216">
        <v>8</v>
      </c>
      <c r="V5" s="216">
        <v>1</v>
      </c>
      <c r="W5" s="216">
        <v>6</v>
      </c>
      <c r="X5" s="216">
        <v>3</v>
      </c>
      <c r="Y5" s="216">
        <v>16</v>
      </c>
      <c r="Z5" s="18">
        <f t="shared" ref="Z5:Z18" si="2">SMALL(P5:Y5,1)+SMALL(P5:Y5,2)+SMALL(P5:Y5,3)+SMALL(P5:Y5,4)+SMALL(P5:Y5,5)</f>
        <v>15</v>
      </c>
      <c r="AA5" s="24">
        <f>RANK(Z5,Z4:Z19,1)</f>
        <v>4</v>
      </c>
      <c r="AC5" s="31">
        <v>1</v>
      </c>
      <c r="AE5" s="290"/>
      <c r="AF5" s="118">
        <f t="shared" si="1"/>
        <v>92.4</v>
      </c>
      <c r="AH5" s="3">
        <f>COUNTIF(Tabell10[#This Row],1)</f>
        <v>1</v>
      </c>
      <c r="AI5" s="3">
        <f>COUNTIF(Tabell10[#This Row],2)</f>
        <v>1</v>
      </c>
      <c r="AJ5" s="3">
        <f>COUNTIF(Tabell10[#This Row],3)</f>
        <v>2</v>
      </c>
      <c r="AK5" s="3">
        <f t="shared" ref="AK5:AK18" si="3">AH5*300</f>
        <v>300</v>
      </c>
      <c r="AL5" s="3">
        <f t="shared" ref="AL5:AL18" si="4">AI5*200</f>
        <v>200</v>
      </c>
      <c r="AM5" s="3">
        <f t="shared" ref="AM5:AM18" si="5">AJ5*100</f>
        <v>200</v>
      </c>
      <c r="AN5" s="3">
        <f t="shared" ref="AN5:AN18" si="6">AK5+AL5+AM5</f>
        <v>700</v>
      </c>
      <c r="AP5" s="3">
        <f>AN5+AN25</f>
        <v>1200</v>
      </c>
    </row>
    <row r="6" spans="2:42" ht="15.75" thickBot="1" x14ac:dyDescent="0.3">
      <c r="B6" s="328" t="s">
        <v>4</v>
      </c>
      <c r="C6" s="329" t="s">
        <v>5</v>
      </c>
      <c r="D6" s="322">
        <v>94</v>
      </c>
      <c r="E6" s="322">
        <v>110</v>
      </c>
      <c r="F6" s="322">
        <v>96</v>
      </c>
      <c r="G6" s="322">
        <v>99</v>
      </c>
      <c r="H6" s="322">
        <v>105</v>
      </c>
      <c r="I6" s="322">
        <v>95</v>
      </c>
      <c r="J6" s="322">
        <v>102</v>
      </c>
      <c r="K6" s="322">
        <v>104</v>
      </c>
      <c r="L6" s="322">
        <v>104</v>
      </c>
      <c r="M6" s="322">
        <v>162</v>
      </c>
      <c r="N6" s="330">
        <f t="shared" si="0"/>
        <v>486</v>
      </c>
      <c r="O6" s="1"/>
      <c r="P6" s="216">
        <v>5</v>
      </c>
      <c r="Q6" s="216">
        <v>11</v>
      </c>
      <c r="R6" s="216">
        <v>8</v>
      </c>
      <c r="S6" s="216">
        <v>7</v>
      </c>
      <c r="T6" s="216">
        <v>10</v>
      </c>
      <c r="U6" s="216">
        <v>5</v>
      </c>
      <c r="V6" s="216">
        <v>7</v>
      </c>
      <c r="W6" s="216">
        <v>10</v>
      </c>
      <c r="X6" s="216">
        <v>9</v>
      </c>
      <c r="Y6" s="216">
        <v>16</v>
      </c>
      <c r="Z6" s="18">
        <f t="shared" si="2"/>
        <v>32</v>
      </c>
      <c r="AA6" s="24">
        <f>RANK(Z6,Z4:Z19,1)</f>
        <v>8</v>
      </c>
      <c r="AC6" s="31">
        <v>1</v>
      </c>
      <c r="AE6" s="290"/>
      <c r="AF6" s="118">
        <f t="shared" si="1"/>
        <v>97.2</v>
      </c>
      <c r="AH6" s="3">
        <f>COUNTIF(Tabell10[#This Row],1)</f>
        <v>0</v>
      </c>
      <c r="AI6" s="3">
        <f>COUNTIF(Tabell10[#This Row],2)</f>
        <v>0</v>
      </c>
      <c r="AJ6" s="3">
        <f>COUNTIF(Tabell10[#This Row],3)</f>
        <v>0</v>
      </c>
      <c r="AK6" s="3">
        <f t="shared" si="3"/>
        <v>0</v>
      </c>
      <c r="AL6" s="3">
        <f t="shared" si="4"/>
        <v>0</v>
      </c>
      <c r="AM6" s="3">
        <f t="shared" si="5"/>
        <v>0</v>
      </c>
      <c r="AN6" s="3">
        <f t="shared" si="6"/>
        <v>0</v>
      </c>
      <c r="AP6" s="3">
        <f>AN6+AN26</f>
        <v>300</v>
      </c>
    </row>
    <row r="7" spans="2:42" ht="15.75" thickBot="1" x14ac:dyDescent="0.3">
      <c r="B7" s="324" t="s">
        <v>14</v>
      </c>
      <c r="C7" s="325" t="s">
        <v>13</v>
      </c>
      <c r="D7" s="326">
        <v>91</v>
      </c>
      <c r="E7" s="326">
        <v>95</v>
      </c>
      <c r="F7" s="326">
        <v>90</v>
      </c>
      <c r="G7" s="326">
        <v>95</v>
      </c>
      <c r="H7" s="326">
        <v>102</v>
      </c>
      <c r="I7" s="326">
        <v>89</v>
      </c>
      <c r="J7" s="326">
        <v>89</v>
      </c>
      <c r="K7" s="326">
        <v>91</v>
      </c>
      <c r="L7" s="326">
        <v>99</v>
      </c>
      <c r="M7" s="326">
        <v>162</v>
      </c>
      <c r="N7" s="327">
        <f t="shared" si="0"/>
        <v>450</v>
      </c>
      <c r="O7" s="1"/>
      <c r="P7" s="216">
        <v>2</v>
      </c>
      <c r="Q7" s="216">
        <v>2</v>
      </c>
      <c r="R7" s="216">
        <v>4</v>
      </c>
      <c r="S7" s="216">
        <v>4</v>
      </c>
      <c r="T7" s="216">
        <v>8</v>
      </c>
      <c r="U7" s="216">
        <v>1</v>
      </c>
      <c r="V7" s="216">
        <v>1</v>
      </c>
      <c r="W7" s="216">
        <v>2</v>
      </c>
      <c r="X7" s="216">
        <v>3</v>
      </c>
      <c r="Y7" s="216">
        <v>16</v>
      </c>
      <c r="Z7" s="18">
        <f t="shared" si="2"/>
        <v>8</v>
      </c>
      <c r="AA7" s="24">
        <f>RANK(Z7,Z4:Z19,1)</f>
        <v>2</v>
      </c>
      <c r="AC7" s="31">
        <v>1</v>
      </c>
      <c r="AE7" s="290"/>
      <c r="AF7" s="118">
        <f t="shared" si="1"/>
        <v>90</v>
      </c>
      <c r="AH7" s="3">
        <f>COUNTIF(Tabell10[#This Row],1)</f>
        <v>2</v>
      </c>
      <c r="AI7" s="3">
        <f>COUNTIF(Tabell10[#This Row],2)</f>
        <v>3</v>
      </c>
      <c r="AJ7" s="3">
        <f>COUNTIF(Tabell10[#This Row],3)</f>
        <v>1</v>
      </c>
      <c r="AK7" s="3">
        <f t="shared" si="3"/>
        <v>600</v>
      </c>
      <c r="AL7" s="3">
        <f t="shared" si="4"/>
        <v>600</v>
      </c>
      <c r="AM7" s="3">
        <f t="shared" si="5"/>
        <v>100</v>
      </c>
      <c r="AN7" s="3">
        <f t="shared" si="6"/>
        <v>1300</v>
      </c>
      <c r="AP7" s="3">
        <f>AN7+AN27</f>
        <v>1900</v>
      </c>
    </row>
    <row r="8" spans="2:42" ht="15.75" thickBot="1" x14ac:dyDescent="0.3">
      <c r="B8" s="328" t="s">
        <v>10</v>
      </c>
      <c r="C8" s="329" t="s">
        <v>11</v>
      </c>
      <c r="D8" s="322">
        <v>103</v>
      </c>
      <c r="E8" s="322">
        <v>101</v>
      </c>
      <c r="F8" s="322">
        <v>93</v>
      </c>
      <c r="G8" s="322">
        <v>97</v>
      </c>
      <c r="H8" s="322">
        <v>90</v>
      </c>
      <c r="I8" s="322">
        <v>96</v>
      </c>
      <c r="J8" s="322">
        <v>100</v>
      </c>
      <c r="K8" s="322">
        <v>92</v>
      </c>
      <c r="L8" s="322">
        <v>100</v>
      </c>
      <c r="M8" s="322">
        <v>162</v>
      </c>
      <c r="N8" s="330">
        <f t="shared" si="0"/>
        <v>468</v>
      </c>
      <c r="O8" s="1"/>
      <c r="P8" s="216">
        <v>8</v>
      </c>
      <c r="Q8" s="216">
        <v>4</v>
      </c>
      <c r="R8" s="216">
        <v>6</v>
      </c>
      <c r="S8" s="216">
        <v>6</v>
      </c>
      <c r="T8" s="216">
        <v>3</v>
      </c>
      <c r="U8" s="216">
        <v>8</v>
      </c>
      <c r="V8" s="216">
        <v>6</v>
      </c>
      <c r="W8" s="216">
        <v>4</v>
      </c>
      <c r="X8" s="216">
        <v>6</v>
      </c>
      <c r="Y8" s="216">
        <v>16</v>
      </c>
      <c r="Z8" s="18">
        <f t="shared" si="2"/>
        <v>23</v>
      </c>
      <c r="AA8" s="24">
        <f>RANK(Z8,Z4:Z19,1)</f>
        <v>6</v>
      </c>
      <c r="AC8" s="31">
        <v>2</v>
      </c>
      <c r="AE8" s="290"/>
      <c r="AF8" s="118">
        <f t="shared" si="1"/>
        <v>93.6</v>
      </c>
      <c r="AH8" s="3">
        <f>COUNTIF(Tabell10[#This Row],1)</f>
        <v>0</v>
      </c>
      <c r="AI8" s="3">
        <f>COUNTIF(Tabell10[#This Row],2)</f>
        <v>0</v>
      </c>
      <c r="AJ8" s="3">
        <f>COUNTIF(Tabell10[#This Row],3)</f>
        <v>1</v>
      </c>
      <c r="AK8" s="3">
        <f t="shared" si="3"/>
        <v>0</v>
      </c>
      <c r="AL8" s="3">
        <f t="shared" si="4"/>
        <v>0</v>
      </c>
      <c r="AM8" s="3">
        <f t="shared" si="5"/>
        <v>100</v>
      </c>
      <c r="AN8" s="3">
        <f t="shared" si="6"/>
        <v>100</v>
      </c>
      <c r="AP8" s="3">
        <f t="shared" ref="AP8:AP18" si="7">AN8+AN28</f>
        <v>800</v>
      </c>
    </row>
    <row r="9" spans="2:42" ht="15.75" thickBot="1" x14ac:dyDescent="0.3">
      <c r="B9" s="324" t="s">
        <v>6</v>
      </c>
      <c r="C9" s="325" t="s">
        <v>7</v>
      </c>
      <c r="D9" s="326">
        <v>102</v>
      </c>
      <c r="E9" s="326">
        <v>107</v>
      </c>
      <c r="F9" s="326">
        <v>100</v>
      </c>
      <c r="G9" s="326">
        <v>99</v>
      </c>
      <c r="H9" s="326">
        <v>108</v>
      </c>
      <c r="I9" s="326">
        <v>109</v>
      </c>
      <c r="J9" s="326">
        <v>107</v>
      </c>
      <c r="K9" s="326">
        <v>100</v>
      </c>
      <c r="L9" s="326">
        <v>124</v>
      </c>
      <c r="M9" s="326">
        <v>162</v>
      </c>
      <c r="N9" s="327">
        <f t="shared" si="0"/>
        <v>508</v>
      </c>
      <c r="O9" s="1"/>
      <c r="P9" s="216">
        <v>7</v>
      </c>
      <c r="Q9" s="216">
        <v>10</v>
      </c>
      <c r="R9" s="216">
        <v>9</v>
      </c>
      <c r="S9" s="216">
        <v>7</v>
      </c>
      <c r="T9" s="216">
        <v>12</v>
      </c>
      <c r="U9" s="216">
        <v>12</v>
      </c>
      <c r="V9" s="216">
        <v>9</v>
      </c>
      <c r="W9" s="216">
        <v>8</v>
      </c>
      <c r="X9" s="216">
        <v>14</v>
      </c>
      <c r="Y9" s="216">
        <v>16</v>
      </c>
      <c r="Z9" s="18">
        <f t="shared" si="2"/>
        <v>40</v>
      </c>
      <c r="AA9" s="24">
        <f>RANK(Z9,Z4:Z19,1)</f>
        <v>10</v>
      </c>
      <c r="AC9" s="31">
        <v>3</v>
      </c>
      <c r="AE9" s="290"/>
      <c r="AF9" s="118">
        <f t="shared" si="1"/>
        <v>101.6</v>
      </c>
      <c r="AH9" s="3">
        <f>COUNTIF(Tabell10[#This Row],1)</f>
        <v>0</v>
      </c>
      <c r="AI9" s="3">
        <f>COUNTIF(Tabell10[#This Row],2)</f>
        <v>0</v>
      </c>
      <c r="AJ9" s="3">
        <f>COUNTIF(Tabell10[#This Row],3)</f>
        <v>0</v>
      </c>
      <c r="AK9" s="3">
        <f t="shared" si="3"/>
        <v>0</v>
      </c>
      <c r="AL9" s="3">
        <f t="shared" si="4"/>
        <v>0</v>
      </c>
      <c r="AM9" s="3">
        <f t="shared" si="5"/>
        <v>0</v>
      </c>
      <c r="AN9" s="3">
        <f t="shared" si="6"/>
        <v>0</v>
      </c>
      <c r="AP9" s="3">
        <f t="shared" si="7"/>
        <v>400</v>
      </c>
    </row>
    <row r="10" spans="2:42" ht="15.75" thickBot="1" x14ac:dyDescent="0.3">
      <c r="B10" s="328" t="s">
        <v>8</v>
      </c>
      <c r="C10" s="329" t="s">
        <v>9</v>
      </c>
      <c r="D10" s="322">
        <v>104</v>
      </c>
      <c r="E10" s="322">
        <v>103</v>
      </c>
      <c r="F10" s="322">
        <v>92</v>
      </c>
      <c r="G10" s="322">
        <v>107</v>
      </c>
      <c r="H10" s="322">
        <v>88</v>
      </c>
      <c r="I10" s="322">
        <v>105</v>
      </c>
      <c r="J10" s="344">
        <v>162</v>
      </c>
      <c r="K10" s="322">
        <v>94</v>
      </c>
      <c r="L10" s="322">
        <v>101</v>
      </c>
      <c r="M10" s="322">
        <v>162</v>
      </c>
      <c r="N10" s="330">
        <f t="shared" si="0"/>
        <v>478</v>
      </c>
      <c r="O10" s="1"/>
      <c r="P10" s="216">
        <v>10</v>
      </c>
      <c r="Q10" s="216">
        <v>6</v>
      </c>
      <c r="R10" s="216">
        <v>5</v>
      </c>
      <c r="S10" s="216">
        <v>10</v>
      </c>
      <c r="T10" s="216">
        <v>1</v>
      </c>
      <c r="U10" s="216">
        <v>11</v>
      </c>
      <c r="V10" s="343">
        <v>16</v>
      </c>
      <c r="W10" s="216">
        <v>5</v>
      </c>
      <c r="X10" s="216">
        <v>7</v>
      </c>
      <c r="Y10" s="216">
        <v>16</v>
      </c>
      <c r="Z10" s="18">
        <f t="shared" si="2"/>
        <v>24</v>
      </c>
      <c r="AA10" s="24">
        <f>RANK(Z10,Z4:Z19,1)</f>
        <v>7</v>
      </c>
      <c r="AC10" s="31">
        <v>1</v>
      </c>
      <c r="AE10" s="290"/>
      <c r="AF10" s="118">
        <f t="shared" si="1"/>
        <v>95.6</v>
      </c>
      <c r="AH10" s="3">
        <f>COUNTIF(Tabell10[#This Row],1)</f>
        <v>1</v>
      </c>
      <c r="AI10" s="3">
        <f>COUNTIF(Tabell10[#This Row],2)</f>
        <v>0</v>
      </c>
      <c r="AJ10" s="3">
        <f>COUNTIF(Tabell10[#This Row],3)</f>
        <v>0</v>
      </c>
      <c r="AK10" s="3">
        <f t="shared" si="3"/>
        <v>300</v>
      </c>
      <c r="AL10" s="3">
        <f t="shared" si="4"/>
        <v>0</v>
      </c>
      <c r="AM10" s="3">
        <f t="shared" si="5"/>
        <v>0</v>
      </c>
      <c r="AN10" s="3">
        <f t="shared" si="6"/>
        <v>300</v>
      </c>
      <c r="AP10" s="3">
        <f t="shared" si="7"/>
        <v>800</v>
      </c>
    </row>
    <row r="11" spans="2:42" ht="15.75" thickBot="1" x14ac:dyDescent="0.3">
      <c r="B11" s="324" t="s">
        <v>2</v>
      </c>
      <c r="C11" s="325" t="s">
        <v>159</v>
      </c>
      <c r="D11" s="326">
        <v>111</v>
      </c>
      <c r="E11" s="326">
        <v>106</v>
      </c>
      <c r="F11" s="326">
        <v>107</v>
      </c>
      <c r="G11" s="326">
        <v>110</v>
      </c>
      <c r="H11" s="326">
        <v>104</v>
      </c>
      <c r="I11" s="326">
        <v>101</v>
      </c>
      <c r="J11" s="326">
        <v>106</v>
      </c>
      <c r="K11" s="342">
        <v>162</v>
      </c>
      <c r="L11" s="326">
        <v>105</v>
      </c>
      <c r="M11" s="326">
        <v>162</v>
      </c>
      <c r="N11" s="327">
        <f t="shared" si="0"/>
        <v>522</v>
      </c>
      <c r="O11" s="1"/>
      <c r="P11" s="216">
        <v>13</v>
      </c>
      <c r="Q11" s="216">
        <v>8</v>
      </c>
      <c r="R11" s="216">
        <v>11</v>
      </c>
      <c r="S11" s="216">
        <v>11</v>
      </c>
      <c r="T11" s="216">
        <v>9</v>
      </c>
      <c r="U11" s="216">
        <v>10</v>
      </c>
      <c r="V11" s="216">
        <v>8</v>
      </c>
      <c r="W11" s="216">
        <v>16</v>
      </c>
      <c r="X11" s="216">
        <v>10</v>
      </c>
      <c r="Y11" s="216">
        <v>16</v>
      </c>
      <c r="Z11" s="18">
        <f t="shared" si="2"/>
        <v>45</v>
      </c>
      <c r="AA11" s="24">
        <f>RANK(Z11,Z4:Z19,1)</f>
        <v>12</v>
      </c>
      <c r="AC11" s="31">
        <v>2</v>
      </c>
      <c r="AE11" s="290"/>
      <c r="AF11" s="118">
        <f t="shared" si="1"/>
        <v>104.4</v>
      </c>
      <c r="AH11" s="3">
        <f>COUNTIF(Tabell10[#This Row],1)</f>
        <v>0</v>
      </c>
      <c r="AI11" s="3">
        <f>COUNTIF(Tabell10[#This Row],2)</f>
        <v>0</v>
      </c>
      <c r="AJ11" s="3">
        <f>COUNTIF(Tabell10[#This Row],3)</f>
        <v>0</v>
      </c>
      <c r="AK11" s="3">
        <f t="shared" si="3"/>
        <v>0</v>
      </c>
      <c r="AL11" s="3">
        <f t="shared" si="4"/>
        <v>0</v>
      </c>
      <c r="AM11" s="3">
        <f t="shared" si="5"/>
        <v>0</v>
      </c>
      <c r="AN11" s="3">
        <f t="shared" si="6"/>
        <v>0</v>
      </c>
      <c r="AP11" s="3">
        <f t="shared" si="7"/>
        <v>0</v>
      </c>
    </row>
    <row r="12" spans="2:42" ht="15.75" thickBot="1" x14ac:dyDescent="0.3">
      <c r="B12" s="328" t="s">
        <v>17</v>
      </c>
      <c r="C12" s="329" t="s">
        <v>18</v>
      </c>
      <c r="D12" s="322">
        <v>104</v>
      </c>
      <c r="E12" s="322">
        <v>116</v>
      </c>
      <c r="F12" s="322">
        <v>111</v>
      </c>
      <c r="G12" s="322">
        <v>111</v>
      </c>
      <c r="H12" s="322">
        <v>100</v>
      </c>
      <c r="I12" s="322">
        <v>95</v>
      </c>
      <c r="J12" s="322">
        <v>123</v>
      </c>
      <c r="K12" s="322">
        <v>108</v>
      </c>
      <c r="L12" s="322">
        <v>114</v>
      </c>
      <c r="M12" s="322">
        <v>162</v>
      </c>
      <c r="N12" s="330">
        <f t="shared" si="0"/>
        <v>518</v>
      </c>
      <c r="O12" s="1"/>
      <c r="P12" s="216">
        <v>10</v>
      </c>
      <c r="Q12" s="216">
        <v>14</v>
      </c>
      <c r="R12" s="216">
        <v>12</v>
      </c>
      <c r="S12" s="216">
        <v>12</v>
      </c>
      <c r="T12" s="216">
        <v>7</v>
      </c>
      <c r="U12" s="216">
        <v>5</v>
      </c>
      <c r="V12" s="216">
        <v>12</v>
      </c>
      <c r="W12" s="216">
        <v>13</v>
      </c>
      <c r="X12" s="216">
        <v>12</v>
      </c>
      <c r="Y12" s="216">
        <v>16</v>
      </c>
      <c r="Z12" s="18">
        <f t="shared" si="2"/>
        <v>46</v>
      </c>
      <c r="AA12" s="24">
        <f>RANK(Z12,Z4:Z19,1)</f>
        <v>13</v>
      </c>
      <c r="AC12" s="31">
        <v>6</v>
      </c>
      <c r="AE12" s="290"/>
      <c r="AF12" s="118">
        <f t="shared" si="1"/>
        <v>103.6</v>
      </c>
      <c r="AH12" s="3">
        <f>COUNTIF(Tabell10[#This Row],1)</f>
        <v>0</v>
      </c>
      <c r="AI12" s="3">
        <f>COUNTIF(Tabell10[#This Row],2)</f>
        <v>0</v>
      </c>
      <c r="AJ12" s="3">
        <f>COUNTIF(Tabell10[#This Row],3)</f>
        <v>0</v>
      </c>
      <c r="AK12" s="3">
        <f t="shared" si="3"/>
        <v>0</v>
      </c>
      <c r="AL12" s="3">
        <f t="shared" si="4"/>
        <v>0</v>
      </c>
      <c r="AM12" s="3">
        <f t="shared" si="5"/>
        <v>0</v>
      </c>
      <c r="AN12" s="3">
        <f t="shared" si="6"/>
        <v>0</v>
      </c>
      <c r="AP12" s="3">
        <f t="shared" si="7"/>
        <v>500</v>
      </c>
    </row>
    <row r="13" spans="2:42" ht="15.75" thickBot="1" x14ac:dyDescent="0.3">
      <c r="B13" s="324" t="s">
        <v>15</v>
      </c>
      <c r="C13" s="325" t="s">
        <v>16</v>
      </c>
      <c r="D13" s="326">
        <v>103</v>
      </c>
      <c r="E13" s="326">
        <v>104</v>
      </c>
      <c r="F13" s="326">
        <v>118</v>
      </c>
      <c r="G13" s="326">
        <v>112</v>
      </c>
      <c r="H13" s="326">
        <v>112</v>
      </c>
      <c r="I13" s="326">
        <v>111</v>
      </c>
      <c r="J13" s="326">
        <v>118</v>
      </c>
      <c r="K13" s="326">
        <v>100</v>
      </c>
      <c r="L13" s="326">
        <v>102</v>
      </c>
      <c r="M13" s="326">
        <v>162</v>
      </c>
      <c r="N13" s="327">
        <f t="shared" si="0"/>
        <v>520</v>
      </c>
      <c r="O13" s="1"/>
      <c r="P13" s="216">
        <v>9</v>
      </c>
      <c r="Q13" s="216">
        <v>7</v>
      </c>
      <c r="R13" s="216">
        <v>15</v>
      </c>
      <c r="S13" s="216">
        <v>13</v>
      </c>
      <c r="T13" s="216">
        <v>13</v>
      </c>
      <c r="U13" s="216">
        <v>13</v>
      </c>
      <c r="V13" s="216">
        <v>11</v>
      </c>
      <c r="W13" s="216">
        <v>8</v>
      </c>
      <c r="X13" s="216">
        <v>8</v>
      </c>
      <c r="Y13" s="216">
        <v>16</v>
      </c>
      <c r="Z13" s="18">
        <f t="shared" si="2"/>
        <v>43</v>
      </c>
      <c r="AA13" s="24">
        <f>RANK(Z13,Z4:Z19,1)</f>
        <v>11</v>
      </c>
      <c r="AC13" s="31">
        <v>2</v>
      </c>
      <c r="AE13" s="290"/>
      <c r="AF13" s="118">
        <f t="shared" si="1"/>
        <v>104</v>
      </c>
      <c r="AH13" s="3">
        <f>COUNTIF(Tabell10[#This Row],1)</f>
        <v>0</v>
      </c>
      <c r="AI13" s="3">
        <f>COUNTIF(Tabell10[#This Row],2)</f>
        <v>0</v>
      </c>
      <c r="AJ13" s="3">
        <f>COUNTIF(Tabell10[#This Row],3)</f>
        <v>0</v>
      </c>
      <c r="AK13" s="3">
        <f t="shared" si="3"/>
        <v>0</v>
      </c>
      <c r="AL13" s="3">
        <f t="shared" si="4"/>
        <v>0</v>
      </c>
      <c r="AM13" s="3">
        <f t="shared" si="5"/>
        <v>0</v>
      </c>
      <c r="AN13" s="3">
        <f t="shared" si="6"/>
        <v>0</v>
      </c>
      <c r="AP13" s="3">
        <f t="shared" si="7"/>
        <v>200</v>
      </c>
    </row>
    <row r="14" spans="2:42" ht="15.75" thickBot="1" x14ac:dyDescent="0.3">
      <c r="B14" s="328" t="s">
        <v>104</v>
      </c>
      <c r="C14" s="329" t="s">
        <v>105</v>
      </c>
      <c r="D14" s="331">
        <v>162</v>
      </c>
      <c r="E14" s="322">
        <v>111</v>
      </c>
      <c r="F14" s="322">
        <v>93</v>
      </c>
      <c r="G14" s="322">
        <v>113</v>
      </c>
      <c r="H14" s="322">
        <v>113</v>
      </c>
      <c r="I14" s="344">
        <v>162</v>
      </c>
      <c r="J14" s="344">
        <v>162</v>
      </c>
      <c r="K14" s="344">
        <v>162</v>
      </c>
      <c r="L14" s="344">
        <v>162</v>
      </c>
      <c r="M14" s="322">
        <v>162</v>
      </c>
      <c r="N14" s="330">
        <f t="shared" si="0"/>
        <v>592</v>
      </c>
      <c r="O14" s="1"/>
      <c r="P14" s="315">
        <v>16</v>
      </c>
      <c r="Q14" s="216">
        <v>12</v>
      </c>
      <c r="R14" s="216">
        <v>6</v>
      </c>
      <c r="S14" s="216">
        <v>14</v>
      </c>
      <c r="T14" s="216">
        <v>14</v>
      </c>
      <c r="U14" s="343">
        <v>16</v>
      </c>
      <c r="V14" s="343">
        <v>16</v>
      </c>
      <c r="W14" s="216">
        <v>16</v>
      </c>
      <c r="X14" s="216">
        <v>16</v>
      </c>
      <c r="Y14" s="216">
        <v>16</v>
      </c>
      <c r="Z14" s="18">
        <f t="shared" si="2"/>
        <v>62</v>
      </c>
      <c r="AA14" s="24">
        <f>RANK(Z14,Z4:Z18,1)</f>
        <v>15</v>
      </c>
      <c r="AC14" s="31">
        <v>1</v>
      </c>
      <c r="AE14" s="290"/>
      <c r="AF14" s="118">
        <f t="shared" si="1"/>
        <v>118.4</v>
      </c>
      <c r="AH14" s="3">
        <f>COUNTIF(Tabell10[#This Row],1)</f>
        <v>0</v>
      </c>
      <c r="AI14" s="3">
        <f>COUNTIF(Tabell10[#This Row],2)</f>
        <v>0</v>
      </c>
      <c r="AJ14" s="3">
        <f>COUNTIF(Tabell10[#This Row],3)</f>
        <v>0</v>
      </c>
      <c r="AK14" s="3">
        <f t="shared" si="3"/>
        <v>0</v>
      </c>
      <c r="AL14" s="3">
        <f t="shared" si="4"/>
        <v>0</v>
      </c>
      <c r="AM14" s="3">
        <f t="shared" si="5"/>
        <v>0</v>
      </c>
      <c r="AN14" s="3">
        <f t="shared" si="6"/>
        <v>0</v>
      </c>
      <c r="AP14" s="3">
        <f t="shared" si="7"/>
        <v>0</v>
      </c>
    </row>
    <row r="15" spans="2:42" ht="15.75" thickBot="1" x14ac:dyDescent="0.3">
      <c r="B15" s="324" t="s">
        <v>8</v>
      </c>
      <c r="C15" s="325" t="s">
        <v>19</v>
      </c>
      <c r="D15" s="326">
        <v>137</v>
      </c>
      <c r="E15" s="326">
        <v>111</v>
      </c>
      <c r="F15" s="326">
        <v>113</v>
      </c>
      <c r="G15" s="326">
        <v>119</v>
      </c>
      <c r="H15" s="326">
        <v>162</v>
      </c>
      <c r="I15" s="326">
        <v>115</v>
      </c>
      <c r="J15" s="326">
        <v>110</v>
      </c>
      <c r="K15" s="326">
        <v>105</v>
      </c>
      <c r="L15" s="326">
        <v>121</v>
      </c>
      <c r="M15" s="326">
        <v>162</v>
      </c>
      <c r="N15" s="327">
        <f t="shared" si="0"/>
        <v>554</v>
      </c>
      <c r="O15" s="1"/>
      <c r="P15" s="216">
        <v>15</v>
      </c>
      <c r="Q15" s="216">
        <v>12</v>
      </c>
      <c r="R15" s="216">
        <v>13</v>
      </c>
      <c r="S15" s="216">
        <v>16</v>
      </c>
      <c r="T15" s="315">
        <v>16</v>
      </c>
      <c r="U15" s="216">
        <v>15</v>
      </c>
      <c r="V15" s="216">
        <v>10</v>
      </c>
      <c r="W15" s="216">
        <v>11</v>
      </c>
      <c r="X15" s="216">
        <v>13</v>
      </c>
      <c r="Y15" s="216">
        <v>16</v>
      </c>
      <c r="Z15" s="18">
        <f t="shared" si="2"/>
        <v>59</v>
      </c>
      <c r="AA15" s="24">
        <f>RANK(Z15,Z4:Z19,1)</f>
        <v>14</v>
      </c>
      <c r="AC15" s="31">
        <v>5</v>
      </c>
      <c r="AE15" s="290"/>
      <c r="AF15" s="118">
        <f t="shared" si="1"/>
        <v>110.8</v>
      </c>
      <c r="AH15" s="3">
        <f>COUNTIF(Tabell10[#This Row],1)</f>
        <v>0</v>
      </c>
      <c r="AI15" s="3">
        <f>COUNTIF(Tabell10[#This Row],2)</f>
        <v>0</v>
      </c>
      <c r="AJ15" s="3">
        <f>COUNTIF(Tabell10[#This Row],3)</f>
        <v>0</v>
      </c>
      <c r="AK15" s="3">
        <f t="shared" si="3"/>
        <v>0</v>
      </c>
      <c r="AL15" s="3">
        <f t="shared" si="4"/>
        <v>0</v>
      </c>
      <c r="AM15" s="3">
        <f t="shared" si="5"/>
        <v>0</v>
      </c>
      <c r="AN15" s="3">
        <f t="shared" si="6"/>
        <v>0</v>
      </c>
      <c r="AP15" s="3">
        <f t="shared" si="7"/>
        <v>0</v>
      </c>
    </row>
    <row r="16" spans="2:42" ht="15.75" thickBot="1" x14ac:dyDescent="0.3">
      <c r="B16" s="328" t="s">
        <v>12</v>
      </c>
      <c r="C16" s="329" t="s">
        <v>13</v>
      </c>
      <c r="D16" s="322">
        <v>104</v>
      </c>
      <c r="E16" s="322">
        <v>102</v>
      </c>
      <c r="F16" s="322">
        <v>104</v>
      </c>
      <c r="G16" s="322">
        <v>106</v>
      </c>
      <c r="H16" s="322">
        <v>107</v>
      </c>
      <c r="I16" s="322">
        <v>95</v>
      </c>
      <c r="J16" s="322">
        <v>98</v>
      </c>
      <c r="K16" s="322">
        <v>106</v>
      </c>
      <c r="L16" s="322">
        <v>109</v>
      </c>
      <c r="M16" s="322">
        <v>162</v>
      </c>
      <c r="N16" s="330">
        <f t="shared" si="0"/>
        <v>503</v>
      </c>
      <c r="O16" s="1"/>
      <c r="P16" s="216">
        <v>10</v>
      </c>
      <c r="Q16" s="216">
        <v>5</v>
      </c>
      <c r="R16" s="216">
        <v>10</v>
      </c>
      <c r="S16" s="216">
        <v>9</v>
      </c>
      <c r="T16" s="216">
        <v>11</v>
      </c>
      <c r="U16" s="216">
        <v>5</v>
      </c>
      <c r="V16" s="216">
        <v>4</v>
      </c>
      <c r="W16" s="216">
        <v>12</v>
      </c>
      <c r="X16" s="216">
        <v>11</v>
      </c>
      <c r="Y16" s="216">
        <v>16</v>
      </c>
      <c r="Z16" s="18">
        <f t="shared" si="2"/>
        <v>33</v>
      </c>
      <c r="AA16" s="24">
        <f>RANK(Z16,Z4:Z19,1)</f>
        <v>9</v>
      </c>
      <c r="AC16" s="31">
        <v>1</v>
      </c>
      <c r="AE16" s="290"/>
      <c r="AF16" s="118">
        <f t="shared" si="1"/>
        <v>100.6</v>
      </c>
      <c r="AH16" s="3">
        <f>COUNTIF(Tabell10[#This Row],1)</f>
        <v>0</v>
      </c>
      <c r="AI16" s="3">
        <f>COUNTIF(Tabell10[#This Row],2)</f>
        <v>0</v>
      </c>
      <c r="AJ16" s="3">
        <f>COUNTIF(Tabell10[#This Row],3)</f>
        <v>0</v>
      </c>
      <c r="AK16" s="3">
        <f t="shared" si="3"/>
        <v>0</v>
      </c>
      <c r="AL16" s="3">
        <f t="shared" si="4"/>
        <v>0</v>
      </c>
      <c r="AM16" s="3">
        <f t="shared" si="5"/>
        <v>0</v>
      </c>
      <c r="AN16" s="3">
        <f t="shared" si="6"/>
        <v>0</v>
      </c>
      <c r="AP16" s="3">
        <f t="shared" si="7"/>
        <v>800</v>
      </c>
    </row>
    <row r="17" spans="2:44" ht="15.75" thickBot="1" x14ac:dyDescent="0.3">
      <c r="B17" s="324" t="s">
        <v>113</v>
      </c>
      <c r="C17" s="325" t="s">
        <v>114</v>
      </c>
      <c r="D17" s="326">
        <v>92</v>
      </c>
      <c r="E17" s="326">
        <v>99</v>
      </c>
      <c r="F17" s="326">
        <v>85</v>
      </c>
      <c r="G17" s="326">
        <v>94</v>
      </c>
      <c r="H17" s="326">
        <v>93</v>
      </c>
      <c r="I17" s="326">
        <v>94</v>
      </c>
      <c r="J17" s="342">
        <v>162</v>
      </c>
      <c r="K17" s="326">
        <v>91</v>
      </c>
      <c r="L17" s="326">
        <v>99</v>
      </c>
      <c r="M17" s="326">
        <v>162</v>
      </c>
      <c r="N17" s="327">
        <f t="shared" si="0"/>
        <v>455</v>
      </c>
      <c r="O17" s="1"/>
      <c r="P17" s="216">
        <v>3</v>
      </c>
      <c r="Q17" s="216">
        <v>3</v>
      </c>
      <c r="R17" s="216">
        <v>2</v>
      </c>
      <c r="S17" s="216">
        <v>3</v>
      </c>
      <c r="T17" s="216">
        <v>5</v>
      </c>
      <c r="U17" s="216">
        <v>4</v>
      </c>
      <c r="V17" s="343">
        <v>16</v>
      </c>
      <c r="W17" s="216">
        <v>2</v>
      </c>
      <c r="X17" s="216">
        <v>3</v>
      </c>
      <c r="Y17" s="216">
        <v>16</v>
      </c>
      <c r="Z17" s="18">
        <f t="shared" si="2"/>
        <v>13</v>
      </c>
      <c r="AA17" s="25">
        <f>RANK(Z17,Z4:Z19,1)</f>
        <v>3</v>
      </c>
      <c r="AC17" s="31">
        <v>1</v>
      </c>
      <c r="AE17" s="291"/>
      <c r="AF17" s="118">
        <f t="shared" si="1"/>
        <v>91</v>
      </c>
      <c r="AH17" s="3">
        <f>COUNTIF(Tabell10[#This Row],1)</f>
        <v>0</v>
      </c>
      <c r="AI17" s="3">
        <f>COUNTIF(Tabell10[#This Row],2)</f>
        <v>2</v>
      </c>
      <c r="AJ17" s="3">
        <f>COUNTIF(Tabell10[#This Row],3)</f>
        <v>4</v>
      </c>
      <c r="AK17" s="3">
        <f t="shared" si="3"/>
        <v>0</v>
      </c>
      <c r="AL17" s="3">
        <f t="shared" si="4"/>
        <v>400</v>
      </c>
      <c r="AM17" s="3">
        <f t="shared" si="5"/>
        <v>400</v>
      </c>
      <c r="AN17" s="3">
        <f t="shared" si="6"/>
        <v>800</v>
      </c>
      <c r="AP17" s="3">
        <f t="shared" si="7"/>
        <v>1500</v>
      </c>
    </row>
    <row r="18" spans="2:44" s="70" customFormat="1" ht="15.75" thickBot="1" x14ac:dyDescent="0.3">
      <c r="B18" s="332" t="s">
        <v>108</v>
      </c>
      <c r="C18" s="333" t="s">
        <v>109</v>
      </c>
      <c r="D18" s="322">
        <v>100</v>
      </c>
      <c r="E18" s="338">
        <v>162</v>
      </c>
      <c r="F18" s="322">
        <v>89</v>
      </c>
      <c r="G18" s="322">
        <v>95</v>
      </c>
      <c r="H18" s="322">
        <v>92</v>
      </c>
      <c r="I18" s="322">
        <v>90</v>
      </c>
      <c r="J18" s="322">
        <v>98</v>
      </c>
      <c r="K18" s="322">
        <v>99</v>
      </c>
      <c r="L18" s="322">
        <v>98</v>
      </c>
      <c r="M18" s="322">
        <v>162</v>
      </c>
      <c r="N18" s="330">
        <f t="shared" si="0"/>
        <v>464</v>
      </c>
      <c r="O18" s="68"/>
      <c r="P18" s="216">
        <v>6</v>
      </c>
      <c r="Q18" s="339">
        <v>16</v>
      </c>
      <c r="R18" s="216">
        <v>3</v>
      </c>
      <c r="S18" s="216">
        <v>4</v>
      </c>
      <c r="T18" s="216">
        <v>4</v>
      </c>
      <c r="U18" s="216">
        <v>2</v>
      </c>
      <c r="V18" s="216">
        <v>4</v>
      </c>
      <c r="W18" s="216">
        <v>7</v>
      </c>
      <c r="X18" s="216">
        <v>2</v>
      </c>
      <c r="Y18" s="216">
        <v>16</v>
      </c>
      <c r="Z18" s="18">
        <f t="shared" si="2"/>
        <v>15</v>
      </c>
      <c r="AA18" s="25">
        <f>RANK(Z18,Z4:Z19,1)</f>
        <v>4</v>
      </c>
      <c r="AC18" s="272">
        <v>1</v>
      </c>
      <c r="AD18" s="69"/>
      <c r="AE18" s="291"/>
      <c r="AF18" s="118">
        <f t="shared" si="1"/>
        <v>92.8</v>
      </c>
      <c r="AH18" s="3">
        <f>COUNTIF(Tabell10[#This Row],1)</f>
        <v>0</v>
      </c>
      <c r="AI18" s="3">
        <f>COUNTIF(Tabell10[#This Row],2)</f>
        <v>2</v>
      </c>
      <c r="AJ18" s="3">
        <f>COUNTIF(Tabell10[#This Row],3)</f>
        <v>1</v>
      </c>
      <c r="AK18" s="3">
        <f t="shared" si="3"/>
        <v>0</v>
      </c>
      <c r="AL18" s="3">
        <f t="shared" si="4"/>
        <v>400</v>
      </c>
      <c r="AM18" s="3">
        <f t="shared" si="5"/>
        <v>100</v>
      </c>
      <c r="AN18" s="3">
        <f t="shared" si="6"/>
        <v>500</v>
      </c>
      <c r="AP18" s="3">
        <f t="shared" si="7"/>
        <v>500</v>
      </c>
    </row>
    <row r="19" spans="2:44" ht="15.75" thickBot="1" x14ac:dyDescent="0.3">
      <c r="B19" s="334" t="s">
        <v>195</v>
      </c>
      <c r="C19" s="335" t="s">
        <v>13</v>
      </c>
      <c r="D19" s="337">
        <v>116</v>
      </c>
      <c r="E19" s="337">
        <v>110</v>
      </c>
      <c r="F19" s="337">
        <v>113</v>
      </c>
      <c r="G19" s="337">
        <v>118</v>
      </c>
      <c r="H19" s="337">
        <v>114</v>
      </c>
      <c r="I19" s="337">
        <v>114</v>
      </c>
      <c r="J19" s="337">
        <v>130</v>
      </c>
      <c r="K19" s="337">
        <v>123</v>
      </c>
      <c r="L19" s="337">
        <v>128</v>
      </c>
      <c r="M19" s="337">
        <v>162</v>
      </c>
      <c r="N19" s="336">
        <f>SUBTOTAL(101,Scoreboard!$N$4:$N$18)</f>
        <v>494.06666666666666</v>
      </c>
      <c r="P19" s="216">
        <v>14</v>
      </c>
      <c r="Q19" s="216">
        <v>15</v>
      </c>
      <c r="R19" s="216">
        <v>13</v>
      </c>
      <c r="S19" s="216">
        <v>15</v>
      </c>
      <c r="T19" s="216">
        <v>15</v>
      </c>
      <c r="U19" s="216">
        <v>14</v>
      </c>
      <c r="V19" s="216">
        <v>13</v>
      </c>
      <c r="W19" s="216">
        <v>14</v>
      </c>
      <c r="X19" s="216">
        <v>15</v>
      </c>
      <c r="Y19" s="216">
        <v>16</v>
      </c>
      <c r="Z19" s="18">
        <f>SMALL(P19:Y19,1)+SMALL(P19:Y19,2)+SMALL(P19:Y19,3)+SMALL(P19:Y19,4)+SMALL(P19:Y19,5)</f>
        <v>68</v>
      </c>
      <c r="AA19" s="25">
        <f>RANK(Z19,Z4:Z19,1)</f>
        <v>16</v>
      </c>
      <c r="AC19" s="292" t="s">
        <v>27</v>
      </c>
      <c r="AE19" s="291"/>
      <c r="AF19" s="118">
        <f t="shared" si="1"/>
        <v>113.4</v>
      </c>
      <c r="AQ19" s="3" t="s">
        <v>91</v>
      </c>
    </row>
    <row r="20" spans="2:44" ht="15.75" thickBot="1" x14ac:dyDescent="0.3">
      <c r="B20" s="223" t="s">
        <v>140</v>
      </c>
      <c r="C20" s="287" t="s">
        <v>49</v>
      </c>
      <c r="D20" s="288">
        <f>AVERAGE(D4+D5+D6+D7+D8+D9+D10+D11+D12+D13+D15+D16+D17+D18+Scoreboard!$D$19)/15</f>
        <v>102.8</v>
      </c>
      <c r="E20" s="288">
        <f t="shared" ref="E20:N20" si="8">AVERAGE(E4:E19)</f>
        <v>108.5625</v>
      </c>
      <c r="F20" s="288">
        <f t="shared" si="8"/>
        <v>99</v>
      </c>
      <c r="G20" s="288">
        <f t="shared" si="8"/>
        <v>103.0625</v>
      </c>
      <c r="H20" s="288">
        <f>SUM(H4+H5+H6+H7+H8+H9+H10+H11+H12+H13+H14+H16+H17+H18+H19)/15</f>
        <v>100.93333333333334</v>
      </c>
      <c r="I20" s="288">
        <f>SUM(I4+I5+I6+I7+I8+I9+I10+I11+I12+I13+I15+I16+I17+I18+I19)/15</f>
        <v>99.86666666666666</v>
      </c>
      <c r="J20" s="288">
        <f>(J4+J5+J6+J7+J8+J9+J11+J12+J13+J15+J16+J18+J19)/13</f>
        <v>104.84615384615384</v>
      </c>
      <c r="K20" s="288">
        <f>(K4+K5+K6+K7+K8+K9+K10+K12+K13+K15+K16+K17+K18+K19)/14</f>
        <v>99.785714285714292</v>
      </c>
      <c r="L20" s="288">
        <f>(L5+L6+L7+L4+L8+L9+L10+L11+L12+L13+L15+L16+L17+L18+L19)/15</f>
        <v>106.13333333333334</v>
      </c>
      <c r="M20" s="288">
        <f t="shared" si="8"/>
        <v>162</v>
      </c>
      <c r="N20" s="288">
        <f t="shared" si="8"/>
        <v>494.06666666666666</v>
      </c>
      <c r="O20" s="16" t="s">
        <v>91</v>
      </c>
      <c r="P20" s="224" t="s">
        <v>91</v>
      </c>
      <c r="Q20" s="225"/>
      <c r="R20" s="225"/>
      <c r="S20" s="225"/>
      <c r="T20" s="226"/>
      <c r="U20" s="226"/>
      <c r="V20" s="226"/>
      <c r="W20" s="226"/>
      <c r="X20" s="226"/>
      <c r="Y20" s="227"/>
      <c r="AA20" s="67"/>
      <c r="AC20" s="273">
        <f>SUM(Tabell11[[#Data],[#Totals],[Öl]])</f>
        <v>28</v>
      </c>
      <c r="AE20" s="291"/>
      <c r="AF20" s="39">
        <f>SUBTOTAL(101,Tabell61[Snittscore])</f>
        <v>99.724999999999994</v>
      </c>
    </row>
    <row r="21" spans="2:44" ht="15.75" thickBot="1" x14ac:dyDescent="0.3">
      <c r="B21" s="2"/>
      <c r="C21" s="1"/>
      <c r="D21" s="16"/>
      <c r="E21" s="1"/>
      <c r="F21" s="1"/>
      <c r="G21" s="1"/>
      <c r="H21" s="1"/>
      <c r="I21" s="1"/>
      <c r="J21" s="1"/>
      <c r="K21" s="1"/>
      <c r="L21" s="1"/>
      <c r="M21" s="1"/>
      <c r="N21" s="1" t="s">
        <v>91</v>
      </c>
      <c r="P21" s="3"/>
      <c r="Q21" s="3"/>
      <c r="R21" s="3"/>
      <c r="S21" s="3"/>
      <c r="T21" s="3"/>
      <c r="U21" s="3"/>
      <c r="V21" s="3"/>
      <c r="W21" s="3"/>
      <c r="X21" s="3"/>
      <c r="Y21" s="3"/>
      <c r="AA21" s="3"/>
      <c r="AC21" s="341">
        <f>AC20+Tabell11[[#Totals],[Öl]]</f>
        <v>34</v>
      </c>
      <c r="AE21" s="16" t="s">
        <v>91</v>
      </c>
    </row>
    <row r="22" spans="2:44" s="8" customFormat="1" ht="15.75" thickBot="1" x14ac:dyDescent="0.3">
      <c r="B22" s="2"/>
      <c r="C22" s="1"/>
      <c r="D22" s="352" t="s">
        <v>50</v>
      </c>
      <c r="E22" s="353"/>
      <c r="F22" s="353"/>
      <c r="G22" s="353"/>
      <c r="H22" s="353"/>
      <c r="I22" s="353"/>
      <c r="J22" s="353"/>
      <c r="K22" s="353"/>
      <c r="L22" s="354"/>
      <c r="M22" s="1"/>
      <c r="N22" s="1"/>
      <c r="P22" s="119" t="s">
        <v>35</v>
      </c>
      <c r="Q22" s="120"/>
      <c r="R22" s="120"/>
      <c r="S22" s="120"/>
      <c r="T22" s="120"/>
      <c r="U22" s="120"/>
      <c r="V22" s="120"/>
      <c r="W22" s="120"/>
      <c r="X22" s="121"/>
      <c r="Y22" s="16"/>
      <c r="Z22" s="3"/>
      <c r="AA22" s="16"/>
      <c r="AC22" s="69"/>
      <c r="AE22" s="112" t="s">
        <v>92</v>
      </c>
      <c r="AG22" s="107" t="s">
        <v>91</v>
      </c>
      <c r="AR22" s="8" t="s">
        <v>91</v>
      </c>
    </row>
    <row r="23" spans="2:44" s="8" customFormat="1" ht="15.75" thickBot="1" x14ac:dyDescent="0.3">
      <c r="B23" s="108" t="s">
        <v>20</v>
      </c>
      <c r="C23" s="109" t="s">
        <v>21</v>
      </c>
      <c r="D23" s="237" t="s">
        <v>22</v>
      </c>
      <c r="E23" s="237" t="s">
        <v>23</v>
      </c>
      <c r="F23" s="237" t="s">
        <v>24</v>
      </c>
      <c r="G23" s="237" t="s">
        <v>25</v>
      </c>
      <c r="H23" s="237" t="s">
        <v>26</v>
      </c>
      <c r="I23" s="237" t="s">
        <v>27</v>
      </c>
      <c r="J23" s="237" t="s">
        <v>28</v>
      </c>
      <c r="K23" s="237" t="s">
        <v>29</v>
      </c>
      <c r="L23" s="237" t="s">
        <v>30</v>
      </c>
      <c r="M23" s="237" t="s">
        <v>72</v>
      </c>
      <c r="N23" s="237" t="s">
        <v>31</v>
      </c>
      <c r="O23" s="235" t="s">
        <v>141</v>
      </c>
      <c r="P23" s="19" t="s">
        <v>22</v>
      </c>
      <c r="Q23" s="19" t="s">
        <v>23</v>
      </c>
      <c r="R23" s="19" t="s">
        <v>24</v>
      </c>
      <c r="S23" s="19" t="s">
        <v>25</v>
      </c>
      <c r="T23" s="19" t="s">
        <v>26</v>
      </c>
      <c r="U23" s="19" t="s">
        <v>27</v>
      </c>
      <c r="V23" s="19" t="s">
        <v>28</v>
      </c>
      <c r="W23" s="19" t="s">
        <v>29</v>
      </c>
      <c r="X23" s="19" t="s">
        <v>30</v>
      </c>
      <c r="Y23" s="20" t="s">
        <v>72</v>
      </c>
      <c r="Z23" s="19" t="s">
        <v>31</v>
      </c>
      <c r="AA23" s="22" t="s">
        <v>32</v>
      </c>
      <c r="AC23" s="133" t="s">
        <v>34</v>
      </c>
      <c r="AE23" s="228" t="s">
        <v>68</v>
      </c>
      <c r="AG23" s="107"/>
    </row>
    <row r="24" spans="2:44" ht="15.75" thickBot="1" x14ac:dyDescent="0.3">
      <c r="B24" s="154" t="s">
        <v>2</v>
      </c>
      <c r="C24" s="246" t="s">
        <v>3</v>
      </c>
      <c r="D24" s="244">
        <v>74</v>
      </c>
      <c r="E24" s="244">
        <v>79</v>
      </c>
      <c r="F24" s="244">
        <v>67</v>
      </c>
      <c r="G24" s="244">
        <v>73</v>
      </c>
      <c r="H24" s="244">
        <v>74</v>
      </c>
      <c r="I24" s="244">
        <v>78</v>
      </c>
      <c r="J24" s="244">
        <v>77</v>
      </c>
      <c r="K24" s="244">
        <v>73</v>
      </c>
      <c r="L24" s="244">
        <v>75</v>
      </c>
      <c r="M24" s="244">
        <v>126</v>
      </c>
      <c r="N24" s="238">
        <f>SMALL(D24:M24,1)+SMALL(D24:M24,2)+SMALL(D24:M24,3)+SMALL(D24:M24,4)++SMALL(D24:M24,5)</f>
        <v>361</v>
      </c>
      <c r="O24" s="153"/>
      <c r="P24" s="216">
        <v>5</v>
      </c>
      <c r="Q24" s="216">
        <v>3</v>
      </c>
      <c r="R24" s="216">
        <v>2</v>
      </c>
      <c r="S24" s="216">
        <v>2</v>
      </c>
      <c r="T24" s="216">
        <v>4</v>
      </c>
      <c r="U24" s="216">
        <v>9</v>
      </c>
      <c r="V24" s="216">
        <v>7</v>
      </c>
      <c r="W24" s="216">
        <v>5</v>
      </c>
      <c r="X24" s="216">
        <v>1</v>
      </c>
      <c r="Y24" s="216">
        <v>16</v>
      </c>
      <c r="Z24" s="217">
        <f>SMALL(P24:Y24,1)+SMALL(P24:Y24,2)+SMALL(P24:Y24,3)+SMALL(P24:Y24,4)+SMALL(P24:Y24,5)</f>
        <v>12</v>
      </c>
      <c r="AA24" s="215">
        <f>RANK(Z24,Z24:Z39,1)</f>
        <v>1</v>
      </c>
      <c r="AC24" s="129">
        <v>4</v>
      </c>
      <c r="AE24" s="117">
        <f>Tabell4[[#This Row],[Sum]]/5</f>
        <v>72.2</v>
      </c>
      <c r="AG24" s="16"/>
      <c r="AH24" s="3">
        <f>COUNTIF(Tabell6[[#This Row],[1]:[10]],1)</f>
        <v>1</v>
      </c>
      <c r="AI24" s="3">
        <f>COUNTIF(Tabell6[[#This Row],[1]:[10]],3)</f>
        <v>1</v>
      </c>
      <c r="AJ24" s="3">
        <f>COUNTIF(Tabell6[[#This Row],[1]:[10]],2)</f>
        <v>2</v>
      </c>
      <c r="AK24" s="3">
        <f>AH24*300</f>
        <v>300</v>
      </c>
      <c r="AL24" s="3">
        <f>AI24*100</f>
        <v>100</v>
      </c>
      <c r="AM24" s="3">
        <f>AJ24*200</f>
        <v>400</v>
      </c>
      <c r="AN24" s="3">
        <f>AK24+AL24+AM24</f>
        <v>800</v>
      </c>
    </row>
    <row r="25" spans="2:44" ht="15.75" thickBot="1" x14ac:dyDescent="0.3">
      <c r="B25" s="159" t="s">
        <v>0</v>
      </c>
      <c r="C25" s="247" t="s">
        <v>1</v>
      </c>
      <c r="D25" s="244">
        <v>74</v>
      </c>
      <c r="E25" s="244">
        <v>88</v>
      </c>
      <c r="F25" s="314"/>
      <c r="G25" s="244">
        <v>71</v>
      </c>
      <c r="H25" s="244">
        <v>81</v>
      </c>
      <c r="I25" s="244">
        <v>78</v>
      </c>
      <c r="J25" s="244">
        <v>69</v>
      </c>
      <c r="K25" s="244">
        <v>79</v>
      </c>
      <c r="L25" s="244">
        <v>80</v>
      </c>
      <c r="M25" s="244">
        <v>126</v>
      </c>
      <c r="N25" s="239">
        <f t="shared" ref="N25:N39" si="9">SMALL(D25:M25,1)+SMALL(D25:M25,2)+SMALL(D25:M25,3)+SMALL(D25:M25,4)++SMALL(D25:M25,5)</f>
        <v>371</v>
      </c>
      <c r="O25" s="153"/>
      <c r="P25" s="216">
        <v>6</v>
      </c>
      <c r="Q25" s="216">
        <v>12</v>
      </c>
      <c r="R25" s="343">
        <v>16</v>
      </c>
      <c r="S25" s="216">
        <v>1</v>
      </c>
      <c r="T25" s="216">
        <v>8</v>
      </c>
      <c r="U25" s="216">
        <v>10</v>
      </c>
      <c r="V25" s="216">
        <v>2</v>
      </c>
      <c r="W25" s="216">
        <v>11</v>
      </c>
      <c r="X25" s="216">
        <v>5</v>
      </c>
      <c r="Y25" s="216">
        <v>16</v>
      </c>
      <c r="Z25" s="218">
        <f t="shared" ref="Z25:Z39" si="10">SMALL(P25:Y25,1)+SMALL(P25:Y25,2)+SMALL(P25:Y25,3)+SMALL(P25:Y25,4)+SMALL(P25:Y25,5)</f>
        <v>22</v>
      </c>
      <c r="AA25" s="215">
        <f>RANK(Z25,Z24:Z39,1)</f>
        <v>8</v>
      </c>
      <c r="AC25" s="129">
        <v>4</v>
      </c>
      <c r="AE25" s="117">
        <f>Tabell4[[#This Row],[Sum]]/5</f>
        <v>74.2</v>
      </c>
      <c r="AG25" s="16"/>
      <c r="AH25" s="3">
        <f>COUNTIF(Tabell6[[#This Row],[1]:[10]],1)</f>
        <v>1</v>
      </c>
      <c r="AI25" s="3">
        <f>COUNTIF(Tabell6[[#This Row],[1]:[10]],3)</f>
        <v>0</v>
      </c>
      <c r="AJ25" s="3">
        <f>COUNTIF(Tabell6[[#This Row],[1]:[10]],2)</f>
        <v>1</v>
      </c>
      <c r="AK25" s="3">
        <f t="shared" ref="AK25:AK38" si="11">AH25*300</f>
        <v>300</v>
      </c>
      <c r="AL25" s="3">
        <f t="shared" ref="AL25:AL38" si="12">AI25*200</f>
        <v>0</v>
      </c>
      <c r="AM25" s="3">
        <f t="shared" ref="AM25:AM38" si="13">AJ25*200</f>
        <v>200</v>
      </c>
      <c r="AN25" s="3">
        <f t="shared" ref="AN25:AN38" si="14">AK25+AL25+AM25</f>
        <v>500</v>
      </c>
    </row>
    <row r="26" spans="2:44" ht="15.75" thickBot="1" x14ac:dyDescent="0.3">
      <c r="B26" s="159" t="s">
        <v>4</v>
      </c>
      <c r="C26" s="247" t="s">
        <v>5</v>
      </c>
      <c r="D26" s="244">
        <v>72</v>
      </c>
      <c r="E26" s="244">
        <v>89</v>
      </c>
      <c r="F26" s="244">
        <v>75</v>
      </c>
      <c r="G26" s="244">
        <v>78</v>
      </c>
      <c r="H26" s="244">
        <v>84</v>
      </c>
      <c r="I26" s="244">
        <v>73</v>
      </c>
      <c r="J26" s="244">
        <v>78</v>
      </c>
      <c r="K26" s="244">
        <v>82</v>
      </c>
      <c r="L26" s="244">
        <v>82</v>
      </c>
      <c r="M26" s="244">
        <v>126</v>
      </c>
      <c r="N26" s="239">
        <f t="shared" si="9"/>
        <v>376</v>
      </c>
      <c r="O26" s="153"/>
      <c r="P26" s="216">
        <v>1</v>
      </c>
      <c r="Q26" s="216">
        <v>13</v>
      </c>
      <c r="R26" s="216">
        <v>9</v>
      </c>
      <c r="S26" s="216">
        <v>8</v>
      </c>
      <c r="T26" s="216">
        <v>12</v>
      </c>
      <c r="U26" s="216">
        <v>5</v>
      </c>
      <c r="V26" s="216">
        <v>9</v>
      </c>
      <c r="W26" s="216">
        <v>13</v>
      </c>
      <c r="X26" s="216">
        <v>9</v>
      </c>
      <c r="Y26" s="216">
        <v>16</v>
      </c>
      <c r="Z26" s="218">
        <f t="shared" si="10"/>
        <v>32</v>
      </c>
      <c r="AA26" s="215">
        <f>RANK(Z26,Z24:Z39,1)</f>
        <v>11</v>
      </c>
      <c r="AC26" s="129"/>
      <c r="AE26" s="117">
        <f>Tabell4[[#This Row],[Sum]]/5</f>
        <v>75.2</v>
      </c>
      <c r="AG26" s="16"/>
      <c r="AH26" s="3">
        <f>COUNTIF(Tabell6[[#This Row],[1]:[10]],1)</f>
        <v>1</v>
      </c>
      <c r="AI26" s="3">
        <f>COUNTIF(Tabell6[[#This Row],[1]:[10]],3)</f>
        <v>0</v>
      </c>
      <c r="AJ26" s="3">
        <f>COUNTIF(Tabell6[[#This Row],[1]:[10]],2)</f>
        <v>0</v>
      </c>
      <c r="AK26" s="3">
        <f t="shared" si="11"/>
        <v>300</v>
      </c>
      <c r="AL26" s="3">
        <f t="shared" si="12"/>
        <v>0</v>
      </c>
      <c r="AM26" s="3">
        <f t="shared" si="13"/>
        <v>0</v>
      </c>
      <c r="AN26" s="3">
        <f t="shared" si="14"/>
        <v>300</v>
      </c>
    </row>
    <row r="27" spans="2:44" ht="15.75" thickBot="1" x14ac:dyDescent="0.3">
      <c r="B27" s="159" t="s">
        <v>14</v>
      </c>
      <c r="C27" s="247" t="s">
        <v>13</v>
      </c>
      <c r="D27" s="244">
        <v>73</v>
      </c>
      <c r="E27" s="244">
        <v>77</v>
      </c>
      <c r="F27" s="244">
        <v>72</v>
      </c>
      <c r="G27" s="244">
        <v>78</v>
      </c>
      <c r="H27" s="244">
        <v>86</v>
      </c>
      <c r="I27" s="244">
        <v>72</v>
      </c>
      <c r="J27" s="244">
        <v>70</v>
      </c>
      <c r="K27" s="244">
        <v>75</v>
      </c>
      <c r="L27" s="244">
        <v>83</v>
      </c>
      <c r="M27" s="244">
        <v>126</v>
      </c>
      <c r="N27" s="239">
        <f t="shared" si="9"/>
        <v>362</v>
      </c>
      <c r="O27" s="153"/>
      <c r="P27" s="216">
        <v>2</v>
      </c>
      <c r="Q27" s="216">
        <v>2</v>
      </c>
      <c r="R27" s="216">
        <v>5</v>
      </c>
      <c r="S27" s="216">
        <v>6</v>
      </c>
      <c r="T27" s="216">
        <v>13</v>
      </c>
      <c r="U27" s="216">
        <v>4</v>
      </c>
      <c r="V27" s="216">
        <v>3</v>
      </c>
      <c r="W27" s="216">
        <v>8</v>
      </c>
      <c r="X27" s="216">
        <v>11</v>
      </c>
      <c r="Y27" s="216">
        <v>16</v>
      </c>
      <c r="Z27" s="218">
        <f t="shared" si="10"/>
        <v>16</v>
      </c>
      <c r="AA27" s="215">
        <f>RANK(Z27,Z24:Z39,1)</f>
        <v>3</v>
      </c>
      <c r="AC27" s="129">
        <v>2</v>
      </c>
      <c r="AE27" s="117">
        <f>Tabell4[[#This Row],[Sum]]/5</f>
        <v>72.400000000000006</v>
      </c>
      <c r="AG27" s="16"/>
      <c r="AH27" s="3">
        <f>COUNTIF(Tabell6[[#This Row],[1]:[10]],1)</f>
        <v>0</v>
      </c>
      <c r="AI27" s="3">
        <f>COUNTIF(Tabell6[[#This Row],[1]:[10]],3)</f>
        <v>1</v>
      </c>
      <c r="AJ27" s="3">
        <f>COUNTIF(Tabell6[[#This Row],[1]:[10]],2)</f>
        <v>2</v>
      </c>
      <c r="AK27" s="3">
        <f t="shared" si="11"/>
        <v>0</v>
      </c>
      <c r="AL27" s="3">
        <f t="shared" si="12"/>
        <v>200</v>
      </c>
      <c r="AM27" s="3">
        <f t="shared" si="13"/>
        <v>400</v>
      </c>
      <c r="AN27" s="3">
        <f t="shared" si="14"/>
        <v>600</v>
      </c>
    </row>
    <row r="28" spans="2:44" ht="15.75" thickBot="1" x14ac:dyDescent="0.3">
      <c r="B28" s="159" t="s">
        <v>10</v>
      </c>
      <c r="C28" s="247" t="s">
        <v>11</v>
      </c>
      <c r="D28" s="244">
        <v>82</v>
      </c>
      <c r="E28" s="244">
        <v>80</v>
      </c>
      <c r="F28" s="244">
        <v>72</v>
      </c>
      <c r="G28" s="244">
        <v>78</v>
      </c>
      <c r="H28" s="244">
        <v>69</v>
      </c>
      <c r="I28" s="244">
        <v>74</v>
      </c>
      <c r="J28" s="244">
        <v>76</v>
      </c>
      <c r="K28" s="244">
        <v>71</v>
      </c>
      <c r="L28" s="244">
        <v>79</v>
      </c>
      <c r="M28" s="244">
        <v>126</v>
      </c>
      <c r="N28" s="239">
        <f t="shared" si="9"/>
        <v>362</v>
      </c>
      <c r="O28" s="153"/>
      <c r="P28" s="216">
        <v>12</v>
      </c>
      <c r="Q28" s="216">
        <v>6</v>
      </c>
      <c r="R28" s="216">
        <v>6</v>
      </c>
      <c r="S28" s="216">
        <v>7</v>
      </c>
      <c r="T28" s="216">
        <v>2</v>
      </c>
      <c r="U28" s="216">
        <v>6</v>
      </c>
      <c r="V28" s="216">
        <v>5</v>
      </c>
      <c r="W28" s="216">
        <v>1</v>
      </c>
      <c r="X28" s="216">
        <v>3</v>
      </c>
      <c r="Y28" s="216">
        <v>16</v>
      </c>
      <c r="Z28" s="218">
        <f t="shared" si="10"/>
        <v>17</v>
      </c>
      <c r="AA28" s="215">
        <f>RANK(Z28,Z24:Z39,1)</f>
        <v>4</v>
      </c>
      <c r="AC28" s="129">
        <v>2</v>
      </c>
      <c r="AE28" s="117">
        <f>Tabell4[[#This Row],[Sum]]/5</f>
        <v>72.400000000000006</v>
      </c>
      <c r="AG28" s="16"/>
      <c r="AH28" s="3">
        <f>COUNTIF(Tabell6[[#This Row],[1]:[10]],1)</f>
        <v>1</v>
      </c>
      <c r="AI28" s="3">
        <f>COUNTIF(Tabell6[[#This Row],[1]:[10]],3)</f>
        <v>1</v>
      </c>
      <c r="AJ28" s="3">
        <f>COUNTIF(Tabell6[[#This Row],[1]:[10]],2)</f>
        <v>1</v>
      </c>
      <c r="AK28" s="3">
        <f t="shared" si="11"/>
        <v>300</v>
      </c>
      <c r="AL28" s="3">
        <f t="shared" si="12"/>
        <v>200</v>
      </c>
      <c r="AM28" s="3">
        <f t="shared" si="13"/>
        <v>200</v>
      </c>
      <c r="AN28" s="3">
        <f t="shared" si="14"/>
        <v>700</v>
      </c>
    </row>
    <row r="29" spans="2:44" ht="15.75" thickBot="1" x14ac:dyDescent="0.3">
      <c r="B29" s="159" t="s">
        <v>6</v>
      </c>
      <c r="C29" s="247" t="s">
        <v>7</v>
      </c>
      <c r="D29" s="244">
        <v>73</v>
      </c>
      <c r="E29" s="244">
        <v>79</v>
      </c>
      <c r="F29" s="244">
        <v>73</v>
      </c>
      <c r="G29" s="244">
        <v>73</v>
      </c>
      <c r="H29" s="244">
        <v>82</v>
      </c>
      <c r="I29" s="244">
        <v>81</v>
      </c>
      <c r="J29" s="244">
        <v>76</v>
      </c>
      <c r="K29" s="244">
        <v>72</v>
      </c>
      <c r="L29" s="244">
        <v>96</v>
      </c>
      <c r="M29" s="244">
        <v>126</v>
      </c>
      <c r="N29" s="239">
        <f t="shared" si="9"/>
        <v>367</v>
      </c>
      <c r="O29" s="153"/>
      <c r="P29" s="216">
        <v>4</v>
      </c>
      <c r="Q29" s="216">
        <v>5</v>
      </c>
      <c r="R29" s="216">
        <v>8</v>
      </c>
      <c r="S29" s="216">
        <v>3</v>
      </c>
      <c r="T29" s="216">
        <v>10</v>
      </c>
      <c r="U29" s="216">
        <v>12</v>
      </c>
      <c r="V29" s="216">
        <v>6</v>
      </c>
      <c r="W29" s="216">
        <v>3</v>
      </c>
      <c r="X29" s="216">
        <v>15</v>
      </c>
      <c r="Y29" s="216">
        <v>16</v>
      </c>
      <c r="Z29" s="218">
        <f t="shared" si="10"/>
        <v>21</v>
      </c>
      <c r="AA29" s="215">
        <f>RANK(Z29,Z24:Z39,1)</f>
        <v>6</v>
      </c>
      <c r="AC29" s="129">
        <v>1</v>
      </c>
      <c r="AE29" s="117">
        <f>Tabell4[[#This Row],[Sum]]/5</f>
        <v>73.400000000000006</v>
      </c>
      <c r="AG29" s="16"/>
      <c r="AH29" s="3">
        <f>COUNTIF(Tabell6[[#This Row],[1]:[10]],1)</f>
        <v>0</v>
      </c>
      <c r="AI29" s="3">
        <f>COUNTIF(Tabell6[[#This Row],[1]:[10]],3)</f>
        <v>2</v>
      </c>
      <c r="AJ29" s="3">
        <f>COUNTIF(Tabell6[[#This Row],[1]:[10]],2)</f>
        <v>0</v>
      </c>
      <c r="AK29" s="3">
        <f t="shared" si="11"/>
        <v>0</v>
      </c>
      <c r="AL29" s="3">
        <f t="shared" si="12"/>
        <v>400</v>
      </c>
      <c r="AM29" s="3">
        <f t="shared" si="13"/>
        <v>0</v>
      </c>
      <c r="AN29" s="3">
        <f t="shared" si="14"/>
        <v>400</v>
      </c>
    </row>
    <row r="30" spans="2:44" ht="15.75" thickBot="1" x14ac:dyDescent="0.3">
      <c r="B30" s="159" t="s">
        <v>8</v>
      </c>
      <c r="C30" s="247" t="s">
        <v>9</v>
      </c>
      <c r="D30" s="244">
        <v>82</v>
      </c>
      <c r="E30" s="244">
        <v>81</v>
      </c>
      <c r="F30" s="244">
        <v>70</v>
      </c>
      <c r="G30" s="244">
        <v>85</v>
      </c>
      <c r="H30" s="244">
        <v>66</v>
      </c>
      <c r="I30" s="244">
        <v>84</v>
      </c>
      <c r="J30" s="314">
        <v>126</v>
      </c>
      <c r="K30" s="244">
        <v>73</v>
      </c>
      <c r="L30" s="244">
        <v>80</v>
      </c>
      <c r="M30" s="244">
        <v>126</v>
      </c>
      <c r="N30" s="239">
        <f t="shared" si="9"/>
        <v>370</v>
      </c>
      <c r="O30" s="153"/>
      <c r="P30" s="216">
        <v>13</v>
      </c>
      <c r="Q30" s="216">
        <v>7</v>
      </c>
      <c r="R30" s="216">
        <v>3</v>
      </c>
      <c r="S30" s="216">
        <v>11</v>
      </c>
      <c r="T30" s="216">
        <v>1</v>
      </c>
      <c r="U30" s="216">
        <v>14</v>
      </c>
      <c r="V30" s="315">
        <v>16</v>
      </c>
      <c r="W30" s="216">
        <v>6</v>
      </c>
      <c r="X30" s="216">
        <v>7</v>
      </c>
      <c r="Y30" s="216">
        <v>16</v>
      </c>
      <c r="Z30" s="218">
        <f t="shared" si="10"/>
        <v>24</v>
      </c>
      <c r="AA30" s="215">
        <f>RANK(Z30,Z24:Z39,1)</f>
        <v>9</v>
      </c>
      <c r="AC30" s="129">
        <v>1</v>
      </c>
      <c r="AE30" s="117">
        <f>Tabell4[[#This Row],[Sum]]/5</f>
        <v>74</v>
      </c>
      <c r="AG30" s="16"/>
      <c r="AH30" s="3">
        <f>COUNTIF(Tabell6[[#This Row],[1]:[10]],1)</f>
        <v>1</v>
      </c>
      <c r="AI30" s="3">
        <f>COUNTIF(Tabell6[[#This Row],[1]:[10]],3)</f>
        <v>1</v>
      </c>
      <c r="AJ30" s="3">
        <f>COUNTIF(Tabell6[[#This Row],[1]:[10]],2)</f>
        <v>0</v>
      </c>
      <c r="AK30" s="3">
        <f t="shared" si="11"/>
        <v>300</v>
      </c>
      <c r="AL30" s="3">
        <f t="shared" si="12"/>
        <v>200</v>
      </c>
      <c r="AM30" s="3">
        <f t="shared" si="13"/>
        <v>0</v>
      </c>
      <c r="AN30" s="3">
        <f t="shared" si="14"/>
        <v>500</v>
      </c>
    </row>
    <row r="31" spans="2:44" ht="15.75" thickBot="1" x14ac:dyDescent="0.3">
      <c r="B31" s="159" t="s">
        <v>2</v>
      </c>
      <c r="C31" s="247" t="s">
        <v>159</v>
      </c>
      <c r="D31" s="244">
        <v>86</v>
      </c>
      <c r="E31" s="244">
        <v>82</v>
      </c>
      <c r="F31" s="244">
        <v>83</v>
      </c>
      <c r="G31" s="244">
        <v>87</v>
      </c>
      <c r="H31" s="244">
        <v>81</v>
      </c>
      <c r="I31" s="244">
        <v>76</v>
      </c>
      <c r="J31" s="244">
        <v>80</v>
      </c>
      <c r="K31" s="314">
        <v>126</v>
      </c>
      <c r="L31" s="244">
        <v>81</v>
      </c>
      <c r="M31" s="244">
        <v>126</v>
      </c>
      <c r="N31" s="239">
        <f t="shared" si="9"/>
        <v>400</v>
      </c>
      <c r="O31" s="153"/>
      <c r="P31" s="216">
        <v>14</v>
      </c>
      <c r="Q31" s="216">
        <v>8</v>
      </c>
      <c r="R31" s="216">
        <v>13</v>
      </c>
      <c r="S31" s="216">
        <v>13</v>
      </c>
      <c r="T31" s="216">
        <v>9</v>
      </c>
      <c r="U31" s="216">
        <v>8</v>
      </c>
      <c r="V31" s="216">
        <v>10</v>
      </c>
      <c r="W31" s="216">
        <v>16</v>
      </c>
      <c r="X31" s="216">
        <v>8</v>
      </c>
      <c r="Y31" s="216">
        <v>16</v>
      </c>
      <c r="Z31" s="218">
        <f t="shared" si="10"/>
        <v>43</v>
      </c>
      <c r="AA31" s="215">
        <f>RANK(Z31,Z24:Z39,1)</f>
        <v>13</v>
      </c>
      <c r="AC31" s="129"/>
      <c r="AE31" s="117">
        <f>Tabell4[[#This Row],[Sum]]/5</f>
        <v>80</v>
      </c>
      <c r="AG31" s="16"/>
      <c r="AH31" s="3">
        <f>COUNTIF(Tabell6[[#This Row],[1]:[10]],1)</f>
        <v>0</v>
      </c>
      <c r="AI31" s="3">
        <f>COUNTIF(Tabell6[[#This Row],[1]:[10]],3)</f>
        <v>0</v>
      </c>
      <c r="AJ31" s="3">
        <f>COUNTIF(Tabell6[[#This Row],[1]:[10]],2)</f>
        <v>0</v>
      </c>
      <c r="AK31" s="3">
        <f t="shared" si="11"/>
        <v>0</v>
      </c>
      <c r="AL31" s="3">
        <f t="shared" si="12"/>
        <v>0</v>
      </c>
      <c r="AM31" s="3">
        <f t="shared" si="13"/>
        <v>0</v>
      </c>
      <c r="AN31" s="3">
        <f t="shared" si="14"/>
        <v>0</v>
      </c>
    </row>
    <row r="32" spans="2:44" ht="15.75" thickBot="1" x14ac:dyDescent="0.3">
      <c r="B32" s="159" t="s">
        <v>17</v>
      </c>
      <c r="C32" s="247" t="s">
        <v>18</v>
      </c>
      <c r="D32" s="244">
        <v>74</v>
      </c>
      <c r="E32" s="244">
        <v>85</v>
      </c>
      <c r="F32" s="244">
        <v>80</v>
      </c>
      <c r="G32" s="244">
        <v>80</v>
      </c>
      <c r="H32" s="244">
        <v>69</v>
      </c>
      <c r="I32" s="244">
        <v>63</v>
      </c>
      <c r="J32" s="244">
        <v>90</v>
      </c>
      <c r="K32" s="244">
        <v>78</v>
      </c>
      <c r="L32" s="244">
        <v>84</v>
      </c>
      <c r="M32" s="244">
        <v>126</v>
      </c>
      <c r="N32" s="239">
        <f t="shared" si="9"/>
        <v>364</v>
      </c>
      <c r="O32" s="153"/>
      <c r="P32" s="216">
        <v>7</v>
      </c>
      <c r="Q32" s="216">
        <v>11</v>
      </c>
      <c r="R32" s="216">
        <v>11</v>
      </c>
      <c r="S32" s="216">
        <v>10</v>
      </c>
      <c r="T32" s="216">
        <v>3</v>
      </c>
      <c r="U32" s="216">
        <v>1</v>
      </c>
      <c r="V32" s="216">
        <v>12</v>
      </c>
      <c r="W32" s="216">
        <v>10</v>
      </c>
      <c r="X32" s="216">
        <v>12</v>
      </c>
      <c r="Y32" s="216">
        <v>16</v>
      </c>
      <c r="Z32" s="218">
        <f t="shared" si="10"/>
        <v>31</v>
      </c>
      <c r="AA32" s="215">
        <f>RANK(Z32,Z24:Z39,1)</f>
        <v>10</v>
      </c>
      <c r="AC32" s="129"/>
      <c r="AE32" s="117">
        <f>Tabell4[[#This Row],[Sum]]/5</f>
        <v>72.8</v>
      </c>
      <c r="AG32" s="16"/>
      <c r="AH32" s="3">
        <f>COUNTIF(Tabell6[[#This Row],[1]:[10]],1)</f>
        <v>1</v>
      </c>
      <c r="AI32" s="3">
        <f>COUNTIF(Tabell6[[#This Row],[1]:[10]],3)</f>
        <v>1</v>
      </c>
      <c r="AJ32" s="3">
        <f>COUNTIF(Tabell6[[#This Row],[1]:[10]],2)</f>
        <v>0</v>
      </c>
      <c r="AK32" s="3">
        <f t="shared" si="11"/>
        <v>300</v>
      </c>
      <c r="AL32" s="3">
        <f t="shared" si="12"/>
        <v>200</v>
      </c>
      <c r="AM32" s="3">
        <f t="shared" si="13"/>
        <v>0</v>
      </c>
      <c r="AN32" s="3">
        <f t="shared" si="14"/>
        <v>500</v>
      </c>
    </row>
    <row r="33" spans="2:40" ht="15.75" thickBot="1" x14ac:dyDescent="0.3">
      <c r="B33" s="159" t="s">
        <v>15</v>
      </c>
      <c r="C33" s="247" t="s">
        <v>16</v>
      </c>
      <c r="D33" s="244">
        <v>82</v>
      </c>
      <c r="E33" s="244">
        <v>83</v>
      </c>
      <c r="F33" s="244">
        <v>97</v>
      </c>
      <c r="G33" s="244">
        <v>90</v>
      </c>
      <c r="H33" s="244">
        <v>89</v>
      </c>
      <c r="I33" s="244">
        <v>85</v>
      </c>
      <c r="J33" s="244">
        <v>89</v>
      </c>
      <c r="K33" s="244">
        <v>74</v>
      </c>
      <c r="L33" s="244">
        <v>76</v>
      </c>
      <c r="M33" s="244">
        <v>126</v>
      </c>
      <c r="N33" s="239">
        <f t="shared" si="9"/>
        <v>400</v>
      </c>
      <c r="O33" s="153"/>
      <c r="P33" s="216">
        <v>11</v>
      </c>
      <c r="Q33" s="216">
        <v>9</v>
      </c>
      <c r="R33" s="216">
        <v>15</v>
      </c>
      <c r="S33" s="216">
        <v>14</v>
      </c>
      <c r="T33" s="216">
        <v>14</v>
      </c>
      <c r="U33" s="216">
        <v>15</v>
      </c>
      <c r="V33" s="216">
        <v>11</v>
      </c>
      <c r="W33" s="216">
        <v>7</v>
      </c>
      <c r="X33" s="216">
        <v>2</v>
      </c>
      <c r="Y33" s="216">
        <v>16</v>
      </c>
      <c r="Z33" s="218">
        <f t="shared" si="10"/>
        <v>40</v>
      </c>
      <c r="AA33" s="215">
        <f>RANK(Z33,Z24:Z39,1)</f>
        <v>12</v>
      </c>
      <c r="AC33" s="129">
        <v>1</v>
      </c>
      <c r="AE33" s="117">
        <f>Tabell4[[#This Row],[Sum]]/5</f>
        <v>80</v>
      </c>
      <c r="AG33" s="16"/>
      <c r="AH33" s="3">
        <f>COUNTIF(Tabell6[[#This Row],[1]:[10]],1)</f>
        <v>0</v>
      </c>
      <c r="AI33" s="3">
        <f>COUNTIF(Tabell6[[#This Row],[1]:[10]],3)</f>
        <v>0</v>
      </c>
      <c r="AJ33" s="3">
        <f>COUNTIF(Tabell6[[#This Row],[1]:[10]],2)</f>
        <v>1</v>
      </c>
      <c r="AK33" s="3">
        <f t="shared" si="11"/>
        <v>0</v>
      </c>
      <c r="AL33" s="3">
        <f t="shared" si="12"/>
        <v>0</v>
      </c>
      <c r="AM33" s="3">
        <f t="shared" si="13"/>
        <v>200</v>
      </c>
      <c r="AN33" s="3">
        <f t="shared" si="14"/>
        <v>200</v>
      </c>
    </row>
    <row r="34" spans="2:40" ht="15.75" thickBot="1" x14ac:dyDescent="0.3">
      <c r="B34" s="159" t="s">
        <v>104</v>
      </c>
      <c r="C34" s="247" t="s">
        <v>105</v>
      </c>
      <c r="D34" s="314">
        <v>126</v>
      </c>
      <c r="E34" s="244">
        <v>91</v>
      </c>
      <c r="F34" s="244">
        <v>73</v>
      </c>
      <c r="G34" s="244">
        <v>94</v>
      </c>
      <c r="H34" s="244">
        <v>93</v>
      </c>
      <c r="I34" s="314">
        <v>126</v>
      </c>
      <c r="J34" s="314">
        <v>126</v>
      </c>
      <c r="K34" s="314">
        <v>126</v>
      </c>
      <c r="L34" s="314">
        <v>126</v>
      </c>
      <c r="M34" s="244">
        <v>126</v>
      </c>
      <c r="N34" s="239">
        <f t="shared" si="9"/>
        <v>477</v>
      </c>
      <c r="O34" s="153"/>
      <c r="P34" s="315">
        <v>16</v>
      </c>
      <c r="Q34" s="216">
        <v>15</v>
      </c>
      <c r="R34" s="216">
        <v>7</v>
      </c>
      <c r="S34" s="216">
        <v>16</v>
      </c>
      <c r="T34" s="216">
        <v>15</v>
      </c>
      <c r="U34" s="315">
        <v>16</v>
      </c>
      <c r="V34" s="315">
        <v>16</v>
      </c>
      <c r="W34" s="216">
        <v>16</v>
      </c>
      <c r="X34" s="216">
        <v>16</v>
      </c>
      <c r="Y34" s="216">
        <v>16</v>
      </c>
      <c r="Z34" s="218">
        <f t="shared" si="10"/>
        <v>69</v>
      </c>
      <c r="AA34" s="215">
        <f>RANK(Z34,Z24:Z39,1)</f>
        <v>16</v>
      </c>
      <c r="AC34" s="129"/>
      <c r="AE34" s="117">
        <f>Tabell4[[#This Row],[Sum]]/5</f>
        <v>95.4</v>
      </c>
      <c r="AG34" s="16"/>
      <c r="AH34" s="3">
        <f>COUNTIF(Tabell6[[#This Row],[1]:[10]],1)</f>
        <v>0</v>
      </c>
      <c r="AI34" s="3">
        <f>COUNTIF(Tabell6[[#This Row],[1]:[10]],3)</f>
        <v>0</v>
      </c>
      <c r="AJ34" s="3">
        <f>COUNTIF(Tabell6[[#This Row],[1]:[10]],2)</f>
        <v>0</v>
      </c>
      <c r="AK34" s="3">
        <f t="shared" si="11"/>
        <v>0</v>
      </c>
      <c r="AL34" s="3">
        <f t="shared" si="12"/>
        <v>0</v>
      </c>
      <c r="AM34" s="3">
        <f t="shared" si="13"/>
        <v>0</v>
      </c>
      <c r="AN34" s="3">
        <f t="shared" si="14"/>
        <v>0</v>
      </c>
    </row>
    <row r="35" spans="2:40" ht="15.75" thickBot="1" x14ac:dyDescent="0.3">
      <c r="B35" s="159" t="s">
        <v>8</v>
      </c>
      <c r="C35" s="247" t="s">
        <v>19</v>
      </c>
      <c r="D35" s="244">
        <v>110</v>
      </c>
      <c r="E35" s="244">
        <v>84</v>
      </c>
      <c r="F35" s="244">
        <v>87</v>
      </c>
      <c r="G35" s="244">
        <v>93</v>
      </c>
      <c r="H35" s="314">
        <v>126</v>
      </c>
      <c r="I35" s="244">
        <v>81</v>
      </c>
      <c r="J35" s="244">
        <v>72</v>
      </c>
      <c r="K35" s="244">
        <v>72</v>
      </c>
      <c r="L35" s="244">
        <v>88</v>
      </c>
      <c r="M35" s="244">
        <v>126</v>
      </c>
      <c r="N35" s="239">
        <f t="shared" si="9"/>
        <v>396</v>
      </c>
      <c r="O35" s="153"/>
      <c r="P35" s="216">
        <v>15</v>
      </c>
      <c r="Q35" s="216">
        <v>10</v>
      </c>
      <c r="R35" s="216">
        <v>14</v>
      </c>
      <c r="S35" s="216">
        <v>15</v>
      </c>
      <c r="T35" s="315">
        <v>16</v>
      </c>
      <c r="U35" s="216">
        <v>13</v>
      </c>
      <c r="V35" s="216">
        <v>4</v>
      </c>
      <c r="W35" s="216">
        <v>4</v>
      </c>
      <c r="X35" s="216">
        <v>13</v>
      </c>
      <c r="Y35" s="216">
        <v>16</v>
      </c>
      <c r="Z35" s="218">
        <f t="shared" si="10"/>
        <v>44</v>
      </c>
      <c r="AA35" s="215">
        <f>RANK(Z35,Z24:Z39,1)</f>
        <v>14</v>
      </c>
      <c r="AC35" s="129"/>
      <c r="AE35" s="117">
        <f>Tabell4[[#This Row],[Sum]]/5</f>
        <v>79.2</v>
      </c>
      <c r="AG35" s="16"/>
      <c r="AH35" s="3">
        <f>COUNTIF(Tabell6[[#This Row],[1]:[10]],1)</f>
        <v>0</v>
      </c>
      <c r="AI35" s="3">
        <f>COUNTIF(Tabell6[[#This Row],[1]:[10]],3)</f>
        <v>0</v>
      </c>
      <c r="AJ35" s="3">
        <f>COUNTIF(Tabell6[[#This Row],[1]:[10]],2)</f>
        <v>0</v>
      </c>
      <c r="AK35" s="3">
        <f t="shared" si="11"/>
        <v>0</v>
      </c>
      <c r="AL35" s="3">
        <f t="shared" si="12"/>
        <v>0</v>
      </c>
      <c r="AM35" s="3">
        <f t="shared" si="13"/>
        <v>0</v>
      </c>
      <c r="AN35" s="3">
        <f t="shared" si="14"/>
        <v>0</v>
      </c>
    </row>
    <row r="36" spans="2:40" ht="15.75" thickBot="1" x14ac:dyDescent="0.3">
      <c r="B36" s="159" t="s">
        <v>12</v>
      </c>
      <c r="C36" s="247" t="s">
        <v>13</v>
      </c>
      <c r="D36" s="244">
        <v>75</v>
      </c>
      <c r="E36" s="244">
        <v>74</v>
      </c>
      <c r="F36" s="244">
        <v>76</v>
      </c>
      <c r="G36" s="244">
        <v>78</v>
      </c>
      <c r="H36" s="244">
        <v>79</v>
      </c>
      <c r="I36" s="244">
        <v>66</v>
      </c>
      <c r="J36" s="244">
        <v>67</v>
      </c>
      <c r="K36" s="244">
        <v>77</v>
      </c>
      <c r="L36" s="244">
        <v>82</v>
      </c>
      <c r="M36" s="244">
        <v>126</v>
      </c>
      <c r="N36" s="239">
        <f t="shared" si="9"/>
        <v>358</v>
      </c>
      <c r="O36" s="153"/>
      <c r="P36" s="216">
        <v>8</v>
      </c>
      <c r="Q36" s="216">
        <v>1</v>
      </c>
      <c r="R36" s="216">
        <v>10</v>
      </c>
      <c r="S36" s="216">
        <v>9</v>
      </c>
      <c r="T36" s="216">
        <v>7</v>
      </c>
      <c r="U36" s="216">
        <v>2</v>
      </c>
      <c r="V36" s="216">
        <v>1</v>
      </c>
      <c r="W36" s="216">
        <v>9</v>
      </c>
      <c r="X36" s="216">
        <v>10</v>
      </c>
      <c r="Y36" s="216">
        <v>16</v>
      </c>
      <c r="Z36" s="218">
        <f t="shared" si="10"/>
        <v>19</v>
      </c>
      <c r="AA36" s="215">
        <f>RANK(Z36,Z24:Z39,1)</f>
        <v>5</v>
      </c>
      <c r="AC36" s="129"/>
      <c r="AE36" s="117">
        <f>Tabell4[[#This Row],[Sum]]/5</f>
        <v>71.599999999999994</v>
      </c>
      <c r="AG36" s="16"/>
      <c r="AH36" s="3">
        <f>COUNTIF(Tabell6[[#This Row],[1]:[10]],1)</f>
        <v>2</v>
      </c>
      <c r="AI36" s="3">
        <f>COUNTIF(Tabell6[[#This Row],[1]:[10]],3)</f>
        <v>0</v>
      </c>
      <c r="AJ36" s="3">
        <f>COUNTIF(Tabell6[[#This Row],[1]:[10]],2)</f>
        <v>1</v>
      </c>
      <c r="AK36" s="3">
        <f t="shared" si="11"/>
        <v>600</v>
      </c>
      <c r="AL36" s="3">
        <f t="shared" si="12"/>
        <v>0</v>
      </c>
      <c r="AM36" s="3">
        <f t="shared" si="13"/>
        <v>200</v>
      </c>
      <c r="AN36" s="3">
        <f t="shared" si="14"/>
        <v>800</v>
      </c>
    </row>
    <row r="37" spans="2:40" ht="15.75" thickBot="1" x14ac:dyDescent="0.3">
      <c r="B37" s="240" t="s">
        <v>113</v>
      </c>
      <c r="C37" s="248" t="s">
        <v>114</v>
      </c>
      <c r="D37" s="244">
        <v>73</v>
      </c>
      <c r="E37" s="244">
        <v>79</v>
      </c>
      <c r="F37" s="244">
        <v>65</v>
      </c>
      <c r="G37" s="244">
        <v>75</v>
      </c>
      <c r="H37" s="244">
        <v>75</v>
      </c>
      <c r="I37" s="244">
        <v>75</v>
      </c>
      <c r="J37" s="314">
        <v>126</v>
      </c>
      <c r="K37" s="244">
        <v>72</v>
      </c>
      <c r="L37" s="244">
        <v>80</v>
      </c>
      <c r="M37" s="244">
        <v>126</v>
      </c>
      <c r="N37" s="239">
        <f t="shared" si="9"/>
        <v>360</v>
      </c>
      <c r="O37" s="153"/>
      <c r="P37" s="216">
        <v>3</v>
      </c>
      <c r="Q37" s="216">
        <v>4</v>
      </c>
      <c r="R37" s="216">
        <v>1</v>
      </c>
      <c r="S37" s="216">
        <v>4</v>
      </c>
      <c r="T37" s="216">
        <v>6</v>
      </c>
      <c r="U37" s="216">
        <v>7</v>
      </c>
      <c r="V37" s="315">
        <v>16</v>
      </c>
      <c r="W37" s="216">
        <v>2</v>
      </c>
      <c r="X37" s="216">
        <v>5</v>
      </c>
      <c r="Y37" s="216">
        <v>16</v>
      </c>
      <c r="Z37" s="218">
        <f t="shared" si="10"/>
        <v>14</v>
      </c>
      <c r="AA37" s="215">
        <f>RANK(Z37,Z24:Z39,1)</f>
        <v>2</v>
      </c>
      <c r="AC37" s="129">
        <v>4</v>
      </c>
      <c r="AD37" s="16"/>
      <c r="AE37" s="117">
        <f>Tabell4[[#This Row],[Sum]]/5</f>
        <v>72</v>
      </c>
      <c r="AF37" s="16"/>
      <c r="AH37" s="3">
        <f>COUNTIF(Tabell6[[#This Row],[1]:[10]],1)</f>
        <v>1</v>
      </c>
      <c r="AI37" s="3">
        <f>COUNTIF(Tabell6[[#This Row],[1]:[10]],3)</f>
        <v>1</v>
      </c>
      <c r="AJ37" s="3">
        <f>COUNTIF(Tabell6[[#This Row],[1]:[10]],2)</f>
        <v>1</v>
      </c>
      <c r="AK37" s="3">
        <f t="shared" si="11"/>
        <v>300</v>
      </c>
      <c r="AL37" s="3">
        <f t="shared" si="12"/>
        <v>200</v>
      </c>
      <c r="AM37" s="3">
        <f t="shared" si="13"/>
        <v>200</v>
      </c>
      <c r="AN37" s="3">
        <f t="shared" si="14"/>
        <v>700</v>
      </c>
    </row>
    <row r="38" spans="2:40" ht="15.75" thickBot="1" x14ac:dyDescent="0.3">
      <c r="B38" s="240" t="s">
        <v>108</v>
      </c>
      <c r="C38" s="248" t="s">
        <v>109</v>
      </c>
      <c r="D38" s="244">
        <v>81</v>
      </c>
      <c r="E38" s="340"/>
      <c r="F38" s="244">
        <v>71</v>
      </c>
      <c r="G38" s="244">
        <v>77</v>
      </c>
      <c r="H38" s="244">
        <v>74</v>
      </c>
      <c r="I38" s="244">
        <v>71</v>
      </c>
      <c r="J38" s="244">
        <v>77</v>
      </c>
      <c r="K38" s="244">
        <v>81</v>
      </c>
      <c r="L38" s="244">
        <v>80</v>
      </c>
      <c r="M38" s="244">
        <v>126</v>
      </c>
      <c r="N38" s="239">
        <f t="shared" si="9"/>
        <v>370</v>
      </c>
      <c r="O38" s="67"/>
      <c r="P38" s="216">
        <v>10</v>
      </c>
      <c r="Q38" s="339">
        <v>16</v>
      </c>
      <c r="R38" s="216">
        <v>4</v>
      </c>
      <c r="S38" s="216">
        <v>5</v>
      </c>
      <c r="T38" s="216">
        <v>5</v>
      </c>
      <c r="U38" s="216">
        <v>3</v>
      </c>
      <c r="V38" s="216">
        <v>8</v>
      </c>
      <c r="W38" s="216">
        <v>12</v>
      </c>
      <c r="X38" s="216">
        <v>4</v>
      </c>
      <c r="Y38" s="216">
        <v>16</v>
      </c>
      <c r="Z38" s="218">
        <f t="shared" si="10"/>
        <v>21</v>
      </c>
      <c r="AA38" s="215">
        <f>RANK(Z38,Z24:Z39,1)</f>
        <v>6</v>
      </c>
      <c r="AC38" s="129">
        <v>3</v>
      </c>
      <c r="AE38" s="117">
        <f>Tabell4[[#This Row],[Sum]]/5</f>
        <v>74</v>
      </c>
      <c r="AH38" s="3">
        <f>COUNTIF(Tabell6[[#This Row],[1]:[10]],1)</f>
        <v>0</v>
      </c>
      <c r="AI38" s="3">
        <f>COUNTIF(Tabell6[[#This Row],[1]:[10]],2)</f>
        <v>0</v>
      </c>
      <c r="AJ38" s="3">
        <f>COUNTIF(Tabell6[[#This Row],[1]:[10]],2)</f>
        <v>0</v>
      </c>
      <c r="AK38" s="3">
        <f t="shared" si="11"/>
        <v>0</v>
      </c>
      <c r="AL38" s="3">
        <f t="shared" si="12"/>
        <v>0</v>
      </c>
      <c r="AM38" s="3">
        <f t="shared" si="13"/>
        <v>0</v>
      </c>
      <c r="AN38" s="3">
        <f t="shared" si="14"/>
        <v>0</v>
      </c>
    </row>
    <row r="39" spans="2:40" ht="15.75" thickBot="1" x14ac:dyDescent="0.3">
      <c r="B39" s="160" t="s">
        <v>195</v>
      </c>
      <c r="C39" s="249" t="s">
        <v>13</v>
      </c>
      <c r="D39" s="244">
        <v>80</v>
      </c>
      <c r="E39" s="244">
        <v>89</v>
      </c>
      <c r="F39" s="244">
        <v>80</v>
      </c>
      <c r="G39" s="244">
        <v>86</v>
      </c>
      <c r="H39" s="244">
        <v>82</v>
      </c>
      <c r="I39" s="244">
        <v>80</v>
      </c>
      <c r="J39" s="244">
        <v>92</v>
      </c>
      <c r="K39" s="244">
        <v>89</v>
      </c>
      <c r="L39" s="244">
        <v>94</v>
      </c>
      <c r="M39" s="244">
        <v>126</v>
      </c>
      <c r="N39" s="239">
        <f t="shared" si="9"/>
        <v>408</v>
      </c>
      <c r="O39" s="67"/>
      <c r="P39" s="216">
        <v>9</v>
      </c>
      <c r="Q39" s="216">
        <v>14</v>
      </c>
      <c r="R39" s="216">
        <v>12</v>
      </c>
      <c r="S39" s="216">
        <v>12</v>
      </c>
      <c r="T39" s="216">
        <v>11</v>
      </c>
      <c r="U39" s="216">
        <v>11</v>
      </c>
      <c r="V39" s="216">
        <v>13</v>
      </c>
      <c r="W39" s="216">
        <v>14</v>
      </c>
      <c r="X39" s="216">
        <v>14</v>
      </c>
      <c r="Y39" s="216">
        <v>16</v>
      </c>
      <c r="Z39" s="218">
        <f t="shared" si="10"/>
        <v>55</v>
      </c>
      <c r="AA39" s="215">
        <f>RANK(Z39,Z24:Z39,1)</f>
        <v>15</v>
      </c>
      <c r="AC39" s="192"/>
      <c r="AE39" s="117">
        <f>Tabell4[[#This Row],[Sum]]/5</f>
        <v>81.599999999999994</v>
      </c>
    </row>
    <row r="40" spans="2:40" ht="15.75" thickBot="1" x14ac:dyDescent="0.3">
      <c r="B40" s="108" t="s">
        <v>140</v>
      </c>
      <c r="C40" s="249" t="s">
        <v>49</v>
      </c>
      <c r="D40" s="245">
        <f>AVERAGE(D24+D25+D26+D27+D28+D29+D30+D31+D32+D33+D35+D36+D37+D38+D39+D42)/15</f>
        <v>79.400000000000006</v>
      </c>
      <c r="E40" s="241">
        <f>AVERAGE(E24:E39)</f>
        <v>82.666666666666671</v>
      </c>
      <c r="F40" s="242">
        <f>(F24+F26+F27+F28+F29+F30+F31+F32+F33+F34+F35+F36+F37+F38+F39)/15</f>
        <v>76.066666666666663</v>
      </c>
      <c r="G40" s="241">
        <f>AVERAGE(G24:G39)</f>
        <v>81</v>
      </c>
      <c r="H40" s="241">
        <f>(H24+H25+H26+H27+H28+H29+H30+H31+H32+H33+H34+H36+H37+H38+H39)/15</f>
        <v>78.933333333333337</v>
      </c>
      <c r="I40" s="241">
        <f>SUM(I24+I25+I26+I27+I28+I29+I30+I31+I32+I33+I35+I36+I37+I38+I39)/15</f>
        <v>75.8</v>
      </c>
      <c r="J40" s="241">
        <f>(J24+J25+J26+J27+J28+J29+J31+J32+J33+J35+J36+J38+J39)/13</f>
        <v>77.92307692307692</v>
      </c>
      <c r="K40" s="241">
        <f>(K24+K25+K26+K27+K28+K29+K30+K32+K33+K35+K36+K37+K38+K39)/14</f>
        <v>76.285714285714292</v>
      </c>
      <c r="L40" s="241">
        <f>(L25+L26+L27+L29+L30+L32+L33+L34+L35+L36+L37+L28+L31+L38)/14</f>
        <v>85.5</v>
      </c>
      <c r="M40" s="241">
        <f>SUM(M25+M26+M27+M29+M30+M4+M32+M33+M34+M35+M36+M37)/11</f>
        <v>140.72727272727272</v>
      </c>
      <c r="N40" s="243">
        <f>SMALL(D40:M40,1)+SMALL(D40:M40,2)+SMALL(D40:M40,3)+SMALL(D40:M40,4)++SMALL(D40:M40,5)</f>
        <v>385.00879120879119</v>
      </c>
      <c r="O40" s="67" t="s">
        <v>91</v>
      </c>
      <c r="P40" s="219"/>
      <c r="Q40" s="220"/>
      <c r="R40" s="220" t="s">
        <v>91</v>
      </c>
      <c r="S40" s="220"/>
      <c r="T40" s="221"/>
      <c r="U40" s="221"/>
      <c r="V40" s="221"/>
      <c r="W40" s="221"/>
      <c r="X40" s="221"/>
      <c r="Y40" s="236"/>
      <c r="Z40" s="222" t="e">
        <f>SMALL(P40:Y40,1)+SMALL(P40:Y40,2)+SMALL(P40:Y40,3)+SMALL(P40:Y40,4)</f>
        <v>#NUM!</v>
      </c>
      <c r="AC40" s="191"/>
      <c r="AE40" s="348"/>
    </row>
    <row r="41" spans="2:40" ht="15.75" thickBot="1" x14ac:dyDescent="0.3">
      <c r="AE41" s="347">
        <f>SUBTOTAL(101,Tabell60[Snittscore])</f>
        <v>76.274999999999991</v>
      </c>
    </row>
    <row r="44" spans="2:40" x14ac:dyDescent="0.25">
      <c r="E44" s="3" t="s">
        <v>91</v>
      </c>
    </row>
  </sheetData>
  <mergeCells count="2">
    <mergeCell ref="D2:L2"/>
    <mergeCell ref="D22:L22"/>
  </mergeCells>
  <phoneticPr fontId="45" type="noConversion"/>
  <conditionalFormatting sqref="B4:C18">
    <cfRule type="dataBar" priority="25">
      <dataBar>
        <cfvo type="min"/>
        <cfvo type="max"/>
        <color rgb="FFD6007B"/>
      </dataBar>
    </cfRule>
    <cfRule type="colorScale" priority="26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AA4:AA19">
    <cfRule type="iconSet" priority="17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1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 iconSet="4Arrows">
        <cfvo type="percent" val="0"/>
        <cfvo type="percent" val="25"/>
        <cfvo type="percent" val="50"/>
        <cfvo type="percent" val="75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AA24:AA39">
    <cfRule type="iconSet" priority="13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1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5">
      <iconSet iconSet="4Arrows">
        <cfvo type="percent" val="0"/>
        <cfvo type="percent" val="25"/>
        <cfvo type="percent" val="50"/>
        <cfvo type="percent" val="75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AA18:AA19">
    <cfRule type="iconSet" priority="9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  <cfRule type="iconSet" priority="1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1">
      <iconSet iconSet="4Arrows">
        <cfvo type="percent" val="0"/>
        <cfvo type="percent" val="25"/>
        <cfvo type="percent" val="50"/>
        <cfvo type="percent" val="75"/>
      </iconSet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B19:C19">
    <cfRule type="dataBar" priority="1">
      <dataBar>
        <cfvo type="min"/>
        <cfvo type="max"/>
        <color rgb="FFD6007B"/>
      </dataBar>
    </cfRule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  <pageSetup paperSize="9" scale="63" orientation="landscape" horizontalDpi="4294967293" verticalDpi="4294967293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A90F-CCFD-4ACC-BBFF-3A1F9795008D}">
  <dimension ref="B2:G17"/>
  <sheetViews>
    <sheetView workbookViewId="0">
      <selection activeCell="I14" sqref="I14"/>
    </sheetView>
  </sheetViews>
  <sheetFormatPr defaultRowHeight="15" x14ac:dyDescent="0.25"/>
  <cols>
    <col min="3" max="3" width="12.5703125" customWidth="1"/>
    <col min="4" max="4" width="10.7109375" customWidth="1"/>
  </cols>
  <sheetData>
    <row r="2" spans="2:7" ht="30" x14ac:dyDescent="0.25">
      <c r="D2" s="346" t="s">
        <v>205</v>
      </c>
      <c r="E2" s="346" t="s">
        <v>206</v>
      </c>
      <c r="F2" s="346" t="s">
        <v>207</v>
      </c>
      <c r="G2" s="346" t="s">
        <v>208</v>
      </c>
    </row>
    <row r="3" spans="2:7" x14ac:dyDescent="0.25">
      <c r="B3" s="283" t="s">
        <v>2</v>
      </c>
      <c r="C3" s="283" t="s">
        <v>3</v>
      </c>
      <c r="D3" s="345">
        <v>2.4000000000000057</v>
      </c>
      <c r="E3" s="345">
        <v>-1.4699999999999989</v>
      </c>
      <c r="F3" s="345">
        <v>1.2000000000000028</v>
      </c>
      <c r="G3" s="345">
        <v>-0.34000000000000341</v>
      </c>
    </row>
    <row r="4" spans="2:7" x14ac:dyDescent="0.25">
      <c r="B4" s="283" t="s">
        <v>0</v>
      </c>
      <c r="C4" s="283" t="s">
        <v>1</v>
      </c>
      <c r="D4" s="345">
        <v>2.3999999999999915</v>
      </c>
      <c r="E4" s="345">
        <v>0.44999999999998863</v>
      </c>
      <c r="F4" s="345">
        <v>2.3999999999999915</v>
      </c>
      <c r="G4" s="345">
        <v>3.4499999999999886</v>
      </c>
    </row>
    <row r="5" spans="2:7" x14ac:dyDescent="0.25">
      <c r="B5" s="283" t="s">
        <v>4</v>
      </c>
      <c r="C5" s="283" t="s">
        <v>5</v>
      </c>
      <c r="D5" s="345">
        <v>0</v>
      </c>
      <c r="E5" s="345">
        <v>-3.394999999999996</v>
      </c>
      <c r="F5" s="345">
        <v>0.79999999999999716</v>
      </c>
      <c r="G5" s="345">
        <v>-2.6149999999999949</v>
      </c>
    </row>
    <row r="6" spans="2:7" x14ac:dyDescent="0.25">
      <c r="B6" s="283" t="s">
        <v>14</v>
      </c>
      <c r="C6" s="283" t="s">
        <v>183</v>
      </c>
      <c r="D6" s="345">
        <v>1.7999999999999972</v>
      </c>
      <c r="E6" s="345">
        <v>-7.5300000000000011</v>
      </c>
      <c r="F6" s="345">
        <v>0.20000000000000284</v>
      </c>
      <c r="G6" s="345">
        <v>-5.7049999999999983</v>
      </c>
    </row>
    <row r="7" spans="2:7" x14ac:dyDescent="0.25">
      <c r="B7" s="283" t="s">
        <v>10</v>
      </c>
      <c r="C7" s="283" t="s">
        <v>11</v>
      </c>
      <c r="D7" s="345">
        <v>0.20000000000000284</v>
      </c>
      <c r="E7" s="345">
        <v>-1.0250000000000199</v>
      </c>
      <c r="F7" s="345">
        <v>1.4000000000000057</v>
      </c>
      <c r="G7" s="345">
        <v>0.33000000000001251</v>
      </c>
    </row>
    <row r="8" spans="2:7" x14ac:dyDescent="0.25">
      <c r="B8" s="283" t="s">
        <v>6</v>
      </c>
      <c r="C8" s="283" t="s">
        <v>7</v>
      </c>
      <c r="D8" s="345">
        <v>2</v>
      </c>
      <c r="E8" s="345">
        <v>-3.7349999999999994</v>
      </c>
      <c r="F8" s="345">
        <v>1.5999999999999943</v>
      </c>
      <c r="G8" s="345">
        <v>0.53499999999999659</v>
      </c>
    </row>
    <row r="9" spans="2:7" x14ac:dyDescent="0.25">
      <c r="B9" s="283" t="s">
        <v>8</v>
      </c>
      <c r="C9" s="283" t="s">
        <v>9</v>
      </c>
      <c r="D9" s="345">
        <v>-1.6000000000000085</v>
      </c>
      <c r="E9" s="345">
        <v>-1.4500000000000171</v>
      </c>
      <c r="F9" s="345">
        <v>-1</v>
      </c>
      <c r="G9" s="345">
        <v>-1.1949999999999932</v>
      </c>
    </row>
    <row r="10" spans="2:7" x14ac:dyDescent="0.25">
      <c r="B10" s="283" t="s">
        <v>2</v>
      </c>
      <c r="C10" s="283" t="s">
        <v>159</v>
      </c>
      <c r="D10" s="345">
        <v>2.2000000000000028</v>
      </c>
      <c r="E10" s="345">
        <v>1.4000000000000057</v>
      </c>
      <c r="F10" s="345">
        <v>2</v>
      </c>
      <c r="G10" s="345">
        <v>2.7333333333333343</v>
      </c>
    </row>
    <row r="11" spans="2:7" x14ac:dyDescent="0.25">
      <c r="B11" s="283" t="s">
        <v>17</v>
      </c>
      <c r="C11" s="283" t="s">
        <v>18</v>
      </c>
      <c r="D11" s="345">
        <v>-2.5999999999999943</v>
      </c>
      <c r="E11" s="345">
        <v>-12.322222222222209</v>
      </c>
      <c r="F11" s="345">
        <v>-1.3999999999999915</v>
      </c>
      <c r="G11" s="345">
        <v>-4.2499999999999858</v>
      </c>
    </row>
    <row r="12" spans="2:7" x14ac:dyDescent="0.25">
      <c r="B12" s="283" t="s">
        <v>15</v>
      </c>
      <c r="C12" s="283" t="s">
        <v>16</v>
      </c>
      <c r="D12" s="345">
        <v>10.199999999999989</v>
      </c>
      <c r="E12" s="345">
        <v>8.64</v>
      </c>
      <c r="F12" s="345">
        <v>10.400000000000006</v>
      </c>
      <c r="G12" s="345">
        <v>9.9450000000000074</v>
      </c>
    </row>
    <row r="13" spans="2:7" x14ac:dyDescent="0.25">
      <c r="B13" s="283" t="s">
        <v>104</v>
      </c>
      <c r="C13" s="283" t="s">
        <v>105</v>
      </c>
      <c r="D13" s="345">
        <v>14.400000000000006</v>
      </c>
      <c r="E13" s="345">
        <v>3.3625000000000114</v>
      </c>
      <c r="F13" s="345">
        <v>18.800000000000011</v>
      </c>
      <c r="G13" s="345">
        <v>12.33750000000002</v>
      </c>
    </row>
    <row r="14" spans="2:7" x14ac:dyDescent="0.25">
      <c r="B14" s="283" t="s">
        <v>8</v>
      </c>
      <c r="C14" s="283" t="s">
        <v>19</v>
      </c>
      <c r="D14" s="345">
        <v>2.2000000000000028</v>
      </c>
      <c r="E14" s="345">
        <v>-8.7950000000000017</v>
      </c>
      <c r="F14" s="345">
        <v>4.3999999999999915</v>
      </c>
      <c r="G14" s="345">
        <v>0.83124999999998295</v>
      </c>
    </row>
    <row r="15" spans="2:7" x14ac:dyDescent="0.25">
      <c r="B15" s="283" t="s">
        <v>12</v>
      </c>
      <c r="C15" s="283" t="s">
        <v>171</v>
      </c>
      <c r="D15" s="345">
        <v>-6</v>
      </c>
      <c r="E15" s="345">
        <v>-8.3150000000000119</v>
      </c>
      <c r="F15" s="345">
        <v>-3.6000000000000085</v>
      </c>
      <c r="G15" s="345">
        <v>-7.1099999999999994</v>
      </c>
    </row>
    <row r="16" spans="2:7" x14ac:dyDescent="0.25">
      <c r="B16" s="283" t="s">
        <v>113</v>
      </c>
      <c r="C16" s="283" t="s">
        <v>114</v>
      </c>
      <c r="D16" s="345">
        <v>-5.6000000000000085</v>
      </c>
      <c r="E16" s="345">
        <v>-6.7642857142857196</v>
      </c>
      <c r="F16" s="345">
        <v>-5.4000000000000057</v>
      </c>
      <c r="G16" s="345">
        <v>-7.692857142857136</v>
      </c>
    </row>
    <row r="17" spans="2:7" x14ac:dyDescent="0.25">
      <c r="B17" s="283" t="s">
        <v>108</v>
      </c>
      <c r="C17" s="283" t="s">
        <v>109</v>
      </c>
      <c r="D17" s="345">
        <v>-3</v>
      </c>
      <c r="E17" s="345">
        <v>-9.4625000000000057</v>
      </c>
      <c r="F17" s="345">
        <v>-1.4000000000000057</v>
      </c>
      <c r="G17" s="345">
        <v>-5.5437500000000028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6852-A118-44C5-8824-6FD228963587}">
  <sheetPr>
    <tabColor theme="9" tint="0.59999389629810485"/>
  </sheetPr>
  <dimension ref="B2:W27"/>
  <sheetViews>
    <sheetView zoomScaleNormal="100" workbookViewId="0">
      <selection activeCell="U6" sqref="U6"/>
    </sheetView>
  </sheetViews>
  <sheetFormatPr defaultColWidth="8.7109375" defaultRowHeight="15" x14ac:dyDescent="0.25"/>
  <cols>
    <col min="1" max="1" width="8.7109375" style="193"/>
    <col min="2" max="2" width="10.7109375" style="193" bestFit="1" customWidth="1"/>
    <col min="3" max="3" width="10.140625" style="193" customWidth="1"/>
    <col min="4" max="4" width="12" style="193" bestFit="1" customWidth="1"/>
    <col min="5" max="5" width="10.140625" style="193" customWidth="1"/>
    <col min="6" max="7" width="9.5703125" style="193" customWidth="1"/>
    <col min="8" max="8" width="8.7109375" style="193"/>
    <col min="9" max="9" width="10.140625" style="193" customWidth="1"/>
    <col min="10" max="11" width="8.85546875" style="193" customWidth="1"/>
    <col min="12" max="12" width="8.7109375" style="193"/>
    <col min="13" max="13" width="4.5703125" style="193" customWidth="1"/>
    <col min="14" max="14" width="18.85546875" style="193" customWidth="1"/>
    <col min="15" max="15" width="5.85546875" style="193" customWidth="1"/>
    <col min="16" max="16" width="14.7109375" style="193" customWidth="1"/>
    <col min="17" max="17" width="0" style="193" hidden="1" customWidth="1"/>
    <col min="18" max="18" width="4" style="193" customWidth="1"/>
    <col min="19" max="19" width="8.7109375" style="198"/>
    <col min="20" max="20" width="3.85546875" style="193" customWidth="1"/>
    <col min="21" max="21" width="11.85546875" style="193" bestFit="1" customWidth="1"/>
    <col min="22" max="22" width="3.42578125" style="193" customWidth="1"/>
    <col min="23" max="23" width="12.5703125" style="193" customWidth="1"/>
    <col min="24" max="16384" width="8.7109375" style="193"/>
  </cols>
  <sheetData>
    <row r="2" spans="2:23" ht="25.5" x14ac:dyDescent="0.5">
      <c r="B2" s="194" t="s">
        <v>200</v>
      </c>
      <c r="D2" s="199"/>
      <c r="E2" s="193" t="s">
        <v>199</v>
      </c>
    </row>
    <row r="3" spans="2:23" ht="15.75" thickBot="1" x14ac:dyDescent="0.3"/>
    <row r="4" spans="2:23" ht="15.75" thickBot="1" x14ac:dyDescent="0.3">
      <c r="C4" s="11" t="s">
        <v>147</v>
      </c>
      <c r="D4" s="11" t="s">
        <v>148</v>
      </c>
      <c r="E4" s="11" t="s">
        <v>149</v>
      </c>
      <c r="F4" s="11" t="s">
        <v>143</v>
      </c>
      <c r="G4" s="11" t="s">
        <v>144</v>
      </c>
      <c r="H4" s="11" t="s">
        <v>152</v>
      </c>
      <c r="I4" s="11" t="s">
        <v>150</v>
      </c>
      <c r="J4" s="11" t="s">
        <v>145</v>
      </c>
      <c r="K4" s="11" t="s">
        <v>146</v>
      </c>
      <c r="L4" s="11" t="s">
        <v>151</v>
      </c>
      <c r="N4" s="37" t="s">
        <v>153</v>
      </c>
      <c r="P4" s="201" t="s">
        <v>154</v>
      </c>
      <c r="Q4" s="71" t="s">
        <v>141</v>
      </c>
      <c r="S4" s="40" t="s">
        <v>97</v>
      </c>
      <c r="U4" s="208" t="s">
        <v>155</v>
      </c>
      <c r="W4" s="40" t="s">
        <v>156</v>
      </c>
    </row>
    <row r="5" spans="2:23" x14ac:dyDescent="0.25">
      <c r="B5" s="250">
        <f>L10+L17</f>
        <v>430</v>
      </c>
      <c r="C5" s="11" t="s">
        <v>2</v>
      </c>
      <c r="D5" s="11" t="s">
        <v>3</v>
      </c>
      <c r="E5" s="197">
        <v>1</v>
      </c>
      <c r="F5" s="11">
        <f>Scoreboard!L4</f>
        <v>89</v>
      </c>
      <c r="G5" s="11">
        <f>Scoreboard!M4</f>
        <v>162</v>
      </c>
      <c r="H5" s="11">
        <f>F5+G5</f>
        <v>251</v>
      </c>
      <c r="I5" s="11"/>
      <c r="J5" s="11">
        <f>Scoreboard!L24</f>
        <v>75</v>
      </c>
      <c r="K5" s="11">
        <f>Scoreboard!M24</f>
        <v>126</v>
      </c>
      <c r="L5" s="11">
        <f>J5+K5</f>
        <v>201</v>
      </c>
      <c r="N5" s="118">
        <f>COUNTIF(Dreamscore!D167:U168,0)</f>
        <v>8</v>
      </c>
      <c r="P5" s="202">
        <f>COUNTIF(Dreamscore!D167:U168,-1)</f>
        <v>0</v>
      </c>
      <c r="Q5" s="200">
        <f>Tabell1719[[#This Row],[Samla birdie]]*2</f>
        <v>0</v>
      </c>
      <c r="S5" s="40">
        <f>Tabell17[[#This Row],[Samla Par]]+Tabell1719[[#This Row],[Kolumn1]]</f>
        <v>8</v>
      </c>
      <c r="U5" s="209">
        <f>(Dreamscore!AE158+Dreamscore!AE158+Dreamscore!AE159)*36</f>
        <v>11.555555555555555</v>
      </c>
      <c r="W5" s="210">
        <f>Tabell29[[#This Row],[Poäng]]-Tabell30[[#This Row],[Prognos]]</f>
        <v>-3.5555555555555554</v>
      </c>
    </row>
    <row r="6" spans="2:23" x14ac:dyDescent="0.25">
      <c r="B6" s="251">
        <f>SMALL((J7,J20,J16),1)+SMALL((J7,J20,J16),2)+SMALL((K7,K20,K16),1)+SMALL((K7,K20,K16),1)</f>
        <v>415</v>
      </c>
      <c r="C6" s="11" t="s">
        <v>0</v>
      </c>
      <c r="D6" s="11" t="s">
        <v>1</v>
      </c>
      <c r="E6" s="195">
        <v>4</v>
      </c>
      <c r="F6" s="11">
        <f>Scoreboard!L5</f>
        <v>99</v>
      </c>
      <c r="G6" s="11">
        <f>Scoreboard!M5</f>
        <v>162</v>
      </c>
      <c r="H6" s="11">
        <f t="shared" ref="H6:H19" si="0">F6+G6</f>
        <v>261</v>
      </c>
      <c r="I6" s="11"/>
      <c r="J6" s="11">
        <f>Scoreboard!L25</f>
        <v>80</v>
      </c>
      <c r="K6" s="11">
        <f>Scoreboard!M25</f>
        <v>126</v>
      </c>
      <c r="L6" s="11">
        <f t="shared" ref="L6:L19" si="1">J6+K6</f>
        <v>206</v>
      </c>
      <c r="N6" s="118">
        <f>COUNTIF(Dreamscore!D107:U108,0)</f>
        <v>4</v>
      </c>
      <c r="P6" s="202">
        <f>COUNTIF(Dreamscore!D107:U108,-1)</f>
        <v>0</v>
      </c>
      <c r="Q6" s="38">
        <f>Tabell1719[[#This Row],[Samla birdie]]*2</f>
        <v>0</v>
      </c>
      <c r="S6" s="40">
        <f>Tabell17[[#This Row],[Samla Par]]+Tabell1719[[#This Row],[Kolumn1]]</f>
        <v>4</v>
      </c>
      <c r="U6" s="209">
        <f>(Dreamscore!AE98+Dreamscore!AE98+Dreamscore!AE99)*36</f>
        <v>9.8181818181818166</v>
      </c>
      <c r="W6" s="210">
        <f>Tabell29[[#This Row],[Poäng]]-Tabell30[[#This Row],[Prognos]]</f>
        <v>-5.8181818181818166</v>
      </c>
    </row>
    <row r="7" spans="2:23" x14ac:dyDescent="0.25">
      <c r="B7" s="252">
        <f>L5+L13</f>
        <v>411</v>
      </c>
      <c r="C7" s="11" t="s">
        <v>4</v>
      </c>
      <c r="D7" s="11" t="s">
        <v>5</v>
      </c>
      <c r="E7" s="211">
        <v>2</v>
      </c>
      <c r="F7" s="11">
        <f>Scoreboard!L6</f>
        <v>104</v>
      </c>
      <c r="G7" s="11">
        <f>Scoreboard!M6</f>
        <v>162</v>
      </c>
      <c r="H7" s="11">
        <f t="shared" si="0"/>
        <v>266</v>
      </c>
      <c r="I7" s="11"/>
      <c r="J7" s="11">
        <f>Scoreboard!L26</f>
        <v>82</v>
      </c>
      <c r="K7" s="11">
        <f>Scoreboard!M26</f>
        <v>126</v>
      </c>
      <c r="L7" s="11">
        <f t="shared" si="1"/>
        <v>208</v>
      </c>
      <c r="N7" s="118">
        <f>COUNTIF(Dreamscore!D119:U120,0)</f>
        <v>2</v>
      </c>
      <c r="P7" s="202">
        <f>COUNTIF(Dreamscore!D119:U120,-1)</f>
        <v>0</v>
      </c>
      <c r="Q7" s="38">
        <f>Tabell1719[[#This Row],[Samla birdie]]*2</f>
        <v>0</v>
      </c>
      <c r="S7" s="40">
        <f>Tabell17[[#This Row],[Samla Par]]+Tabell1719[[#This Row],[Kolumn1]]</f>
        <v>2</v>
      </c>
      <c r="U7" s="209">
        <f>(Dreamscore!AE110+Dreamscore!AE110+Dreamscore!AE111)*36</f>
        <v>3.7777777777777777</v>
      </c>
      <c r="W7" s="210">
        <f>Tabell29[[#This Row],[Poäng]]-Tabell30[[#This Row],[Prognos]]</f>
        <v>-1.7777777777777777</v>
      </c>
    </row>
    <row r="8" spans="2:23" x14ac:dyDescent="0.25">
      <c r="B8" s="253">
        <f>L9+L15</f>
        <v>457</v>
      </c>
      <c r="C8" s="11" t="s">
        <v>14</v>
      </c>
      <c r="D8" s="11" t="s">
        <v>13</v>
      </c>
      <c r="E8" s="11"/>
      <c r="F8" s="11">
        <f>Scoreboard!L7</f>
        <v>99</v>
      </c>
      <c r="G8" s="11">
        <f>Scoreboard!M7</f>
        <v>162</v>
      </c>
      <c r="H8" s="11">
        <f t="shared" si="0"/>
        <v>261</v>
      </c>
      <c r="I8" s="11"/>
      <c r="J8" s="11">
        <f>Scoreboard!L27</f>
        <v>83</v>
      </c>
      <c r="K8" s="11">
        <f>Scoreboard!M27</f>
        <v>126</v>
      </c>
      <c r="L8" s="11">
        <f t="shared" si="1"/>
        <v>209</v>
      </c>
      <c r="N8" s="118">
        <f>COUNTIF(Dreamscore!D59:U60,0)</f>
        <v>2</v>
      </c>
      <c r="P8" s="202">
        <f>COUNTIF(Dreamscore!D59:U60,-1)</f>
        <v>0</v>
      </c>
      <c r="Q8" s="38">
        <f>Tabell1719[[#This Row],[Samla birdie]]*2</f>
        <v>0</v>
      </c>
      <c r="S8" s="40">
        <f>Tabell17[[#This Row],[Samla Par]]+Tabell1719[[#This Row],[Kolumn1]]</f>
        <v>2</v>
      </c>
      <c r="U8" s="209">
        <f>(Dreamscore!AE50+Dreamscore!AE50+Dreamscore!AE51)*36</f>
        <v>6.4444444444444438</v>
      </c>
      <c r="W8" s="210">
        <f>Tabell29[[#This Row],[Poäng]]-Tabell30[[#This Row],[Prognos]]</f>
        <v>-4.4444444444444438</v>
      </c>
    </row>
    <row r="9" spans="2:23" ht="15.75" thickBot="1" x14ac:dyDescent="0.3">
      <c r="B9" s="254">
        <f>L6+L14</f>
        <v>408</v>
      </c>
      <c r="C9" s="11" t="s">
        <v>10</v>
      </c>
      <c r="D9" s="11" t="s">
        <v>11</v>
      </c>
      <c r="E9" s="196">
        <v>3</v>
      </c>
      <c r="F9" s="11">
        <f>Scoreboard!L8</f>
        <v>100</v>
      </c>
      <c r="G9" s="11">
        <f>Scoreboard!M8</f>
        <v>162</v>
      </c>
      <c r="H9" s="11">
        <f t="shared" si="0"/>
        <v>262</v>
      </c>
      <c r="I9" s="11"/>
      <c r="J9" s="11">
        <f>Scoreboard!L28</f>
        <v>79</v>
      </c>
      <c r="K9" s="11">
        <f>Scoreboard!M28</f>
        <v>126</v>
      </c>
      <c r="L9" s="11">
        <f t="shared" si="1"/>
        <v>205</v>
      </c>
      <c r="N9" s="118">
        <f>COUNTIF(Dreamscore!D46:U47,0)</f>
        <v>2</v>
      </c>
      <c r="P9" s="202">
        <f>COUNTIF(Dreamscore!D46:U47,-1)</f>
        <v>0</v>
      </c>
      <c r="Q9" s="38">
        <f>Tabell1719[[#This Row],[Samla birdie]]*2</f>
        <v>0</v>
      </c>
      <c r="S9" s="40">
        <f>Tabell17[[#This Row],[Samla Par]]+Tabell1719[[#This Row],[Kolumn1]]</f>
        <v>2</v>
      </c>
      <c r="U9" s="209">
        <f>(Dreamscore!AE37+Dreamscore!AE37+Dreamscore!AE38)*36</f>
        <v>5.5555555555555554</v>
      </c>
      <c r="W9" s="210">
        <f>Tabell29[[#This Row],[Poäng]]-Tabell30[[#This Row],[Prognos]]</f>
        <v>-3.5555555555555554</v>
      </c>
    </row>
    <row r="10" spans="2:23" x14ac:dyDescent="0.25">
      <c r="C10" s="11" t="s">
        <v>6</v>
      </c>
      <c r="D10" s="11" t="s">
        <v>7</v>
      </c>
      <c r="E10" s="212">
        <v>5</v>
      </c>
      <c r="F10" s="11">
        <f>Scoreboard!L9</f>
        <v>124</v>
      </c>
      <c r="G10" s="11">
        <f>Scoreboard!M9</f>
        <v>162</v>
      </c>
      <c r="H10" s="11">
        <f t="shared" si="0"/>
        <v>286</v>
      </c>
      <c r="I10" s="11"/>
      <c r="J10" s="11">
        <f>Scoreboard!L29</f>
        <v>96</v>
      </c>
      <c r="K10" s="11">
        <f>Scoreboard!M29</f>
        <v>126</v>
      </c>
      <c r="L10" s="11">
        <f t="shared" si="1"/>
        <v>222</v>
      </c>
      <c r="N10" s="118">
        <f>COUNTIF(Dreamscore!D34:U35,0)</f>
        <v>2</v>
      </c>
      <c r="P10" s="202">
        <f>COUNTIF(Dreamscore!D34:U35,-1)</f>
        <v>0</v>
      </c>
      <c r="Q10" s="38">
        <f>Tabell1719[[#This Row],[Samla birdie]]*2</f>
        <v>0</v>
      </c>
      <c r="R10" s="193" t="s">
        <v>91</v>
      </c>
      <c r="S10" s="40">
        <f>Tabell17[[#This Row],[Samla Par]]+Tabell1719[[#This Row],[Kolumn1]]</f>
        <v>2</v>
      </c>
      <c r="U10" s="209">
        <f>(Dreamscore!AE25+Dreamscore!AE25+Dreamscore!AE26)*36</f>
        <v>3.7777777777777777</v>
      </c>
      <c r="W10" s="210">
        <f>Tabell29[[#This Row],[Poäng]]-Tabell30[[#This Row],[Prognos]]</f>
        <v>-1.7777777777777777</v>
      </c>
    </row>
    <row r="11" spans="2:23" x14ac:dyDescent="0.25">
      <c r="C11" s="11" t="s">
        <v>8</v>
      </c>
      <c r="D11" s="11" t="s">
        <v>9</v>
      </c>
      <c r="E11" s="11"/>
      <c r="F11" s="11">
        <f>Scoreboard!L10</f>
        <v>101</v>
      </c>
      <c r="G11" s="11">
        <f>Scoreboard!M10</f>
        <v>162</v>
      </c>
      <c r="H11" s="11">
        <f t="shared" si="0"/>
        <v>263</v>
      </c>
      <c r="I11" s="11"/>
      <c r="J11" s="11">
        <f>Scoreboard!L30</f>
        <v>80</v>
      </c>
      <c r="K11" s="11">
        <f>Scoreboard!M30</f>
        <v>126</v>
      </c>
      <c r="L11" s="11">
        <f t="shared" si="1"/>
        <v>206</v>
      </c>
      <c r="N11" s="118">
        <f>COUNTIF(Dreamscore!D71:U72,0)</f>
        <v>2</v>
      </c>
      <c r="P11" s="202">
        <f>COUNTIF(Dreamscore!D71:U72,-1)</f>
        <v>0</v>
      </c>
      <c r="Q11" s="38">
        <f>Tabell1719[[#This Row],[Samla birdie]]*2</f>
        <v>0</v>
      </c>
      <c r="S11" s="40">
        <f>Tabell17[[#This Row],[Samla Par]]+Tabell1719[[#This Row],[Kolumn1]]</f>
        <v>2</v>
      </c>
      <c r="U11" s="209">
        <f>(Dreamscore!AE62+Dreamscore!AE62+Dreamscore!AE63)*36</f>
        <v>6.0000000000000009</v>
      </c>
      <c r="W11" s="210">
        <f>Tabell29[[#This Row],[Poäng]]-Tabell30[[#This Row],[Prognos]]</f>
        <v>-4.0000000000000009</v>
      </c>
    </row>
    <row r="12" spans="2:23" x14ac:dyDescent="0.25">
      <c r="C12" s="11" t="s">
        <v>195</v>
      </c>
      <c r="D12" s="11" t="s">
        <v>13</v>
      </c>
      <c r="E12" s="11"/>
      <c r="F12" s="11">
        <f>Scoreboard!L11</f>
        <v>105</v>
      </c>
      <c r="G12" s="11">
        <f>Scoreboard!M11</f>
        <v>162</v>
      </c>
      <c r="H12" s="11">
        <f t="shared" si="0"/>
        <v>267</v>
      </c>
      <c r="I12" s="11"/>
      <c r="J12" s="11">
        <f>Scoreboard!L31</f>
        <v>81</v>
      </c>
      <c r="K12" s="11">
        <f>Scoreboard!M31</f>
        <v>126</v>
      </c>
      <c r="L12" s="11">
        <f t="shared" si="1"/>
        <v>207</v>
      </c>
      <c r="N12" s="118"/>
      <c r="P12" s="202"/>
      <c r="Q12" s="38"/>
      <c r="S12" s="40"/>
      <c r="U12" s="209"/>
      <c r="W12" s="210"/>
    </row>
    <row r="13" spans="2:23" x14ac:dyDescent="0.25">
      <c r="C13" s="11" t="s">
        <v>17</v>
      </c>
      <c r="D13" s="11" t="s">
        <v>18</v>
      </c>
      <c r="E13" s="197">
        <v>13</v>
      </c>
      <c r="F13" s="11">
        <f>Scoreboard!L12</f>
        <v>114</v>
      </c>
      <c r="G13" s="11">
        <f>Scoreboard!M12</f>
        <v>162</v>
      </c>
      <c r="H13" s="11">
        <f t="shared" si="0"/>
        <v>276</v>
      </c>
      <c r="I13" s="11"/>
      <c r="J13" s="11">
        <f>Scoreboard!L32</f>
        <v>84</v>
      </c>
      <c r="K13" s="11">
        <f>Scoreboard!M32</f>
        <v>126</v>
      </c>
      <c r="L13" s="11">
        <f t="shared" si="1"/>
        <v>210</v>
      </c>
      <c r="N13" s="118">
        <f>COUNTIF(Dreamscore!D131:U132,0)</f>
        <v>1</v>
      </c>
      <c r="P13" s="202">
        <f>COUNTIF(Dreamscore!D84:U85,-1)</f>
        <v>0</v>
      </c>
      <c r="Q13" s="38">
        <f>Tabell1719[[#This Row],[Samla birdie]]*2</f>
        <v>0</v>
      </c>
      <c r="S13" s="40">
        <f>Tabell17[[#This Row],[Samla Par]]+Tabell1719[[#This Row],[Kolumn1]]</f>
        <v>1</v>
      </c>
      <c r="U13" s="209">
        <f>(Dreamscore!AE122+Dreamscore!AE122+Dreamscore!AE123)*36</f>
        <v>2.8888888888888888</v>
      </c>
      <c r="W13" s="210">
        <f>Tabell29[[#This Row],[Poäng]]-Tabell30[[#This Row],[Prognos]]</f>
        <v>-1.8888888888888888</v>
      </c>
    </row>
    <row r="14" spans="2:23" x14ac:dyDescent="0.25">
      <c r="C14" s="11" t="s">
        <v>15</v>
      </c>
      <c r="D14" s="11" t="s">
        <v>16</v>
      </c>
      <c r="E14" s="195">
        <v>12</v>
      </c>
      <c r="F14" s="11">
        <f>Scoreboard!L13</f>
        <v>102</v>
      </c>
      <c r="G14" s="11">
        <f>Scoreboard!M13</f>
        <v>162</v>
      </c>
      <c r="H14" s="11">
        <f t="shared" si="0"/>
        <v>264</v>
      </c>
      <c r="I14" s="11"/>
      <c r="J14" s="11">
        <f>Scoreboard!L33</f>
        <v>76</v>
      </c>
      <c r="K14" s="11">
        <f>Scoreboard!M33</f>
        <v>126</v>
      </c>
      <c r="L14" s="11">
        <f t="shared" si="1"/>
        <v>202</v>
      </c>
      <c r="N14" s="118">
        <f>COUNTIF(Dreamscore!D84:U85,0)</f>
        <v>0</v>
      </c>
      <c r="P14" s="202">
        <f>COUNTIF(Dreamscore!D132:U133,-1)</f>
        <v>0</v>
      </c>
      <c r="Q14" s="38"/>
      <c r="S14" s="40">
        <f>Tabell17[[#This Row],[Samla Par]]+Tabell1719[[#This Row],[Kolumn1]]</f>
        <v>0</v>
      </c>
      <c r="U14" s="209">
        <f>(Dreamscore!AE74+Dreamscore!AE74+Dreamscore!AE75)*36</f>
        <v>4</v>
      </c>
      <c r="W14" s="210">
        <f>Tabell29[[#This Row],[Poäng]]-Tabell30[[#This Row],[Prognos]]</f>
        <v>-4</v>
      </c>
    </row>
    <row r="15" spans="2:23" x14ac:dyDescent="0.25">
      <c r="C15" s="11" t="s">
        <v>104</v>
      </c>
      <c r="D15" s="11" t="s">
        <v>105</v>
      </c>
      <c r="E15" s="196">
        <v>14</v>
      </c>
      <c r="F15" s="11">
        <f>Scoreboard!L14</f>
        <v>162</v>
      </c>
      <c r="G15" s="11">
        <f>Scoreboard!M14</f>
        <v>162</v>
      </c>
      <c r="H15" s="11">
        <f t="shared" si="0"/>
        <v>324</v>
      </c>
      <c r="I15" s="11"/>
      <c r="J15" s="11">
        <f>Scoreboard!L34</f>
        <v>126</v>
      </c>
      <c r="K15" s="11">
        <f>Scoreboard!M34</f>
        <v>126</v>
      </c>
      <c r="L15" s="11">
        <f t="shared" si="1"/>
        <v>252</v>
      </c>
      <c r="N15" s="118">
        <f>COUNTIF(Dreamscore!D179:U180,0)</f>
        <v>0</v>
      </c>
      <c r="P15" s="202">
        <f>COUNTIF(Dreamscore!D179:U180,-1)</f>
        <v>0</v>
      </c>
      <c r="Q15" s="38">
        <f>Tabell1719[[#This Row],[Samla birdie]]*2</f>
        <v>0</v>
      </c>
      <c r="S15" s="40">
        <f>Tabell17[[#This Row],[Samla Par]]+Tabell1719[[#This Row],[Kolumn1]]</f>
        <v>0</v>
      </c>
      <c r="U15" s="209">
        <f>(Dreamscore!AE170+Dreamscore!AE170+Dreamscore!AE171)*36</f>
        <v>4.5</v>
      </c>
      <c r="W15" s="210">
        <f>Tabell29[[#This Row],[Poäng]]-Tabell30[[#This Row],[Prognos]]</f>
        <v>-4.5</v>
      </c>
    </row>
    <row r="16" spans="2:23" x14ac:dyDescent="0.25">
      <c r="C16" s="11" t="s">
        <v>8</v>
      </c>
      <c r="D16" s="11" t="s">
        <v>19</v>
      </c>
      <c r="E16" s="211">
        <v>15</v>
      </c>
      <c r="F16" s="11">
        <f>Scoreboard!L15</f>
        <v>121</v>
      </c>
      <c r="G16" s="11">
        <f>Scoreboard!M15</f>
        <v>162</v>
      </c>
      <c r="H16" s="11">
        <f t="shared" si="0"/>
        <v>283</v>
      </c>
      <c r="I16" s="11"/>
      <c r="J16" s="11">
        <f>Scoreboard!L35</f>
        <v>88</v>
      </c>
      <c r="K16" s="11">
        <f>Scoreboard!M35</f>
        <v>126</v>
      </c>
      <c r="L16" s="11">
        <f t="shared" si="1"/>
        <v>214</v>
      </c>
      <c r="N16" s="118">
        <f>COUNTIF(Dreamscore!D143:U144,0)</f>
        <v>1</v>
      </c>
      <c r="P16" s="202">
        <f>COUNTIF(Dreamscore!D143:U144,-1)</f>
        <v>0</v>
      </c>
      <c r="Q16" s="38"/>
      <c r="S16" s="40">
        <f>Tabell17[[#This Row],[Samla Par]]+Tabell1719[[#This Row],[Kolumn1]]</f>
        <v>1</v>
      </c>
      <c r="U16" s="209">
        <f>(Dreamscore!AE134+Dreamscore!AE134+Dreamscore!AE135)*36</f>
        <v>1.75</v>
      </c>
      <c r="W16" s="210">
        <f>Tabell29[[#This Row],[Poäng]]-Tabell30[[#This Row],[Prognos]]</f>
        <v>-0.75</v>
      </c>
    </row>
    <row r="17" spans="3:23" x14ac:dyDescent="0.25">
      <c r="C17" s="11" t="s">
        <v>12</v>
      </c>
      <c r="D17" s="11" t="s">
        <v>13</v>
      </c>
      <c r="E17" s="212">
        <v>9</v>
      </c>
      <c r="F17" s="11">
        <f>Scoreboard!L16</f>
        <v>109</v>
      </c>
      <c r="G17" s="11">
        <f>Scoreboard!M16</f>
        <v>162</v>
      </c>
      <c r="H17" s="11">
        <f t="shared" si="0"/>
        <v>271</v>
      </c>
      <c r="I17" s="11"/>
      <c r="J17" s="11">
        <f>Scoreboard!L36</f>
        <v>82</v>
      </c>
      <c r="K17" s="11">
        <f>Scoreboard!M36</f>
        <v>126</v>
      </c>
      <c r="L17" s="11">
        <f t="shared" si="1"/>
        <v>208</v>
      </c>
      <c r="N17" s="118">
        <f>COUNTIF(Dreamscore!D95:U96,0)</f>
        <v>2</v>
      </c>
      <c r="P17" s="202">
        <f>COUNTIF(Dreamscore!D95:U96,-1)</f>
        <v>0</v>
      </c>
      <c r="Q17" s="38">
        <f>Tabell1719[[#This Row],[Samla birdie]]*2</f>
        <v>0</v>
      </c>
      <c r="S17" s="40">
        <f>Tabell17[[#This Row],[Samla Par]]+Tabell1719[[#This Row],[Kolumn1]]</f>
        <v>2</v>
      </c>
      <c r="U17" s="209">
        <f>(Dreamscore!AE86+Dreamscore!AE86+Dreamscore!AE87)*36</f>
        <v>4</v>
      </c>
      <c r="W17" s="210">
        <f>Tabell29[[#This Row],[Poäng]]-Tabell30[[#This Row],[Prognos]]</f>
        <v>-2</v>
      </c>
    </row>
    <row r="18" spans="3:23" x14ac:dyDescent="0.25">
      <c r="C18" s="11" t="s">
        <v>113</v>
      </c>
      <c r="D18" s="11" t="s">
        <v>114</v>
      </c>
      <c r="E18" s="11"/>
      <c r="F18" s="11">
        <f>Scoreboard!L17</f>
        <v>99</v>
      </c>
      <c r="G18" s="11">
        <f>Scoreboard!M17</f>
        <v>162</v>
      </c>
      <c r="H18" s="11">
        <f t="shared" si="0"/>
        <v>261</v>
      </c>
      <c r="I18" s="11"/>
      <c r="J18" s="11">
        <f>Scoreboard!L37</f>
        <v>80</v>
      </c>
      <c r="K18" s="11">
        <f>Scoreboard!M37</f>
        <v>126</v>
      </c>
      <c r="L18" s="11">
        <f t="shared" si="1"/>
        <v>206</v>
      </c>
      <c r="N18" s="118">
        <f>COUNTIF(Dreamscore!D191:U192,0)</f>
        <v>4</v>
      </c>
      <c r="P18" s="202">
        <f>COUNTIF(Dreamscore!D191:U192,-1)</f>
        <v>0</v>
      </c>
      <c r="Q18" s="38">
        <f>Tabell1719[[#This Row],[Samla birdie]]*2</f>
        <v>0</v>
      </c>
      <c r="S18" s="40">
        <f>Tabell17[[#This Row],[Samla Par]]+Tabell1719[[#This Row],[Kolumn1]]</f>
        <v>4</v>
      </c>
      <c r="U18" s="209">
        <f>(Dreamscore!AE182+Dreamscore!AE182+Dreamscore!AE183)*36</f>
        <v>8</v>
      </c>
      <c r="W18" s="210">
        <f>Tabell29[[#This Row],[Poäng]]-Tabell30[[#This Row],[Prognos]]</f>
        <v>-4</v>
      </c>
    </row>
    <row r="19" spans="3:23" x14ac:dyDescent="0.25">
      <c r="C19" s="11" t="s">
        <v>108</v>
      </c>
      <c r="D19" s="11" t="s">
        <v>109</v>
      </c>
      <c r="E19" s="11"/>
      <c r="F19" s="11">
        <f>Scoreboard!L18</f>
        <v>98</v>
      </c>
      <c r="G19" s="11">
        <f>Scoreboard!M18</f>
        <v>162</v>
      </c>
      <c r="H19" s="11">
        <f t="shared" si="0"/>
        <v>260</v>
      </c>
      <c r="I19" s="11"/>
      <c r="J19" s="11">
        <f>Scoreboard!L38</f>
        <v>80</v>
      </c>
      <c r="K19" s="11">
        <f>Scoreboard!M38</f>
        <v>126</v>
      </c>
      <c r="L19" s="11">
        <f t="shared" si="1"/>
        <v>206</v>
      </c>
      <c r="N19" s="118"/>
      <c r="P19" s="202"/>
      <c r="Q19" s="38"/>
      <c r="S19" s="40"/>
      <c r="U19" s="209"/>
      <c r="W19" s="210"/>
    </row>
    <row r="20" spans="3:23" x14ac:dyDescent="0.25">
      <c r="C20" s="11" t="s">
        <v>142</v>
      </c>
      <c r="D20" s="11" t="s">
        <v>159</v>
      </c>
      <c r="E20" s="211">
        <v>11</v>
      </c>
      <c r="F20" s="11">
        <f>Scoreboard!L11</f>
        <v>105</v>
      </c>
      <c r="G20" s="11">
        <f>Scoreboard!M11</f>
        <v>162</v>
      </c>
      <c r="H20" s="11">
        <f>F20+G20</f>
        <v>267</v>
      </c>
      <c r="I20" s="11"/>
      <c r="J20" s="11">
        <f>Scoreboard!L31</f>
        <v>81</v>
      </c>
      <c r="K20" s="11">
        <f>Scoreboard!M31</f>
        <v>126</v>
      </c>
      <c r="L20" s="11">
        <f>J20+K20</f>
        <v>207</v>
      </c>
      <c r="N20" s="118">
        <f>COUNTIF(Dreamscore!D214:U215,0)</f>
        <v>2</v>
      </c>
      <c r="P20" s="202">
        <f>COUNTIF(Dreamscore!D214:U215,-1)</f>
        <v>0</v>
      </c>
      <c r="Q20" s="39">
        <f>Tabell1719[[#This Row],[Samla birdie]]*2</f>
        <v>0</v>
      </c>
      <c r="S20" s="40">
        <f>Tabell17[[#This Row],[Samla Par]]+Tabell1719[[#This Row],[Kolumn1]]</f>
        <v>2</v>
      </c>
      <c r="U20" s="209">
        <f>(Dreamscore!AE205+Dreamscore!AE205+Dreamscore!AE206)*36</f>
        <v>3.75</v>
      </c>
      <c r="W20" s="210">
        <f>Tabell29[[#This Row],[Poäng]]-Tabell30[[#This Row],[Prognos]]</f>
        <v>-1.75</v>
      </c>
    </row>
    <row r="21" spans="3:23" ht="15.75" thickBot="1" x14ac:dyDescent="0.3"/>
    <row r="22" spans="3:23" ht="15.75" thickBot="1" x14ac:dyDescent="0.3">
      <c r="F22" s="203">
        <f>AVERAGE(F5,F6,F7,F8,F9,F10,F11,F13,F15,F17,F18,F20)</f>
        <v>108.75</v>
      </c>
      <c r="G22" s="204">
        <f>AVERAGE(G5,G6,G7,G8,G9,G10,G11,G13,G15,G17,G18,G20)</f>
        <v>162</v>
      </c>
      <c r="H22" s="205">
        <f>AVERAGE(H5,H6,H7,H9,H10,H13,H14,H15,H16,H17,H20)</f>
        <v>273.72727272727275</v>
      </c>
      <c r="I22" s="206"/>
      <c r="J22" s="203">
        <f t="shared" ref="J22:P22" si="2">AVERAGE(J5,J6,J7,J8,J9,J10,J11,J13,J15,J17,J18,J20)</f>
        <v>85.666666666666671</v>
      </c>
      <c r="K22" s="204">
        <f t="shared" si="2"/>
        <v>126</v>
      </c>
      <c r="L22" s="205">
        <f>AVERAGE(L5,L6,L7,L9,L10,L13,L14,L15,L16,L17,L20)</f>
        <v>212.27272727272728</v>
      </c>
      <c r="M22" s="206"/>
      <c r="N22" s="207">
        <f t="shared" si="2"/>
        <v>2.5833333333333335</v>
      </c>
      <c r="O22" s="206"/>
      <c r="P22" s="207">
        <f t="shared" si="2"/>
        <v>0</v>
      </c>
      <c r="Q22" s="206"/>
      <c r="R22" s="206"/>
      <c r="S22" s="207">
        <f>AVERAGE(S5,S6,S7,S8,S9,S10,S11,S13,S15,S17,S18,S20)</f>
        <v>2.5833333333333335</v>
      </c>
      <c r="U22" s="207">
        <f>AVERAGE(U5,U6,U7,U8,U9,U10,U11,U13,U15,U17,U18,U20)</f>
        <v>5.8390151515151514</v>
      </c>
      <c r="W22" s="207">
        <f>AVERAGE(W5,W6,W7,W8,W9,W10,W11,W13,W15,W17,W18,W20)</f>
        <v>-3.2556818181818179</v>
      </c>
    </row>
    <row r="25" spans="3:23" x14ac:dyDescent="0.25">
      <c r="N25" s="193" t="s">
        <v>91</v>
      </c>
    </row>
    <row r="27" spans="3:23" x14ac:dyDescent="0.25">
      <c r="N27" s="193" t="s">
        <v>91</v>
      </c>
    </row>
  </sheetData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N27"/>
  <sheetViews>
    <sheetView topLeftCell="B1" workbookViewId="0">
      <selection activeCell="K23" sqref="K23"/>
    </sheetView>
  </sheetViews>
  <sheetFormatPr defaultColWidth="8.85546875" defaultRowHeight="15" x14ac:dyDescent="0.25"/>
  <cols>
    <col min="1" max="1" width="8.85546875" style="3"/>
    <col min="2" max="2" width="7.42578125" style="3" bestFit="1" customWidth="1"/>
    <col min="3" max="3" width="11.7109375" style="3" bestFit="1" customWidth="1"/>
    <col min="4" max="5" width="11" style="16" customWidth="1"/>
    <col min="6" max="6" width="11" style="46" customWidth="1"/>
    <col min="7" max="8" width="8.85546875" style="3"/>
    <col min="9" max="9" width="11.7109375" style="3" bestFit="1" customWidth="1"/>
    <col min="10" max="10" width="8.85546875" style="3"/>
    <col min="11" max="11" width="11.42578125" style="3" bestFit="1" customWidth="1"/>
    <col min="12" max="13" width="8.85546875" style="3"/>
    <col min="14" max="14" width="7.42578125" style="3" customWidth="1"/>
    <col min="15" max="16384" width="8.85546875" style="3"/>
  </cols>
  <sheetData>
    <row r="2" spans="2:14" x14ac:dyDescent="0.25">
      <c r="F2" s="46" t="s">
        <v>91</v>
      </c>
    </row>
    <row r="3" spans="2:14" ht="15.75" thickBot="1" x14ac:dyDescent="0.3">
      <c r="B3" s="15" t="s">
        <v>20</v>
      </c>
      <c r="C3" s="15" t="s">
        <v>21</v>
      </c>
      <c r="D3" s="40" t="s">
        <v>37</v>
      </c>
      <c r="E3" s="40" t="s">
        <v>38</v>
      </c>
      <c r="F3" s="47" t="s">
        <v>39</v>
      </c>
      <c r="H3" s="15" t="s">
        <v>20</v>
      </c>
      <c r="I3" s="15" t="s">
        <v>21</v>
      </c>
      <c r="J3" s="40" t="s">
        <v>40</v>
      </c>
      <c r="K3" s="40" t="s">
        <v>41</v>
      </c>
      <c r="L3" s="47" t="s">
        <v>39</v>
      </c>
      <c r="N3" s="11" t="s">
        <v>98</v>
      </c>
    </row>
    <row r="4" spans="2:14" ht="15.75" thickBot="1" x14ac:dyDescent="0.3">
      <c r="B4" s="32" t="s">
        <v>6</v>
      </c>
      <c r="C4" s="33" t="s">
        <v>7</v>
      </c>
      <c r="D4" s="48">
        <v>74</v>
      </c>
      <c r="E4" s="43">
        <f>Scoreboard!AC9</f>
        <v>3</v>
      </c>
      <c r="F4" s="79">
        <f t="shared" ref="F4:F17" si="0">D4+E4</f>
        <v>77</v>
      </c>
      <c r="H4" s="32" t="s">
        <v>0</v>
      </c>
      <c r="I4" s="33" t="s">
        <v>1</v>
      </c>
      <c r="J4" s="48">
        <v>43</v>
      </c>
      <c r="K4" s="43">
        <f>Scoreboard!AC25</f>
        <v>4</v>
      </c>
      <c r="L4" s="48">
        <f t="shared" ref="L4:L17" si="1">J4+K4</f>
        <v>47</v>
      </c>
      <c r="N4" s="40">
        <v>0</v>
      </c>
    </row>
    <row r="5" spans="2:14" ht="15.75" thickBot="1" x14ac:dyDescent="0.3">
      <c r="B5" s="13" t="s">
        <v>10</v>
      </c>
      <c r="C5" s="14" t="s">
        <v>11</v>
      </c>
      <c r="D5" s="49">
        <v>27</v>
      </c>
      <c r="E5" s="43">
        <f>Scoreboard!AC8</f>
        <v>2</v>
      </c>
      <c r="F5" s="80">
        <f t="shared" si="0"/>
        <v>29</v>
      </c>
      <c r="H5" s="4" t="s">
        <v>2</v>
      </c>
      <c r="I5" s="5" t="s">
        <v>159</v>
      </c>
      <c r="J5" s="49">
        <v>3</v>
      </c>
      <c r="K5" s="43">
        <f>Scoreboard!AC31</f>
        <v>0</v>
      </c>
      <c r="L5" s="49">
        <f t="shared" si="1"/>
        <v>3</v>
      </c>
      <c r="N5" s="40">
        <v>0</v>
      </c>
    </row>
    <row r="6" spans="2:14" ht="15.75" thickBot="1" x14ac:dyDescent="0.3">
      <c r="B6" s="13" t="s">
        <v>14</v>
      </c>
      <c r="C6" s="14" t="s">
        <v>13</v>
      </c>
      <c r="D6" s="49">
        <v>33</v>
      </c>
      <c r="E6" s="43">
        <f>Scoreboard!AC7</f>
        <v>1</v>
      </c>
      <c r="F6" s="80">
        <f t="shared" si="0"/>
        <v>34</v>
      </c>
      <c r="H6" s="13" t="s">
        <v>14</v>
      </c>
      <c r="I6" s="14" t="s">
        <v>13</v>
      </c>
      <c r="J6" s="49">
        <v>12</v>
      </c>
      <c r="K6" s="43">
        <f>Scoreboard!AC27</f>
        <v>2</v>
      </c>
      <c r="L6" s="49">
        <f t="shared" si="1"/>
        <v>14</v>
      </c>
      <c r="N6" s="40">
        <v>0</v>
      </c>
    </row>
    <row r="7" spans="2:14" ht="15.75" thickBot="1" x14ac:dyDescent="0.3">
      <c r="B7" s="13" t="s">
        <v>8</v>
      </c>
      <c r="C7" s="14" t="s">
        <v>9</v>
      </c>
      <c r="D7" s="49">
        <v>31</v>
      </c>
      <c r="E7" s="43">
        <f>Scoreboard!AC10</f>
        <v>1</v>
      </c>
      <c r="F7" s="80">
        <f t="shared" si="0"/>
        <v>32</v>
      </c>
      <c r="H7" s="13" t="s">
        <v>8</v>
      </c>
      <c r="I7" s="14" t="s">
        <v>9</v>
      </c>
      <c r="J7" s="49">
        <v>18</v>
      </c>
      <c r="K7" s="43">
        <f>Scoreboard!AC30</f>
        <v>1</v>
      </c>
      <c r="L7" s="49">
        <f t="shared" si="1"/>
        <v>19</v>
      </c>
      <c r="N7" s="40">
        <v>0</v>
      </c>
    </row>
    <row r="8" spans="2:14" ht="15.75" thickBot="1" x14ac:dyDescent="0.3">
      <c r="B8" s="13" t="s">
        <v>15</v>
      </c>
      <c r="C8" s="14" t="s">
        <v>16</v>
      </c>
      <c r="D8" s="49">
        <v>47</v>
      </c>
      <c r="E8" s="43">
        <f>Scoreboard!AC13</f>
        <v>2</v>
      </c>
      <c r="F8" s="80">
        <f t="shared" si="0"/>
        <v>49</v>
      </c>
      <c r="H8" s="13" t="s">
        <v>17</v>
      </c>
      <c r="I8" s="14" t="s">
        <v>18</v>
      </c>
      <c r="J8" s="49">
        <v>8</v>
      </c>
      <c r="K8" s="43">
        <f>Scoreboard!AC32</f>
        <v>0</v>
      </c>
      <c r="L8" s="49">
        <f t="shared" si="1"/>
        <v>8</v>
      </c>
      <c r="N8" s="40">
        <v>0</v>
      </c>
    </row>
    <row r="9" spans="2:14" ht="15.75" thickBot="1" x14ac:dyDescent="0.3">
      <c r="B9" s="13" t="s">
        <v>12</v>
      </c>
      <c r="C9" s="14" t="s">
        <v>13</v>
      </c>
      <c r="D9" s="49">
        <v>94</v>
      </c>
      <c r="E9" s="43">
        <f>Scoreboard!AC16</f>
        <v>1</v>
      </c>
      <c r="F9" s="80">
        <f t="shared" si="0"/>
        <v>95</v>
      </c>
      <c r="H9" s="13" t="s">
        <v>15</v>
      </c>
      <c r="I9" s="14" t="s">
        <v>16</v>
      </c>
      <c r="J9" s="49">
        <v>20</v>
      </c>
      <c r="K9" s="43">
        <f>Scoreboard!AC33</f>
        <v>1</v>
      </c>
      <c r="L9" s="49">
        <f t="shared" si="1"/>
        <v>21</v>
      </c>
      <c r="N9" s="40">
        <v>0</v>
      </c>
    </row>
    <row r="10" spans="2:14" ht="15.75" thickBot="1" x14ac:dyDescent="0.3">
      <c r="B10" s="13" t="s">
        <v>0</v>
      </c>
      <c r="C10" s="14" t="s">
        <v>1</v>
      </c>
      <c r="D10" s="49">
        <v>6</v>
      </c>
      <c r="E10" s="43">
        <f>Scoreboard!AC5</f>
        <v>1</v>
      </c>
      <c r="F10" s="80">
        <f t="shared" si="0"/>
        <v>7</v>
      </c>
      <c r="H10" s="13" t="s">
        <v>2</v>
      </c>
      <c r="I10" s="14" t="s">
        <v>3</v>
      </c>
      <c r="J10" s="49">
        <v>48</v>
      </c>
      <c r="K10" s="43">
        <f>Scoreboard!AC24</f>
        <v>4</v>
      </c>
      <c r="L10" s="49">
        <f t="shared" si="1"/>
        <v>52</v>
      </c>
      <c r="N10" s="40">
        <v>0</v>
      </c>
    </row>
    <row r="11" spans="2:14" ht="15.75" thickBot="1" x14ac:dyDescent="0.3">
      <c r="B11" s="13" t="s">
        <v>4</v>
      </c>
      <c r="C11" s="14" t="s">
        <v>5</v>
      </c>
      <c r="D11" s="49">
        <v>38</v>
      </c>
      <c r="E11" s="43">
        <f>Scoreboard!AC6</f>
        <v>1</v>
      </c>
      <c r="F11" s="80">
        <f t="shared" si="0"/>
        <v>39</v>
      </c>
      <c r="H11" s="13" t="s">
        <v>4</v>
      </c>
      <c r="I11" s="14" t="s">
        <v>5</v>
      </c>
      <c r="J11" s="49">
        <v>15</v>
      </c>
      <c r="K11" s="43">
        <f>Scoreboard!AC26</f>
        <v>0</v>
      </c>
      <c r="L11" s="49">
        <f t="shared" si="1"/>
        <v>15</v>
      </c>
      <c r="N11" s="40">
        <v>0</v>
      </c>
    </row>
    <row r="12" spans="2:14" ht="15.75" thickBot="1" x14ac:dyDescent="0.3">
      <c r="B12" s="13" t="s">
        <v>17</v>
      </c>
      <c r="C12" s="14" t="s">
        <v>18</v>
      </c>
      <c r="D12" s="49">
        <v>39</v>
      </c>
      <c r="E12" s="43">
        <f>Tabell11[[#This Row],[Öl]]</f>
        <v>6</v>
      </c>
      <c r="F12" s="80">
        <f t="shared" si="0"/>
        <v>45</v>
      </c>
      <c r="H12" s="13" t="s">
        <v>10</v>
      </c>
      <c r="I12" s="14" t="s">
        <v>11</v>
      </c>
      <c r="J12" s="49">
        <v>26</v>
      </c>
      <c r="K12" s="43">
        <f>Scoreboard!AC28</f>
        <v>2</v>
      </c>
      <c r="L12" s="49">
        <f t="shared" si="1"/>
        <v>28</v>
      </c>
      <c r="N12" s="40">
        <v>0</v>
      </c>
    </row>
    <row r="13" spans="2:14" ht="15.75" thickBot="1" x14ac:dyDescent="0.3">
      <c r="B13" s="13" t="s">
        <v>8</v>
      </c>
      <c r="C13" s="14" t="s">
        <v>19</v>
      </c>
      <c r="D13" s="49">
        <v>47</v>
      </c>
      <c r="E13" s="43">
        <f>Scoreboard!AC15</f>
        <v>5</v>
      </c>
      <c r="F13" s="80">
        <f t="shared" si="0"/>
        <v>52</v>
      </c>
      <c r="H13" s="13" t="s">
        <v>6</v>
      </c>
      <c r="I13" s="14" t="s">
        <v>7</v>
      </c>
      <c r="J13" s="49">
        <v>8</v>
      </c>
      <c r="K13" s="43">
        <f>Scoreboard!AC29</f>
        <v>1</v>
      </c>
      <c r="L13" s="49">
        <f t="shared" si="1"/>
        <v>9</v>
      </c>
      <c r="N13" s="40">
        <v>0</v>
      </c>
    </row>
    <row r="14" spans="2:14" ht="15.75" thickBot="1" x14ac:dyDescent="0.3">
      <c r="B14" s="4" t="s">
        <v>113</v>
      </c>
      <c r="C14" s="5" t="s">
        <v>114</v>
      </c>
      <c r="D14" s="49">
        <v>34</v>
      </c>
      <c r="E14" s="43">
        <f>Scoreboard!AC17</f>
        <v>1</v>
      </c>
      <c r="F14" s="80">
        <f t="shared" si="0"/>
        <v>35</v>
      </c>
      <c r="H14" s="4" t="s">
        <v>106</v>
      </c>
      <c r="I14" s="5" t="s">
        <v>105</v>
      </c>
      <c r="J14" s="49">
        <v>9</v>
      </c>
      <c r="K14" s="43">
        <f>Scoreboard!AC34</f>
        <v>0</v>
      </c>
      <c r="L14" s="49">
        <f t="shared" si="1"/>
        <v>9</v>
      </c>
      <c r="N14" s="40">
        <v>0</v>
      </c>
    </row>
    <row r="15" spans="2:14" ht="15.75" thickBot="1" x14ac:dyDescent="0.3">
      <c r="B15" s="13" t="s">
        <v>2</v>
      </c>
      <c r="C15" s="14" t="s">
        <v>3</v>
      </c>
      <c r="D15" s="49">
        <v>15</v>
      </c>
      <c r="E15" s="43">
        <f>Scoreboard!AC4</f>
        <v>0</v>
      </c>
      <c r="F15" s="80">
        <f t="shared" si="0"/>
        <v>15</v>
      </c>
      <c r="H15" s="13" t="s">
        <v>8</v>
      </c>
      <c r="I15" s="14" t="s">
        <v>19</v>
      </c>
      <c r="J15" s="49">
        <v>6</v>
      </c>
      <c r="K15" s="43">
        <f>Scoreboard!AC35</f>
        <v>0</v>
      </c>
      <c r="L15" s="49">
        <f t="shared" si="1"/>
        <v>6</v>
      </c>
      <c r="N15" s="40">
        <v>0</v>
      </c>
    </row>
    <row r="16" spans="2:14" ht="15.75" thickBot="1" x14ac:dyDescent="0.3">
      <c r="B16" s="4" t="s">
        <v>142</v>
      </c>
      <c r="C16" s="5" t="s">
        <v>159</v>
      </c>
      <c r="D16" s="49">
        <v>6</v>
      </c>
      <c r="E16" s="43">
        <f>Scoreboard!AC11</f>
        <v>2</v>
      </c>
      <c r="F16" s="80">
        <f t="shared" si="0"/>
        <v>8</v>
      </c>
      <c r="H16" s="13" t="s">
        <v>12</v>
      </c>
      <c r="I16" s="14" t="s">
        <v>13</v>
      </c>
      <c r="J16" s="49">
        <v>5</v>
      </c>
      <c r="K16" s="43">
        <f>Scoreboard!AC36</f>
        <v>0</v>
      </c>
      <c r="L16" s="49">
        <f t="shared" si="1"/>
        <v>5</v>
      </c>
      <c r="N16" s="40">
        <v>0</v>
      </c>
    </row>
    <row r="17" spans="2:14" x14ac:dyDescent="0.25">
      <c r="B17" s="6" t="s">
        <v>129</v>
      </c>
      <c r="C17" s="7" t="s">
        <v>105</v>
      </c>
      <c r="D17" s="50">
        <v>2</v>
      </c>
      <c r="E17" s="43">
        <f>Scoreboard!AC14</f>
        <v>1</v>
      </c>
      <c r="F17" s="81">
        <f t="shared" si="0"/>
        <v>3</v>
      </c>
      <c r="H17" s="6" t="s">
        <v>113</v>
      </c>
      <c r="I17" s="7" t="s">
        <v>114</v>
      </c>
      <c r="J17" s="50">
        <v>17</v>
      </c>
      <c r="K17" s="43">
        <f>Scoreboard!AC37</f>
        <v>4</v>
      </c>
      <c r="L17" s="50">
        <f t="shared" si="1"/>
        <v>21</v>
      </c>
      <c r="N17" s="40">
        <v>0</v>
      </c>
    </row>
    <row r="18" spans="2:14" ht="15.75" thickBot="1" x14ac:dyDescent="0.3">
      <c r="B18" s="165" t="s">
        <v>108</v>
      </c>
      <c r="C18" s="166" t="s">
        <v>109</v>
      </c>
      <c r="D18" s="167">
        <v>8</v>
      </c>
      <c r="E18" s="168">
        <f>Tabell11[[#This Row],[Öl]]</f>
        <v>1</v>
      </c>
      <c r="F18" s="80">
        <f>D18+E18</f>
        <v>9</v>
      </c>
      <c r="H18" s="165" t="s">
        <v>111</v>
      </c>
      <c r="I18" s="166" t="s">
        <v>109</v>
      </c>
      <c r="J18" s="167">
        <v>20</v>
      </c>
      <c r="K18" s="168">
        <f>Scoreboard!AC38</f>
        <v>3</v>
      </c>
      <c r="L18" s="49">
        <f>J18+K18</f>
        <v>23</v>
      </c>
    </row>
    <row r="19" spans="2:14" x14ac:dyDescent="0.25">
      <c r="B19" s="4" t="s">
        <v>195</v>
      </c>
      <c r="C19" s="5" t="s">
        <v>13</v>
      </c>
      <c r="D19" s="49">
        <v>0</v>
      </c>
      <c r="E19" s="168" t="str">
        <f>Tabell11[[#Totals],[Öl]]</f>
        <v>6</v>
      </c>
      <c r="F19" s="80">
        <f>D19+E19</f>
        <v>6</v>
      </c>
      <c r="H19" s="4" t="s">
        <v>195</v>
      </c>
      <c r="I19" s="5" t="s">
        <v>13</v>
      </c>
      <c r="J19" s="49">
        <v>0</v>
      </c>
      <c r="K19" s="43">
        <f>Scoreboard!AC39</f>
        <v>0</v>
      </c>
      <c r="L19" s="49">
        <f>J19+K19</f>
        <v>0</v>
      </c>
    </row>
    <row r="20" spans="2:14" ht="15.75" thickBot="1" x14ac:dyDescent="0.3">
      <c r="B20" s="4" t="s">
        <v>115</v>
      </c>
      <c r="C20" s="5"/>
      <c r="D20" s="49">
        <v>129</v>
      </c>
      <c r="E20" s="168">
        <v>0</v>
      </c>
      <c r="F20" s="80">
        <f>D20+E20</f>
        <v>129</v>
      </c>
      <c r="H20" s="4" t="s">
        <v>115</v>
      </c>
      <c r="I20" s="5"/>
      <c r="J20" s="49">
        <v>73</v>
      </c>
      <c r="K20" s="72">
        <v>0</v>
      </c>
      <c r="L20" s="49">
        <f>J20+K20</f>
        <v>73</v>
      </c>
    </row>
    <row r="21" spans="2:14" ht="15.75" thickBot="1" x14ac:dyDescent="0.3">
      <c r="B21" s="181"/>
      <c r="C21" s="182"/>
      <c r="D21" s="123">
        <f>SUM(D4:D20)</f>
        <v>630</v>
      </c>
      <c r="E21" s="124">
        <f>E4+E5+E6+E7+E8+E9+E10+E11+E12+E13+E14+E15+E16+E17+E18+E19+E20</f>
        <v>34</v>
      </c>
      <c r="F21" s="183">
        <f>SUM(F4:F20)</f>
        <v>664</v>
      </c>
      <c r="H21" s="178"/>
      <c r="I21" s="179"/>
      <c r="J21" s="45">
        <f>SUM(J4:J20)</f>
        <v>331</v>
      </c>
      <c r="K21" s="45">
        <f>SUM(K4:K20)</f>
        <v>22</v>
      </c>
      <c r="L21" s="180">
        <f>(L4+L5+L6+L7+L8+L9+L10+L11+L12+L13+L14+L15+L16+L17+L18+J20)</f>
        <v>353</v>
      </c>
    </row>
    <row r="22" spans="2:14" ht="15.75" thickBot="1" x14ac:dyDescent="0.3">
      <c r="D22" s="122">
        <f>(Tabell21[[#Totals],[Öl tid]])*20</f>
        <v>12600</v>
      </c>
      <c r="E22" s="122">
        <f>(Tabell21[[#Totals],[Öl i år]])*20</f>
        <v>680</v>
      </c>
    </row>
    <row r="24" spans="2:14" x14ac:dyDescent="0.25">
      <c r="G24" s="3" t="s">
        <v>91</v>
      </c>
    </row>
    <row r="25" spans="2:14" x14ac:dyDescent="0.25">
      <c r="F25" s="46" t="s">
        <v>91</v>
      </c>
    </row>
    <row r="27" spans="2:14" x14ac:dyDescent="0.25">
      <c r="I27" s="3" t="s">
        <v>91</v>
      </c>
    </row>
  </sheetData>
  <conditionalFormatting sqref="N4:N17">
    <cfRule type="iconSet" priority="1">
      <iconSet>
        <cfvo type="percent" val="0"/>
        <cfvo type="num" val="0"/>
        <cfvo type="num" val="300"/>
      </iconSet>
    </cfRule>
    <cfRule type="iconSet" priority="2">
      <iconSet>
        <cfvo type="percent" val="0"/>
        <cfvo type="num" val="-1"/>
        <cfvo type="num" val="300"/>
      </iconSet>
    </cfRule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B4:C20">
    <cfRule type="dataBar" priority="684">
      <dataBar>
        <cfvo type="min"/>
        <cfvo type="max"/>
        <color rgb="FFD6007B"/>
      </dataBar>
    </cfRule>
    <cfRule type="colorScale" priority="6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H4:I20">
    <cfRule type="dataBar" priority="686">
      <dataBar>
        <cfvo type="min"/>
        <cfvo type="max"/>
        <color rgb="FFD6007B"/>
      </dataBar>
    </cfRule>
    <cfRule type="colorScale" priority="68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landscape" horizontalDpi="429496729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2:P35"/>
  <sheetViews>
    <sheetView workbookViewId="0">
      <selection activeCell="K24" sqref="K24"/>
    </sheetView>
  </sheetViews>
  <sheetFormatPr defaultColWidth="8.85546875" defaultRowHeight="15" x14ac:dyDescent="0.25"/>
  <cols>
    <col min="1" max="1" width="8.85546875" style="3"/>
    <col min="2" max="2" width="11" style="3" customWidth="1"/>
    <col min="3" max="3" width="11.7109375" style="3" bestFit="1" customWidth="1"/>
    <col min="4" max="4" width="11.5703125" style="16" bestFit="1" customWidth="1"/>
    <col min="5" max="5" width="11" style="16" customWidth="1"/>
    <col min="6" max="6" width="11" style="46" customWidth="1"/>
    <col min="7" max="8" width="8.85546875" style="3"/>
    <col min="9" max="9" width="11.7109375" style="3" bestFit="1" customWidth="1"/>
    <col min="10" max="16384" width="8.85546875" style="3"/>
  </cols>
  <sheetData>
    <row r="2" spans="2:16" ht="15.75" thickBot="1" x14ac:dyDescent="0.3"/>
    <row r="3" spans="2:16" ht="15.75" thickBot="1" x14ac:dyDescent="0.3">
      <c r="B3" s="145" t="s">
        <v>20</v>
      </c>
      <c r="C3" s="145" t="s">
        <v>21</v>
      </c>
      <c r="D3" s="41" t="s">
        <v>42</v>
      </c>
      <c r="E3" s="54" t="s">
        <v>43</v>
      </c>
      <c r="F3" s="55" t="s">
        <v>36</v>
      </c>
      <c r="H3" s="145" t="s">
        <v>20</v>
      </c>
      <c r="I3" s="145" t="s">
        <v>21</v>
      </c>
      <c r="J3" s="41" t="s">
        <v>42</v>
      </c>
      <c r="K3" s="54" t="s">
        <v>43</v>
      </c>
      <c r="L3" s="55" t="s">
        <v>36</v>
      </c>
      <c r="M3" s="355"/>
      <c r="N3" s="355"/>
      <c r="O3" s="355"/>
      <c r="P3" s="53"/>
    </row>
    <row r="4" spans="2:16" ht="15.75" thickBot="1" x14ac:dyDescent="0.3">
      <c r="B4" s="141" t="s">
        <v>2</v>
      </c>
      <c r="C4" s="142" t="s">
        <v>3</v>
      </c>
      <c r="D4" s="137">
        <f>SMALL(Scoreboard!$D4:$M4,1)</f>
        <v>81</v>
      </c>
      <c r="E4" s="149">
        <v>80</v>
      </c>
      <c r="F4" s="138">
        <f>Tabell23[[#This Row],[I år]]-E4</f>
        <v>1</v>
      </c>
      <c r="H4" s="154" t="s">
        <v>2</v>
      </c>
      <c r="I4" s="155" t="s">
        <v>3</v>
      </c>
      <c r="J4" s="43">
        <f>MIN(Scoreboard!D24:M24)</f>
        <v>67</v>
      </c>
      <c r="K4" s="156">
        <v>61</v>
      </c>
      <c r="L4" s="157">
        <f>Tabell2326[[#This Row],[I år]]-K4</f>
        <v>6</v>
      </c>
      <c r="M4" s="52"/>
      <c r="N4" s="51"/>
      <c r="O4" s="51"/>
      <c r="P4" s="52"/>
    </row>
    <row r="5" spans="2:16" ht="15.75" thickBot="1" x14ac:dyDescent="0.3">
      <c r="B5" s="143" t="s">
        <v>0</v>
      </c>
      <c r="C5" s="144" t="s">
        <v>1</v>
      </c>
      <c r="D5" s="42">
        <f>SMALL(Scoreboard!$D5:$M5,1)</f>
        <v>88</v>
      </c>
      <c r="E5" s="31">
        <v>81</v>
      </c>
      <c r="F5" s="147">
        <f>Tabell23[[#This Row],[I år]]-E5</f>
        <v>7</v>
      </c>
      <c r="H5" s="158" t="s">
        <v>0</v>
      </c>
      <c r="I5" s="151" t="s">
        <v>1</v>
      </c>
      <c r="J5" s="44">
        <f>MIN(Scoreboard!D25:M25)</f>
        <v>69</v>
      </c>
      <c r="K5" s="75">
        <v>67</v>
      </c>
      <c r="L5" s="56">
        <f>Tabell2326[[#This Row],[I år]]-K5</f>
        <v>2</v>
      </c>
      <c r="M5" s="52"/>
      <c r="N5" s="51"/>
      <c r="O5" s="51"/>
      <c r="P5" s="52"/>
    </row>
    <row r="6" spans="2:16" ht="15.75" thickBot="1" x14ac:dyDescent="0.3">
      <c r="B6" s="141" t="s">
        <v>4</v>
      </c>
      <c r="C6" s="142" t="s">
        <v>5</v>
      </c>
      <c r="D6" s="137">
        <f>SMALL(Scoreboard!$D6:$M6,1)</f>
        <v>94</v>
      </c>
      <c r="E6" s="149">
        <v>90</v>
      </c>
      <c r="F6" s="138">
        <f>Tabell23[[#This Row],[I år]]-E6</f>
        <v>4</v>
      </c>
      <c r="H6" s="158" t="s">
        <v>4</v>
      </c>
      <c r="I6" s="151" t="s">
        <v>5</v>
      </c>
      <c r="J6" s="44">
        <f>MIN(Scoreboard!D26:M26)</f>
        <v>72</v>
      </c>
      <c r="K6" s="75">
        <v>66</v>
      </c>
      <c r="L6" s="56">
        <f>Tabell2326[[#This Row],[I år]]-K6</f>
        <v>6</v>
      </c>
      <c r="M6" s="52"/>
      <c r="N6" s="51"/>
      <c r="O6" s="51"/>
      <c r="P6" s="52"/>
    </row>
    <row r="7" spans="2:16" ht="15.75" thickBot="1" x14ac:dyDescent="0.3">
      <c r="B7" s="143" t="s">
        <v>14</v>
      </c>
      <c r="C7" s="144" t="s">
        <v>13</v>
      </c>
      <c r="D7" s="42">
        <f>SMALL(Scoreboard!$D7:$M7,1)</f>
        <v>89</v>
      </c>
      <c r="E7" s="31">
        <v>86</v>
      </c>
      <c r="F7" s="147">
        <f>Tabell23[[#This Row],[I år]]-E7</f>
        <v>3</v>
      </c>
      <c r="H7" s="158" t="s">
        <v>14</v>
      </c>
      <c r="I7" s="151" t="s">
        <v>13</v>
      </c>
      <c r="J7" s="44">
        <f>MIN(Scoreboard!D27:M27)</f>
        <v>70</v>
      </c>
      <c r="K7" s="75">
        <v>72</v>
      </c>
      <c r="L7" s="56">
        <f>Tabell2326[[#This Row],[I år]]-K7</f>
        <v>-2</v>
      </c>
      <c r="M7" s="52"/>
      <c r="N7" s="51"/>
      <c r="O7" s="51"/>
      <c r="P7" s="52"/>
    </row>
    <row r="8" spans="2:16" ht="15.75" thickBot="1" x14ac:dyDescent="0.3">
      <c r="B8" s="141" t="s">
        <v>10</v>
      </c>
      <c r="C8" s="142" t="s">
        <v>11</v>
      </c>
      <c r="D8" s="137">
        <f>SMALL(Scoreboard!$D8:$M8,1)</f>
        <v>90</v>
      </c>
      <c r="E8" s="149">
        <v>84</v>
      </c>
      <c r="F8" s="138">
        <f>Tabell23[[#This Row],[I år]]-E8</f>
        <v>6</v>
      </c>
      <c r="H8" s="158" t="s">
        <v>10</v>
      </c>
      <c r="I8" s="151" t="s">
        <v>11</v>
      </c>
      <c r="J8" s="44">
        <f>MIN(Scoreboard!D28:M28)</f>
        <v>69</v>
      </c>
      <c r="K8" s="75">
        <v>64</v>
      </c>
      <c r="L8" s="56">
        <f>Tabell2326[[#This Row],[I år]]-K8</f>
        <v>5</v>
      </c>
      <c r="M8" s="52"/>
      <c r="N8" s="51"/>
      <c r="O8" s="51"/>
      <c r="P8" s="52"/>
    </row>
    <row r="9" spans="2:16" ht="15.75" thickBot="1" x14ac:dyDescent="0.3">
      <c r="B9" s="143" t="s">
        <v>6</v>
      </c>
      <c r="C9" s="144" t="s">
        <v>7</v>
      </c>
      <c r="D9" s="42">
        <f>SMALL(Scoreboard!$D9:$M9,1)</f>
        <v>99</v>
      </c>
      <c r="E9" s="31">
        <v>89</v>
      </c>
      <c r="F9" s="147">
        <f>Tabell23[[#This Row],[I år]]-E9</f>
        <v>10</v>
      </c>
      <c r="H9" s="158" t="s">
        <v>6</v>
      </c>
      <c r="I9" s="151" t="s">
        <v>7</v>
      </c>
      <c r="J9" s="44">
        <f>MIN(Scoreboard!D29:M29)</f>
        <v>72</v>
      </c>
      <c r="K9" s="75">
        <v>66</v>
      </c>
      <c r="L9" s="56">
        <f>Tabell2326[[#This Row],[I år]]-K9</f>
        <v>6</v>
      </c>
      <c r="M9" s="52"/>
      <c r="N9" s="51"/>
      <c r="O9" s="51"/>
      <c r="P9" s="52"/>
    </row>
    <row r="10" spans="2:16" ht="15.75" thickBot="1" x14ac:dyDescent="0.3">
      <c r="B10" s="141" t="s">
        <v>8</v>
      </c>
      <c r="C10" s="142" t="s">
        <v>9</v>
      </c>
      <c r="D10" s="137">
        <f>SMALL(Scoreboard!$D10:$M10,1)</f>
        <v>88</v>
      </c>
      <c r="E10" s="149">
        <v>90</v>
      </c>
      <c r="F10" s="138">
        <f>Tabell23[[#This Row],[I år]]-E10</f>
        <v>-2</v>
      </c>
      <c r="H10" s="158" t="s">
        <v>8</v>
      </c>
      <c r="I10" s="151" t="s">
        <v>9</v>
      </c>
      <c r="J10" s="44">
        <f>MIN(Scoreboard!D30:M30)</f>
        <v>66</v>
      </c>
      <c r="K10" s="75">
        <v>68</v>
      </c>
      <c r="L10" s="56">
        <f>Tabell2326[[#This Row],[I år]]-K10</f>
        <v>-2</v>
      </c>
      <c r="M10" s="52"/>
      <c r="N10" s="51"/>
      <c r="O10" s="51"/>
      <c r="P10" s="52"/>
    </row>
    <row r="11" spans="2:16" ht="15.75" thickBot="1" x14ac:dyDescent="0.3">
      <c r="B11" s="171" t="s">
        <v>2</v>
      </c>
      <c r="C11" s="172" t="s">
        <v>159</v>
      </c>
      <c r="D11" s="42">
        <f>SMALL(Scoreboard!$D11:$M11,1)</f>
        <v>101</v>
      </c>
      <c r="E11" s="31">
        <v>92</v>
      </c>
      <c r="F11" s="147">
        <f>Tabell23[[#This Row],[I år]]-E11</f>
        <v>9</v>
      </c>
      <c r="H11" s="159" t="s">
        <v>2</v>
      </c>
      <c r="I11" s="152" t="s">
        <v>159</v>
      </c>
      <c r="J11" s="44">
        <f>MIN(Scoreboard!D31:M31)</f>
        <v>76</v>
      </c>
      <c r="K11" s="75">
        <v>69</v>
      </c>
      <c r="L11" s="56">
        <f>Tabell2326[[#This Row],[I år]]-K11</f>
        <v>7</v>
      </c>
      <c r="M11" s="52"/>
      <c r="N11" s="51"/>
      <c r="O11" s="51"/>
      <c r="P11" s="52"/>
    </row>
    <row r="12" spans="2:16" ht="15.75" thickBot="1" x14ac:dyDescent="0.3">
      <c r="B12" s="141" t="s">
        <v>17</v>
      </c>
      <c r="C12" s="142" t="s">
        <v>18</v>
      </c>
      <c r="D12" s="137">
        <f>SMALL(Scoreboard!$D12:$M12,1)</f>
        <v>95</v>
      </c>
      <c r="E12" s="149">
        <v>92</v>
      </c>
      <c r="F12" s="138">
        <f>Tabell23[[#This Row],[I år]]-E12</f>
        <v>3</v>
      </c>
      <c r="H12" s="158" t="s">
        <v>17</v>
      </c>
      <c r="I12" s="151" t="s">
        <v>18</v>
      </c>
      <c r="J12" s="44">
        <f>MIN(Scoreboard!D32:M32)</f>
        <v>63</v>
      </c>
      <c r="K12" s="75">
        <v>70</v>
      </c>
      <c r="L12" s="56">
        <f>Tabell2326[[#This Row],[I år]]-K12</f>
        <v>-7</v>
      </c>
      <c r="M12" s="52"/>
      <c r="N12" s="51"/>
      <c r="O12" s="51"/>
      <c r="P12" s="52"/>
    </row>
    <row r="13" spans="2:16" ht="15.75" thickBot="1" x14ac:dyDescent="0.3">
      <c r="B13" s="143" t="s">
        <v>15</v>
      </c>
      <c r="C13" s="144" t="s">
        <v>16</v>
      </c>
      <c r="D13" s="42">
        <f>SMALL(Scoreboard!$D13:$M13,1)</f>
        <v>100</v>
      </c>
      <c r="E13" s="31">
        <v>85</v>
      </c>
      <c r="F13" s="147">
        <f>Tabell23[[#This Row],[I år]]-E13</f>
        <v>15</v>
      </c>
      <c r="H13" s="158" t="s">
        <v>15</v>
      </c>
      <c r="I13" s="151" t="s">
        <v>16</v>
      </c>
      <c r="J13" s="44">
        <f>MIN(Scoreboard!D33:M33)</f>
        <v>74</v>
      </c>
      <c r="K13" s="75">
        <v>69</v>
      </c>
      <c r="L13" s="56">
        <f>Tabell2326[[#This Row],[I år]]-K13</f>
        <v>5</v>
      </c>
      <c r="M13" s="52"/>
      <c r="N13" s="51"/>
      <c r="O13" s="51"/>
      <c r="P13" s="52"/>
    </row>
    <row r="14" spans="2:16" ht="15.75" thickBot="1" x14ac:dyDescent="0.3">
      <c r="B14" s="135" t="s">
        <v>104</v>
      </c>
      <c r="C14" s="136" t="s">
        <v>105</v>
      </c>
      <c r="D14" s="137">
        <f>SMALL(Scoreboard!$D14:$M14,1)</f>
        <v>93</v>
      </c>
      <c r="E14" s="149">
        <v>88</v>
      </c>
      <c r="F14" s="138">
        <f>Tabell23[[#This Row],[I år]]-E14</f>
        <v>5</v>
      </c>
      <c r="H14" s="159" t="s">
        <v>104</v>
      </c>
      <c r="I14" s="152" t="s">
        <v>105</v>
      </c>
      <c r="J14" s="44">
        <f>MIN(Scoreboard!D34:M34)</f>
        <v>73</v>
      </c>
      <c r="K14" s="75">
        <v>77</v>
      </c>
      <c r="L14" s="56">
        <f>Tabell2326[[#This Row],[I år]]-K14</f>
        <v>-4</v>
      </c>
      <c r="M14" s="52"/>
      <c r="N14" s="51"/>
      <c r="O14" s="51"/>
      <c r="P14" s="52"/>
    </row>
    <row r="15" spans="2:16" ht="15.75" thickBot="1" x14ac:dyDescent="0.3">
      <c r="B15" s="143" t="s">
        <v>8</v>
      </c>
      <c r="C15" s="144" t="s">
        <v>19</v>
      </c>
      <c r="D15" s="42">
        <f>SMALL(Scoreboard!$D15:$M15,1)</f>
        <v>105</v>
      </c>
      <c r="E15" s="31">
        <v>98</v>
      </c>
      <c r="F15" s="147">
        <f>Tabell23[[#This Row],[I år]]-E15</f>
        <v>7</v>
      </c>
      <c r="H15" s="158" t="s">
        <v>8</v>
      </c>
      <c r="I15" s="151" t="s">
        <v>19</v>
      </c>
      <c r="J15" s="44">
        <f>MIN(Scoreboard!D35:M35)</f>
        <v>72</v>
      </c>
      <c r="K15" s="75">
        <v>66</v>
      </c>
      <c r="L15" s="56">
        <f>Tabell2326[[#This Row],[I år]]-K15</f>
        <v>6</v>
      </c>
      <c r="M15" s="52"/>
      <c r="N15" s="51"/>
      <c r="O15" s="51"/>
      <c r="P15" s="52"/>
    </row>
    <row r="16" spans="2:16" ht="15.75" thickBot="1" x14ac:dyDescent="0.3">
      <c r="B16" s="141" t="s">
        <v>12</v>
      </c>
      <c r="C16" s="142" t="s">
        <v>13</v>
      </c>
      <c r="D16" s="137">
        <f>SMALL(Scoreboard!$D16:$M16,1)</f>
        <v>95</v>
      </c>
      <c r="E16" s="149">
        <v>97</v>
      </c>
      <c r="F16" s="138">
        <f>Tabell23[[#This Row],[I år]]-E16</f>
        <v>-2</v>
      </c>
      <c r="H16" s="158" t="s">
        <v>12</v>
      </c>
      <c r="I16" s="151" t="s">
        <v>13</v>
      </c>
      <c r="J16" s="44">
        <f>MIN(Scoreboard!D36:M36)</f>
        <v>66</v>
      </c>
      <c r="K16" s="75">
        <v>63</v>
      </c>
      <c r="L16" s="56">
        <f>Tabell2326[[#This Row],[I år]]-K16</f>
        <v>3</v>
      </c>
      <c r="M16" s="52"/>
      <c r="N16" s="51"/>
      <c r="O16" s="51"/>
      <c r="P16" s="52"/>
    </row>
    <row r="17" spans="2:16" ht="15.75" thickBot="1" x14ac:dyDescent="0.3">
      <c r="B17" s="139" t="s">
        <v>113</v>
      </c>
      <c r="C17" s="140" t="s">
        <v>114</v>
      </c>
      <c r="D17" s="146">
        <f>SMALL(Scoreboard!$D17:$M17,1)</f>
        <v>85</v>
      </c>
      <c r="E17" s="150">
        <v>87</v>
      </c>
      <c r="F17" s="148">
        <f>Tabell23[[#This Row],[I år]]-E17</f>
        <v>-2</v>
      </c>
      <c r="H17" s="159" t="s">
        <v>113</v>
      </c>
      <c r="I17" s="152" t="s">
        <v>114</v>
      </c>
      <c r="J17" s="44">
        <f>MIN(Scoreboard!D37:M37)</f>
        <v>65</v>
      </c>
      <c r="K17" s="75">
        <v>67</v>
      </c>
      <c r="L17" s="56">
        <f>Tabell2326[[#This Row],[I år]]-K17</f>
        <v>-2</v>
      </c>
      <c r="M17" s="52"/>
      <c r="N17" s="51"/>
      <c r="O17" s="51"/>
      <c r="P17" s="52"/>
    </row>
    <row r="18" spans="2:16" ht="15.75" thickBot="1" x14ac:dyDescent="0.3">
      <c r="B18" s="135" t="s">
        <v>108</v>
      </c>
      <c r="C18" s="136" t="s">
        <v>109</v>
      </c>
      <c r="D18" s="137">
        <f>SMALL(Scoreboard!D18:M18,1)</f>
        <v>89</v>
      </c>
      <c r="E18" s="150">
        <v>84</v>
      </c>
      <c r="F18" s="148">
        <f>Tabell23[[#This Row],[I år]]-E18</f>
        <v>5</v>
      </c>
      <c r="H18" s="160" t="s">
        <v>108</v>
      </c>
      <c r="I18" s="161" t="s">
        <v>109</v>
      </c>
      <c r="J18" s="162">
        <f>MIN(Scoreboard!D38:M38)</f>
        <v>71</v>
      </c>
      <c r="K18" s="163">
        <v>70</v>
      </c>
      <c r="L18" s="57">
        <f>Tabell2326[[#This Row],[I år]]-K18</f>
        <v>1</v>
      </c>
    </row>
    <row r="19" spans="2:16" ht="15.75" thickBot="1" x14ac:dyDescent="0.3">
      <c r="B19" s="4" t="s">
        <v>195</v>
      </c>
      <c r="C19" s="5" t="s">
        <v>198</v>
      </c>
      <c r="D19" s="42">
        <f>MIN(Scoreboard!D19:M19)</f>
        <v>110</v>
      </c>
      <c r="E19" s="149">
        <v>116</v>
      </c>
      <c r="F19" s="148">
        <f>Tabell23[[#This Row],[I år]]-E19</f>
        <v>-6</v>
      </c>
      <c r="H19" s="159" t="s">
        <v>195</v>
      </c>
      <c r="I19" s="152" t="s">
        <v>13</v>
      </c>
      <c r="J19" s="162">
        <f>MIN(Scoreboard!D39:M39)</f>
        <v>80</v>
      </c>
      <c r="K19" s="163">
        <v>80</v>
      </c>
      <c r="L19" s="57">
        <f>Tabell2326[[#This Row],[I år]]-K19</f>
        <v>0</v>
      </c>
    </row>
    <row r="20" spans="2:16" x14ac:dyDescent="0.25">
      <c r="L20" s="58"/>
    </row>
    <row r="21" spans="2:16" x14ac:dyDescent="0.25">
      <c r="I21" s="356"/>
      <c r="J21" s="356"/>
      <c r="K21" s="356"/>
      <c r="L21" s="59"/>
    </row>
    <row r="22" spans="2:16" x14ac:dyDescent="0.25">
      <c r="D22" s="16" t="s">
        <v>91</v>
      </c>
      <c r="I22" s="59"/>
      <c r="J22" s="60"/>
      <c r="K22" s="60"/>
      <c r="L22" s="59"/>
    </row>
    <row r="23" spans="2:16" x14ac:dyDescent="0.25">
      <c r="I23" s="59"/>
      <c r="J23" s="60"/>
      <c r="K23" s="60"/>
      <c r="L23" s="59"/>
    </row>
    <row r="24" spans="2:16" x14ac:dyDescent="0.25">
      <c r="I24" s="59"/>
      <c r="J24" s="60"/>
      <c r="K24" s="60"/>
      <c r="L24" s="59"/>
    </row>
    <row r="25" spans="2:16" x14ac:dyDescent="0.25">
      <c r="I25" s="59"/>
      <c r="J25" s="60"/>
      <c r="K25" s="60"/>
      <c r="L25" s="59"/>
    </row>
    <row r="26" spans="2:16" x14ac:dyDescent="0.25">
      <c r="I26" s="59"/>
      <c r="J26" s="60"/>
      <c r="K26" s="60"/>
      <c r="L26" s="59"/>
    </row>
    <row r="27" spans="2:16" x14ac:dyDescent="0.25">
      <c r="I27" s="59"/>
      <c r="J27" s="60"/>
      <c r="K27" s="60"/>
      <c r="L27" s="59"/>
    </row>
    <row r="28" spans="2:16" x14ac:dyDescent="0.25">
      <c r="I28" s="59"/>
      <c r="J28" s="60"/>
      <c r="K28" s="60"/>
      <c r="L28" s="59"/>
    </row>
    <row r="29" spans="2:16" x14ac:dyDescent="0.25">
      <c r="I29" s="59"/>
      <c r="J29" s="60"/>
      <c r="K29" s="60"/>
      <c r="L29" s="59"/>
    </row>
    <row r="30" spans="2:16" x14ac:dyDescent="0.25">
      <c r="I30" s="59"/>
      <c r="J30" s="60"/>
      <c r="K30" s="60"/>
      <c r="L30" s="59"/>
    </row>
    <row r="31" spans="2:16" x14ac:dyDescent="0.25">
      <c r="I31" s="59"/>
      <c r="J31" s="60"/>
      <c r="K31" s="60"/>
      <c r="L31" s="59"/>
    </row>
    <row r="32" spans="2:16" x14ac:dyDescent="0.25">
      <c r="I32" s="59"/>
      <c r="J32" s="60"/>
      <c r="K32" s="60"/>
      <c r="L32" s="59"/>
    </row>
    <row r="33" spans="9:12" x14ac:dyDescent="0.25">
      <c r="I33" s="59"/>
      <c r="J33" s="60"/>
      <c r="K33" s="60"/>
      <c r="L33" s="59"/>
    </row>
    <row r="34" spans="9:12" x14ac:dyDescent="0.25">
      <c r="I34" s="59"/>
      <c r="J34" s="60"/>
      <c r="K34" s="60"/>
      <c r="L34" s="59"/>
    </row>
    <row r="35" spans="9:12" x14ac:dyDescent="0.25">
      <c r="I35" s="59"/>
      <c r="J35" s="60"/>
      <c r="K35" s="60"/>
    </row>
  </sheetData>
  <mergeCells count="2">
    <mergeCell ref="M3:O3"/>
    <mergeCell ref="I21:K21"/>
  </mergeCells>
  <conditionalFormatting sqref="F4:F19">
    <cfRule type="iconSet" priority="5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I19">
    <cfRule type="dataBar" priority="3">
      <dataBar>
        <cfvo type="min"/>
        <cfvo type="max"/>
        <color rgb="FFD6007B"/>
      </dataBar>
    </cfRule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L4:L19">
    <cfRule type="iconSet" priority="2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L18:L19">
    <cfRule type="iconSet" priority="1">
      <iconSet iconSet="5Arrows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4:C19">
    <cfRule type="dataBar" priority="692">
      <dataBar>
        <cfvo type="min"/>
        <cfvo type="max"/>
        <color rgb="FFD6007B"/>
      </dataBar>
    </cfRule>
    <cfRule type="colorScale" priority="69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  <pageSetup paperSize="9" scale="82" orientation="landscape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F47"/>
  <sheetViews>
    <sheetView workbookViewId="0">
      <selection activeCell="I26" sqref="I26"/>
    </sheetView>
  </sheetViews>
  <sheetFormatPr defaultColWidth="8.85546875" defaultRowHeight="15" x14ac:dyDescent="0.25"/>
  <cols>
    <col min="1" max="1" width="8.85546875" style="3"/>
    <col min="2" max="2" width="8.85546875" style="16"/>
    <col min="3" max="3" width="15.7109375" style="16" bestFit="1" customWidth="1"/>
    <col min="4" max="5" width="11" style="16" customWidth="1"/>
    <col min="6" max="6" width="11.42578125" style="16" bestFit="1" customWidth="1"/>
    <col min="7" max="7" width="3.140625" style="3" customWidth="1"/>
    <col min="8" max="16384" width="8.85546875" style="3"/>
  </cols>
  <sheetData>
    <row r="1" spans="3:6" ht="15.75" thickBot="1" x14ac:dyDescent="0.3"/>
    <row r="2" spans="3:6" ht="15.75" thickBot="1" x14ac:dyDescent="0.3">
      <c r="C2" s="82" t="s">
        <v>51</v>
      </c>
      <c r="D2" s="83" t="s">
        <v>52</v>
      </c>
      <c r="E2" s="73" t="s">
        <v>69</v>
      </c>
    </row>
    <row r="4" spans="3:6" x14ac:dyDescent="0.25">
      <c r="C4" s="71" t="s">
        <v>66</v>
      </c>
      <c r="D4" s="35" t="s">
        <v>67</v>
      </c>
      <c r="E4" s="36" t="s">
        <v>68</v>
      </c>
      <c r="F4" s="35" t="s">
        <v>70</v>
      </c>
    </row>
    <row r="5" spans="3:6" x14ac:dyDescent="0.25">
      <c r="C5" s="74" t="s">
        <v>64</v>
      </c>
      <c r="D5" s="75">
        <v>97</v>
      </c>
      <c r="E5" s="34">
        <v>76.2</v>
      </c>
      <c r="F5" s="75">
        <v>21</v>
      </c>
    </row>
    <row r="6" spans="3:6" x14ac:dyDescent="0.25">
      <c r="C6" s="74" t="s">
        <v>53</v>
      </c>
      <c r="D6" s="75">
        <v>91.6</v>
      </c>
      <c r="E6" s="34">
        <v>72.8</v>
      </c>
      <c r="F6" s="75">
        <v>20</v>
      </c>
    </row>
    <row r="7" spans="3:6" x14ac:dyDescent="0.25">
      <c r="C7" s="74" t="s">
        <v>63</v>
      </c>
      <c r="D7" s="75">
        <v>100.2</v>
      </c>
      <c r="E7" s="34">
        <v>79.5</v>
      </c>
      <c r="F7" s="75">
        <v>17</v>
      </c>
    </row>
    <row r="8" spans="3:6" x14ac:dyDescent="0.25">
      <c r="C8" s="74" t="s">
        <v>58</v>
      </c>
      <c r="D8" s="75">
        <v>95</v>
      </c>
      <c r="E8" s="34">
        <v>74</v>
      </c>
      <c r="F8" s="75">
        <v>11</v>
      </c>
    </row>
    <row r="9" spans="3:6" x14ac:dyDescent="0.25">
      <c r="C9" s="74" t="s">
        <v>54</v>
      </c>
      <c r="D9" s="75">
        <v>102.83</v>
      </c>
      <c r="E9" s="34">
        <v>79.3</v>
      </c>
      <c r="F9" s="75">
        <v>7</v>
      </c>
    </row>
    <row r="10" spans="3:6" x14ac:dyDescent="0.25">
      <c r="C10" s="74" t="s">
        <v>57</v>
      </c>
      <c r="D10" s="75">
        <v>98.6</v>
      </c>
      <c r="E10" s="34">
        <v>77.5</v>
      </c>
      <c r="F10" s="75">
        <v>8</v>
      </c>
    </row>
    <row r="11" spans="3:6" x14ac:dyDescent="0.25">
      <c r="C11" s="74" t="s">
        <v>55</v>
      </c>
      <c r="D11" s="75">
        <v>103</v>
      </c>
      <c r="E11" s="34">
        <v>80</v>
      </c>
      <c r="F11" s="75">
        <v>6</v>
      </c>
    </row>
    <row r="12" spans="3:6" x14ac:dyDescent="0.25">
      <c r="C12" s="74" t="s">
        <v>60</v>
      </c>
      <c r="D12" s="75">
        <v>100.6</v>
      </c>
      <c r="E12" s="34">
        <v>78.599999999999994</v>
      </c>
      <c r="F12" s="75">
        <v>5</v>
      </c>
    </row>
    <row r="13" spans="3:6" x14ac:dyDescent="0.25">
      <c r="C13" s="74" t="s">
        <v>61</v>
      </c>
      <c r="D13" s="75" t="s">
        <v>124</v>
      </c>
      <c r="E13" s="34">
        <v>80.3</v>
      </c>
      <c r="F13" s="75">
        <v>5</v>
      </c>
    </row>
    <row r="14" spans="3:6" x14ac:dyDescent="0.25">
      <c r="C14" s="74" t="s">
        <v>65</v>
      </c>
      <c r="D14" s="75">
        <v>97.5</v>
      </c>
      <c r="E14" s="34">
        <v>75.8</v>
      </c>
      <c r="F14" s="75">
        <v>6</v>
      </c>
    </row>
    <row r="15" spans="3:6" x14ac:dyDescent="0.25">
      <c r="C15" s="74" t="s">
        <v>56</v>
      </c>
      <c r="D15" s="75">
        <v>95.7</v>
      </c>
      <c r="E15" s="34">
        <v>74.900000000000006</v>
      </c>
      <c r="F15" s="75">
        <v>4</v>
      </c>
    </row>
    <row r="16" spans="3:6" x14ac:dyDescent="0.25">
      <c r="C16" s="74" t="s">
        <v>59</v>
      </c>
      <c r="D16" s="75">
        <v>100</v>
      </c>
      <c r="E16" s="34">
        <v>79.099999999999994</v>
      </c>
      <c r="F16" s="75">
        <v>5</v>
      </c>
    </row>
    <row r="17" spans="3:6" x14ac:dyDescent="0.25">
      <c r="C17" s="76" t="s">
        <v>62</v>
      </c>
      <c r="D17" s="77">
        <v>102.4</v>
      </c>
      <c r="E17" s="78">
        <v>83.5</v>
      </c>
      <c r="F17" s="75">
        <v>3</v>
      </c>
    </row>
    <row r="18" spans="3:6" x14ac:dyDescent="0.25">
      <c r="C18" s="74" t="s">
        <v>100</v>
      </c>
      <c r="D18" s="75">
        <v>99.4</v>
      </c>
      <c r="E18" s="34">
        <v>76.5</v>
      </c>
      <c r="F18" s="75">
        <v>3</v>
      </c>
    </row>
    <row r="19" spans="3:6" x14ac:dyDescent="0.25">
      <c r="C19" s="74" t="s">
        <v>103</v>
      </c>
      <c r="D19" s="75">
        <v>100.8</v>
      </c>
      <c r="E19" s="34">
        <v>81.7</v>
      </c>
      <c r="F19" s="75">
        <v>3</v>
      </c>
    </row>
    <row r="20" spans="3:6" x14ac:dyDescent="0.25">
      <c r="C20" s="74" t="s">
        <v>122</v>
      </c>
      <c r="D20" s="75">
        <v>98</v>
      </c>
      <c r="E20" s="34">
        <v>76.3</v>
      </c>
      <c r="F20" s="75">
        <v>5</v>
      </c>
    </row>
    <row r="21" spans="3:6" x14ac:dyDescent="0.25">
      <c r="C21" s="76" t="s">
        <v>102</v>
      </c>
      <c r="D21" s="77">
        <v>101.4</v>
      </c>
      <c r="E21" s="78">
        <v>78</v>
      </c>
      <c r="F21" s="77">
        <v>2</v>
      </c>
    </row>
    <row r="22" spans="3:6" x14ac:dyDescent="0.25">
      <c r="C22" s="76" t="s">
        <v>117</v>
      </c>
      <c r="D22" s="77">
        <v>95.1</v>
      </c>
      <c r="E22" s="78">
        <v>76.8</v>
      </c>
      <c r="F22" s="77">
        <v>2</v>
      </c>
    </row>
    <row r="23" spans="3:6" x14ac:dyDescent="0.25">
      <c r="C23" s="74" t="s">
        <v>112</v>
      </c>
      <c r="D23" s="75">
        <v>96.3</v>
      </c>
      <c r="E23" s="34">
        <v>79.900000000000006</v>
      </c>
      <c r="F23" s="75">
        <v>2</v>
      </c>
    </row>
    <row r="24" spans="3:6" x14ac:dyDescent="0.25">
      <c r="C24" s="74" t="s">
        <v>125</v>
      </c>
      <c r="D24" s="75">
        <v>105.9</v>
      </c>
      <c r="E24" s="34">
        <v>87.3</v>
      </c>
      <c r="F24" s="75">
        <v>2</v>
      </c>
    </row>
    <row r="25" spans="3:6" x14ac:dyDescent="0.25">
      <c r="C25" s="74" t="s">
        <v>101</v>
      </c>
      <c r="D25" s="75">
        <v>98.4</v>
      </c>
      <c r="E25" s="34">
        <v>74.599999999999994</v>
      </c>
      <c r="F25" s="75">
        <v>1</v>
      </c>
    </row>
    <row r="26" spans="3:6" x14ac:dyDescent="0.25">
      <c r="C26" s="74" t="s">
        <v>110</v>
      </c>
      <c r="D26" s="75">
        <v>97.8</v>
      </c>
      <c r="E26" s="34">
        <v>75.599999999999994</v>
      </c>
      <c r="F26" s="75">
        <v>2</v>
      </c>
    </row>
    <row r="27" spans="3:6" x14ac:dyDescent="0.25">
      <c r="C27" s="74" t="s">
        <v>94</v>
      </c>
      <c r="D27" s="75">
        <v>102.5</v>
      </c>
      <c r="E27" s="34">
        <v>80.900000000000006</v>
      </c>
      <c r="F27" s="75">
        <v>1</v>
      </c>
    </row>
    <row r="28" spans="3:6" x14ac:dyDescent="0.25">
      <c r="C28" s="74" t="s">
        <v>90</v>
      </c>
      <c r="D28" s="75">
        <v>104.4</v>
      </c>
      <c r="E28" s="34">
        <v>81.14</v>
      </c>
      <c r="F28" s="75">
        <v>1</v>
      </c>
    </row>
    <row r="29" spans="3:6" x14ac:dyDescent="0.25">
      <c r="C29" s="74" t="s">
        <v>93</v>
      </c>
      <c r="D29" s="75">
        <v>100.3</v>
      </c>
      <c r="E29" s="34">
        <v>82.6</v>
      </c>
      <c r="F29" s="75">
        <v>1</v>
      </c>
    </row>
    <row r="30" spans="3:6" x14ac:dyDescent="0.25">
      <c r="C30" s="74" t="s">
        <v>107</v>
      </c>
      <c r="D30" s="75">
        <v>106.7</v>
      </c>
      <c r="E30" s="34">
        <v>86.4</v>
      </c>
      <c r="F30" s="75">
        <v>1</v>
      </c>
    </row>
    <row r="31" spans="3:6" x14ac:dyDescent="0.25">
      <c r="C31" s="74" t="s">
        <v>99</v>
      </c>
      <c r="D31" s="75">
        <v>116.5</v>
      </c>
      <c r="E31" s="34">
        <v>92.1</v>
      </c>
      <c r="F31" s="75">
        <v>1</v>
      </c>
    </row>
    <row r="32" spans="3:6" x14ac:dyDescent="0.25">
      <c r="C32" s="74" t="s">
        <v>116</v>
      </c>
      <c r="D32" s="75">
        <v>108</v>
      </c>
      <c r="E32" s="34">
        <v>87.5</v>
      </c>
      <c r="F32" s="75">
        <v>1</v>
      </c>
    </row>
    <row r="33" spans="3:6" x14ac:dyDescent="0.25">
      <c r="C33" s="74" t="s">
        <v>119</v>
      </c>
      <c r="D33" s="75">
        <v>112.8</v>
      </c>
      <c r="E33" s="34">
        <v>92.1</v>
      </c>
      <c r="F33" s="75">
        <v>1</v>
      </c>
    </row>
    <row r="34" spans="3:6" x14ac:dyDescent="0.25">
      <c r="C34" s="74" t="s">
        <v>120</v>
      </c>
      <c r="D34" s="75">
        <v>107.3</v>
      </c>
      <c r="E34" s="34">
        <v>89.5</v>
      </c>
      <c r="F34" s="75">
        <v>1</v>
      </c>
    </row>
    <row r="35" spans="3:6" x14ac:dyDescent="0.25">
      <c r="C35" s="74" t="s">
        <v>121</v>
      </c>
      <c r="D35" s="75">
        <v>109.7</v>
      </c>
      <c r="E35" s="34">
        <v>90.1</v>
      </c>
      <c r="F35" s="75">
        <v>1</v>
      </c>
    </row>
    <row r="36" spans="3:6" x14ac:dyDescent="0.25">
      <c r="C36" s="74" t="s">
        <v>118</v>
      </c>
      <c r="D36" s="75">
        <v>106.1</v>
      </c>
      <c r="E36" s="34">
        <v>86.6</v>
      </c>
      <c r="F36" s="75">
        <v>1</v>
      </c>
    </row>
    <row r="37" spans="3:6" x14ac:dyDescent="0.25">
      <c r="C37" s="74" t="s">
        <v>126</v>
      </c>
      <c r="D37" s="75">
        <v>108.1</v>
      </c>
      <c r="E37" s="34">
        <v>87.7</v>
      </c>
      <c r="F37" s="75">
        <v>1</v>
      </c>
    </row>
    <row r="38" spans="3:6" x14ac:dyDescent="0.25">
      <c r="C38" s="74" t="s">
        <v>127</v>
      </c>
      <c r="D38" s="75">
        <v>108</v>
      </c>
      <c r="E38" s="34">
        <v>90.3</v>
      </c>
      <c r="F38" s="75">
        <v>1</v>
      </c>
    </row>
    <row r="39" spans="3:6" x14ac:dyDescent="0.25">
      <c r="C39" s="74" t="s">
        <v>157</v>
      </c>
      <c r="D39" s="75">
        <v>107.7</v>
      </c>
      <c r="E39" s="34">
        <v>85.5</v>
      </c>
      <c r="F39" s="75">
        <v>1</v>
      </c>
    </row>
    <row r="40" spans="3:6" x14ac:dyDescent="0.25">
      <c r="C40" s="74" t="s">
        <v>158</v>
      </c>
      <c r="D40" s="75">
        <v>108.9</v>
      </c>
      <c r="E40" s="34">
        <v>91.2</v>
      </c>
      <c r="F40" s="75">
        <v>1</v>
      </c>
    </row>
    <row r="41" spans="3:6" x14ac:dyDescent="0.25">
      <c r="C41" s="74" t="s">
        <v>168</v>
      </c>
      <c r="D41" s="75">
        <v>110.1</v>
      </c>
      <c r="E41" s="34">
        <v>88.7</v>
      </c>
      <c r="F41" s="75">
        <v>1</v>
      </c>
    </row>
    <row r="42" spans="3:6" x14ac:dyDescent="0.25">
      <c r="C42" s="74" t="s">
        <v>169</v>
      </c>
      <c r="D42" s="75">
        <v>111.8</v>
      </c>
      <c r="E42" s="34">
        <v>91.4</v>
      </c>
      <c r="F42" s="75">
        <v>1</v>
      </c>
    </row>
    <row r="43" spans="3:6" x14ac:dyDescent="0.25">
      <c r="C43" s="74" t="s">
        <v>130</v>
      </c>
      <c r="D43" s="75">
        <v>106</v>
      </c>
      <c r="E43" s="34">
        <v>86.7</v>
      </c>
      <c r="F43" s="75">
        <v>1</v>
      </c>
    </row>
    <row r="44" spans="3:6" x14ac:dyDescent="0.25">
      <c r="C44" s="74" t="s">
        <v>193</v>
      </c>
      <c r="D44" s="75">
        <v>104.7</v>
      </c>
      <c r="E44" s="34">
        <v>78.099999999999994</v>
      </c>
      <c r="F44" s="75">
        <v>2</v>
      </c>
    </row>
    <row r="45" spans="3:6" x14ac:dyDescent="0.25">
      <c r="C45" s="74" t="s">
        <v>201</v>
      </c>
      <c r="D45" s="75">
        <v>108.5</v>
      </c>
      <c r="E45" s="34">
        <v>82.1</v>
      </c>
      <c r="F45" s="75">
        <v>1</v>
      </c>
    </row>
    <row r="46" spans="3:6" x14ac:dyDescent="0.25">
      <c r="C46" s="74" t="s">
        <v>194</v>
      </c>
      <c r="D46" s="75">
        <v>106.7</v>
      </c>
      <c r="E46" s="34">
        <v>83.9</v>
      </c>
      <c r="F46" s="75">
        <v>1</v>
      </c>
    </row>
    <row r="47" spans="3:6" x14ac:dyDescent="0.25">
      <c r="C47" s="76"/>
      <c r="D47" s="77"/>
      <c r="E47" s="78"/>
      <c r="F47" s="77">
        <f>SUM(F5:F46)</f>
        <v>161</v>
      </c>
    </row>
  </sheetData>
  <pageMargins left="0.7" right="0.7" top="0.75" bottom="0.75" header="0.3" footer="0.3"/>
  <pageSetup paperSize="9" orientation="portrait" horizontalDpi="429496729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L39"/>
  <sheetViews>
    <sheetView zoomScale="71" zoomScaleNormal="71" workbookViewId="0">
      <selection activeCell="D24" sqref="D24"/>
    </sheetView>
  </sheetViews>
  <sheetFormatPr defaultColWidth="8.85546875" defaultRowHeight="15" x14ac:dyDescent="0.25"/>
  <cols>
    <col min="1" max="1" width="8.85546875" style="3"/>
    <col min="2" max="2" width="8.140625" style="3" bestFit="1" customWidth="1"/>
    <col min="3" max="3" width="13.140625" style="3" bestFit="1" customWidth="1"/>
    <col min="4" max="4" width="13.140625" style="16" customWidth="1"/>
    <col min="5" max="5" width="13.42578125" style="16" customWidth="1"/>
    <col min="6" max="6" width="12.28515625" style="16" bestFit="1" customWidth="1"/>
    <col min="7" max="8" width="8.85546875" style="3"/>
    <col min="9" max="9" width="13.140625" style="3" bestFit="1" customWidth="1"/>
    <col min="10" max="10" width="11.42578125" style="3" bestFit="1" customWidth="1"/>
    <col min="11" max="16384" width="8.85546875" style="3"/>
  </cols>
  <sheetData>
    <row r="1" spans="2:12" ht="15.75" thickBot="1" x14ac:dyDescent="0.3"/>
    <row r="2" spans="2:12" ht="15.75" thickBot="1" x14ac:dyDescent="0.3">
      <c r="B2" s="357" t="s">
        <v>46</v>
      </c>
      <c r="C2" s="358"/>
      <c r="D2" s="358"/>
      <c r="E2" s="358"/>
      <c r="F2" s="359"/>
      <c r="H2" s="357" t="s">
        <v>48</v>
      </c>
      <c r="I2" s="358"/>
      <c r="J2" s="358"/>
      <c r="K2" s="358"/>
      <c r="L2" s="359"/>
    </row>
    <row r="3" spans="2:12" ht="15.75" thickBot="1" x14ac:dyDescent="0.3">
      <c r="B3" s="297" t="s">
        <v>20</v>
      </c>
      <c r="C3" s="298" t="s">
        <v>21</v>
      </c>
      <c r="D3" s="299" t="s">
        <v>47</v>
      </c>
      <c r="E3" s="300" t="s">
        <v>32</v>
      </c>
      <c r="F3" s="301" t="s">
        <v>45</v>
      </c>
      <c r="H3" s="297" t="s">
        <v>20</v>
      </c>
      <c r="I3" s="298" t="s">
        <v>21</v>
      </c>
      <c r="J3" s="299" t="s">
        <v>47</v>
      </c>
      <c r="K3" s="300" t="s">
        <v>32</v>
      </c>
      <c r="L3" s="301" t="s">
        <v>45</v>
      </c>
    </row>
    <row r="4" spans="2:12" x14ac:dyDescent="0.25">
      <c r="B4" s="302" t="s">
        <v>2</v>
      </c>
      <c r="C4" s="303" t="s">
        <v>3</v>
      </c>
      <c r="D4" s="304">
        <f>Scoreboard!Z4</f>
        <v>5</v>
      </c>
      <c r="E4" s="305">
        <f>RANK(D4,D4:D19,1)</f>
        <v>1</v>
      </c>
      <c r="F4" s="306">
        <f>SMALL(Tabell10[#This Row],5)</f>
        <v>1</v>
      </c>
      <c r="H4" s="302" t="s">
        <v>2</v>
      </c>
      <c r="I4" s="303" t="s">
        <v>3</v>
      </c>
      <c r="J4" s="304">
        <f>Scoreboard!Z24</f>
        <v>12</v>
      </c>
      <c r="K4" s="305">
        <f>RANK(J4,J4:J19,1)</f>
        <v>1</v>
      </c>
      <c r="L4" s="306">
        <f>SMALL(Scoreboard!P24:Y24,5)</f>
        <v>4</v>
      </c>
    </row>
    <row r="5" spans="2:12" x14ac:dyDescent="0.25">
      <c r="B5" s="62" t="s">
        <v>0</v>
      </c>
      <c r="C5" s="295" t="s">
        <v>1</v>
      </c>
      <c r="D5" s="296">
        <f>Scoreboard!Z5</f>
        <v>15</v>
      </c>
      <c r="E5" s="61">
        <f>RANK(D5,D2:D20,1)</f>
        <v>4</v>
      </c>
      <c r="F5" s="64">
        <f>SMALL(Scoreboard!P5:Y5,5)</f>
        <v>6</v>
      </c>
      <c r="H5" s="62" t="s">
        <v>4</v>
      </c>
      <c r="I5" s="295" t="s">
        <v>5</v>
      </c>
      <c r="J5" s="296">
        <f>Scoreboard!Z26</f>
        <v>32</v>
      </c>
      <c r="K5" s="61">
        <f>RANK(J5,J2:J20,1)</f>
        <v>11</v>
      </c>
      <c r="L5" s="64">
        <f>SMALL(Scoreboard!P26:Y26,5)</f>
        <v>9</v>
      </c>
    </row>
    <row r="6" spans="2:12" x14ac:dyDescent="0.25">
      <c r="B6" s="62" t="s">
        <v>10</v>
      </c>
      <c r="C6" s="295" t="s">
        <v>11</v>
      </c>
      <c r="D6" s="296">
        <f>Scoreboard!Z8</f>
        <v>23</v>
      </c>
      <c r="E6" s="61">
        <f>RANK(D6,D1:D21,1)</f>
        <v>6</v>
      </c>
      <c r="F6" s="64">
        <f>SMALL(Scoreboard!P8:X8,5)</f>
        <v>6</v>
      </c>
      <c r="H6" s="62" t="s">
        <v>0</v>
      </c>
      <c r="I6" s="295" t="s">
        <v>1</v>
      </c>
      <c r="J6" s="296">
        <f>Scoreboard!Z25</f>
        <v>22</v>
      </c>
      <c r="K6" s="61">
        <f>RANK(J6,J2:J21,1)</f>
        <v>8</v>
      </c>
      <c r="L6" s="64">
        <f>SMALL(Scoreboard!P25:Y25,5)</f>
        <v>8</v>
      </c>
    </row>
    <row r="7" spans="2:12" x14ac:dyDescent="0.25">
      <c r="B7" s="62" t="s">
        <v>8</v>
      </c>
      <c r="C7" s="295" t="s">
        <v>9</v>
      </c>
      <c r="D7" s="296">
        <f>Scoreboard!Z10</f>
        <v>24</v>
      </c>
      <c r="E7" s="61">
        <f>RANK(D7,D1:D18,1)</f>
        <v>7</v>
      </c>
      <c r="F7" s="64">
        <f>SMALL(Scoreboard!P10:X10,5)</f>
        <v>7</v>
      </c>
      <c r="H7" s="62" t="s">
        <v>8</v>
      </c>
      <c r="I7" s="295" t="s">
        <v>9</v>
      </c>
      <c r="J7" s="296">
        <f>Scoreboard!Z30</f>
        <v>24</v>
      </c>
      <c r="K7" s="61">
        <f>RANK(J7,J2:J22,1)</f>
        <v>9</v>
      </c>
      <c r="L7" s="64">
        <f>SMALL(Scoreboard!P30:Y30,5)</f>
        <v>7</v>
      </c>
    </row>
    <row r="8" spans="2:12" x14ac:dyDescent="0.25">
      <c r="B8" s="62" t="s">
        <v>6</v>
      </c>
      <c r="C8" s="295" t="s">
        <v>7</v>
      </c>
      <c r="D8" s="296">
        <f>Scoreboard!Z9</f>
        <v>40</v>
      </c>
      <c r="E8" s="61">
        <f>RANK(D8,D2:D23,1)</f>
        <v>10</v>
      </c>
      <c r="F8" s="64">
        <f>SMALL(Scoreboard!P9:X9,5)</f>
        <v>9</v>
      </c>
      <c r="H8" s="62" t="s">
        <v>10</v>
      </c>
      <c r="I8" s="295" t="s">
        <v>11</v>
      </c>
      <c r="J8" s="296">
        <f>Scoreboard!Z28</f>
        <v>17</v>
      </c>
      <c r="K8" s="61">
        <f>RANK(J8,J2:J23,1)</f>
        <v>4</v>
      </c>
      <c r="L8" s="64">
        <f>SMALL(Scoreboard!P28:Y28,5)</f>
        <v>6</v>
      </c>
    </row>
    <row r="9" spans="2:12" x14ac:dyDescent="0.25">
      <c r="B9" s="62" t="s">
        <v>4</v>
      </c>
      <c r="C9" s="295" t="s">
        <v>5</v>
      </c>
      <c r="D9" s="296">
        <f>Scoreboard!Z6</f>
        <v>32</v>
      </c>
      <c r="E9" s="61">
        <f>RANK(D9,D4:D24,1)</f>
        <v>8</v>
      </c>
      <c r="F9" s="64">
        <f>SMALL(Tabell10[#This Row],5)</f>
        <v>9</v>
      </c>
      <c r="H9" s="62" t="s">
        <v>15</v>
      </c>
      <c r="I9" s="295" t="s">
        <v>16</v>
      </c>
      <c r="J9" s="296">
        <f>Scoreboard!Z33</f>
        <v>40</v>
      </c>
      <c r="K9" s="61">
        <f>RANK(J9,J2:J24,1)</f>
        <v>12</v>
      </c>
      <c r="L9" s="64">
        <f>SMALL(Scoreboard!P33:Y33,5)</f>
        <v>11</v>
      </c>
    </row>
    <row r="10" spans="2:12" x14ac:dyDescent="0.25">
      <c r="B10" s="62" t="s">
        <v>14</v>
      </c>
      <c r="C10" s="295" t="s">
        <v>13</v>
      </c>
      <c r="D10" s="296">
        <f>Scoreboard!Z7</f>
        <v>8</v>
      </c>
      <c r="E10" s="61">
        <f>RANK(D10,D3:D25,1)</f>
        <v>2</v>
      </c>
      <c r="F10" s="64">
        <f>SMALL(Scoreboard!P7:Y7,5)</f>
        <v>2</v>
      </c>
      <c r="H10" s="62" t="s">
        <v>6</v>
      </c>
      <c r="I10" s="295" t="s">
        <v>7</v>
      </c>
      <c r="J10" s="296">
        <f>Scoreboard!Z29</f>
        <v>21</v>
      </c>
      <c r="K10" s="61">
        <f>RANK(J10,J2:J25,1)</f>
        <v>6</v>
      </c>
      <c r="L10" s="64">
        <f>SMALL(Scoreboard!P29:Y29,5)</f>
        <v>6</v>
      </c>
    </row>
    <row r="11" spans="2:12" x14ac:dyDescent="0.25">
      <c r="B11" s="62" t="s">
        <v>15</v>
      </c>
      <c r="C11" s="295" t="s">
        <v>16</v>
      </c>
      <c r="D11" s="296">
        <f>Scoreboard!Z13</f>
        <v>43</v>
      </c>
      <c r="E11" s="61">
        <f>RANK(D11,D1:D18,1)</f>
        <v>11</v>
      </c>
      <c r="F11" s="64">
        <f>SMALL(Scoreboard!P13:X13,5)</f>
        <v>11</v>
      </c>
      <c r="H11" s="62" t="s">
        <v>2</v>
      </c>
      <c r="I11" s="295" t="s">
        <v>159</v>
      </c>
      <c r="J11" s="296">
        <f>Scoreboard!Z31</f>
        <v>43</v>
      </c>
      <c r="K11" s="61">
        <f>RANK(J11,J2:J26,1)</f>
        <v>13</v>
      </c>
      <c r="L11" s="64">
        <f>SMALL(Scoreboard!P31:Y31,5)</f>
        <v>10</v>
      </c>
    </row>
    <row r="12" spans="2:12" x14ac:dyDescent="0.25">
      <c r="B12" s="62" t="s">
        <v>113</v>
      </c>
      <c r="C12" s="295" t="s">
        <v>114</v>
      </c>
      <c r="D12" s="296">
        <f>Scoreboard!Z17</f>
        <v>13</v>
      </c>
      <c r="E12" s="61">
        <f>RANK(D12,D2:D18,1)</f>
        <v>3</v>
      </c>
      <c r="F12" s="64">
        <f>SMALL(Scoreboard!P17:X17,5)</f>
        <v>3</v>
      </c>
      <c r="H12" s="62" t="s">
        <v>12</v>
      </c>
      <c r="I12" s="295" t="s">
        <v>13</v>
      </c>
      <c r="J12" s="296">
        <f>Scoreboard!Z36</f>
        <v>19</v>
      </c>
      <c r="K12" s="61">
        <f>RANK(J12,J2:J27,1)</f>
        <v>5</v>
      </c>
      <c r="L12" s="64">
        <f>SMALL(Scoreboard!P36:Y36,5)</f>
        <v>8</v>
      </c>
    </row>
    <row r="13" spans="2:12" x14ac:dyDescent="0.25">
      <c r="B13" s="62" t="s">
        <v>12</v>
      </c>
      <c r="C13" s="295" t="s">
        <v>13</v>
      </c>
      <c r="D13" s="296">
        <f>Scoreboard!Z16</f>
        <v>33</v>
      </c>
      <c r="E13" s="61">
        <f>RANK(D13,D2:D18,1)</f>
        <v>9</v>
      </c>
      <c r="F13" s="64">
        <f>SMALL(Scoreboard!P16:X16,5)</f>
        <v>10</v>
      </c>
      <c r="H13" s="62" t="s">
        <v>8</v>
      </c>
      <c r="I13" s="295" t="s">
        <v>19</v>
      </c>
      <c r="J13" s="296">
        <f>Scoreboard!Z35</f>
        <v>44</v>
      </c>
      <c r="K13" s="61">
        <f>RANK(J13,J2:J28,1)</f>
        <v>14</v>
      </c>
      <c r="L13" s="64">
        <f>SMALL(Scoreboard!P35:Y35,5)</f>
        <v>13</v>
      </c>
    </row>
    <row r="14" spans="2:12" x14ac:dyDescent="0.25">
      <c r="B14" s="62" t="s">
        <v>104</v>
      </c>
      <c r="C14" s="295" t="s">
        <v>105</v>
      </c>
      <c r="D14" s="296">
        <f>Scoreboard!Z14</f>
        <v>62</v>
      </c>
      <c r="E14" s="61">
        <f>RANK(D14,D2:D18,1)</f>
        <v>15</v>
      </c>
      <c r="F14" s="64">
        <f>SMALL(Scoreboard!P14:X14,5)</f>
        <v>16</v>
      </c>
      <c r="H14" s="62" t="s">
        <v>14</v>
      </c>
      <c r="I14" s="295" t="s">
        <v>13</v>
      </c>
      <c r="J14" s="296">
        <f>Scoreboard!Z27</f>
        <v>16</v>
      </c>
      <c r="K14" s="61">
        <f>RANK(J14,J2:J29,1)</f>
        <v>3</v>
      </c>
      <c r="L14" s="64">
        <f>SMALL(Scoreboard!P27:Y27,5)</f>
        <v>5</v>
      </c>
    </row>
    <row r="15" spans="2:12" x14ac:dyDescent="0.25">
      <c r="B15" s="62" t="s">
        <v>17</v>
      </c>
      <c r="C15" s="295" t="s">
        <v>18</v>
      </c>
      <c r="D15" s="296">
        <f>Scoreboard!Z12</f>
        <v>46</v>
      </c>
      <c r="E15" s="61">
        <f>RANK(D15,D2:D18,1)</f>
        <v>13</v>
      </c>
      <c r="F15" s="64">
        <f>SMALL(Scoreboard!P12:X12,5)</f>
        <v>12</v>
      </c>
      <c r="H15" s="62" t="s">
        <v>17</v>
      </c>
      <c r="I15" s="295" t="s">
        <v>18</v>
      </c>
      <c r="J15" s="296">
        <f>Scoreboard!Z32</f>
        <v>31</v>
      </c>
      <c r="K15" s="61">
        <f>RANK(J15,J2:J30,1)</f>
        <v>10</v>
      </c>
      <c r="L15" s="64">
        <f>SMALL(Scoreboard!P32:Y32,5)</f>
        <v>10</v>
      </c>
    </row>
    <row r="16" spans="2:12" x14ac:dyDescent="0.25">
      <c r="B16" s="62" t="s">
        <v>108</v>
      </c>
      <c r="C16" s="295" t="s">
        <v>109</v>
      </c>
      <c r="D16" s="296">
        <f>Scoreboard!Z18</f>
        <v>15</v>
      </c>
      <c r="E16" s="169">
        <v>5</v>
      </c>
      <c r="F16" s="64">
        <f>SMALL(Tabell10[#This Row],5)</f>
        <v>10</v>
      </c>
      <c r="H16" s="62" t="s">
        <v>113</v>
      </c>
      <c r="I16" s="295" t="s">
        <v>114</v>
      </c>
      <c r="J16" s="296">
        <f>Scoreboard!Z37</f>
        <v>14</v>
      </c>
      <c r="K16" s="61">
        <f>RANK(J16,J3:J31,1)</f>
        <v>2</v>
      </c>
      <c r="L16" s="64">
        <f>SMALL(Scoreboard!P37:Y37,5)</f>
        <v>4</v>
      </c>
    </row>
    <row r="17" spans="2:12" x14ac:dyDescent="0.25">
      <c r="B17" s="62" t="s">
        <v>2</v>
      </c>
      <c r="C17" s="295" t="s">
        <v>159</v>
      </c>
      <c r="D17" s="296">
        <f>Scoreboard!Z11</f>
        <v>45</v>
      </c>
      <c r="E17" s="61">
        <f>RANK(D17,D4:D20,1)</f>
        <v>12</v>
      </c>
      <c r="F17" s="64">
        <f>SMALL(Scoreboard!P11:X11,5)</f>
        <v>10</v>
      </c>
      <c r="H17" s="62" t="s">
        <v>106</v>
      </c>
      <c r="I17" s="295" t="s">
        <v>105</v>
      </c>
      <c r="J17" s="296">
        <f>Scoreboard!Z34</f>
        <v>69</v>
      </c>
      <c r="K17" s="61">
        <f>RANK(J17,J4:J32,1)</f>
        <v>16</v>
      </c>
      <c r="L17" s="64">
        <f>SMALL(Scoreboard!P34:Y34,5)</f>
        <v>16</v>
      </c>
    </row>
    <row r="18" spans="2:12" x14ac:dyDescent="0.25">
      <c r="B18" s="62" t="s">
        <v>8</v>
      </c>
      <c r="C18" s="295" t="s">
        <v>19</v>
      </c>
      <c r="D18" s="296">
        <f>Scoreboard!Z15</f>
        <v>59</v>
      </c>
      <c r="E18" s="61">
        <f>RANK(D18,D4:D21,1)</f>
        <v>14</v>
      </c>
      <c r="F18" s="64">
        <f>SMALL(Scoreboard!P15:X15,5)</f>
        <v>13</v>
      </c>
      <c r="H18" s="62" t="s">
        <v>108</v>
      </c>
      <c r="I18" s="295" t="s">
        <v>109</v>
      </c>
      <c r="J18" s="296">
        <f>Scoreboard!Z38</f>
        <v>21</v>
      </c>
      <c r="K18" s="309">
        <f>RANK(J18,J4:J19,1)</f>
        <v>6</v>
      </c>
      <c r="L18" s="64">
        <f>SMALL(Scoreboard!P38:Y38,5)</f>
        <v>5</v>
      </c>
    </row>
    <row r="19" spans="2:12" ht="15.75" thickBot="1" x14ac:dyDescent="0.3">
      <c r="B19" s="65" t="s">
        <v>195</v>
      </c>
      <c r="C19" s="307" t="s">
        <v>13</v>
      </c>
      <c r="D19" s="308">
        <f>Scoreboard!Z19</f>
        <v>68</v>
      </c>
      <c r="E19" s="61">
        <f>RANK(D19,D5:D22,1)</f>
        <v>15</v>
      </c>
      <c r="F19" s="64">
        <f>SMALL(Scoreboard!P19:Y19,5)</f>
        <v>14</v>
      </c>
      <c r="H19" s="65" t="s">
        <v>195</v>
      </c>
      <c r="I19" s="307" t="s">
        <v>13</v>
      </c>
      <c r="J19" s="308">
        <f>Scoreboard!Z39</f>
        <v>55</v>
      </c>
      <c r="K19" s="310">
        <f>RANK(J19,J19:J34,1)</f>
        <v>1</v>
      </c>
      <c r="L19" s="66">
        <f>SMALL(Scoreboard!P39:Y39,4)</f>
        <v>12</v>
      </c>
    </row>
    <row r="21" spans="2:12" ht="15.75" thickBot="1" x14ac:dyDescent="0.3"/>
    <row r="22" spans="2:12" ht="15.75" thickBot="1" x14ac:dyDescent="0.3">
      <c r="B22" s="357" t="s">
        <v>71</v>
      </c>
      <c r="C22" s="358"/>
      <c r="D22" s="358"/>
      <c r="E22" s="358"/>
      <c r="F22" s="359"/>
    </row>
    <row r="23" spans="2:12" ht="15.75" thickBot="1" x14ac:dyDescent="0.3">
      <c r="B23" s="297" t="s">
        <v>20</v>
      </c>
      <c r="C23" s="298" t="s">
        <v>21</v>
      </c>
      <c r="D23" s="299" t="s">
        <v>47</v>
      </c>
      <c r="E23" s="300" t="s">
        <v>32</v>
      </c>
      <c r="F23" s="301" t="s">
        <v>45</v>
      </c>
    </row>
    <row r="24" spans="2:12" x14ac:dyDescent="0.25">
      <c r="B24" s="302" t="s">
        <v>2</v>
      </c>
      <c r="C24" s="303" t="s">
        <v>3</v>
      </c>
      <c r="D24" s="304">
        <f>Dreamscore!X16</f>
        <v>69</v>
      </c>
      <c r="E24" s="305">
        <f>RANK(D24,D24:D39,1)</f>
        <v>1</v>
      </c>
      <c r="F24" s="306"/>
    </row>
    <row r="25" spans="2:12" x14ac:dyDescent="0.25">
      <c r="B25" s="62" t="s">
        <v>4</v>
      </c>
      <c r="C25" s="295" t="s">
        <v>5</v>
      </c>
      <c r="D25" s="296">
        <f>Dreamscore!X12</f>
        <v>77</v>
      </c>
      <c r="E25" s="294">
        <f>RANK(D25,D24:D39,1)</f>
        <v>8</v>
      </c>
      <c r="F25" s="63"/>
    </row>
    <row r="26" spans="2:12" x14ac:dyDescent="0.25">
      <c r="B26" s="62" t="s">
        <v>0</v>
      </c>
      <c r="C26" s="295" t="s">
        <v>1</v>
      </c>
      <c r="D26" s="296">
        <f>Dreamscore!X11</f>
        <v>69</v>
      </c>
      <c r="E26" s="294">
        <f>RANK(D26,D24:D39,1)</f>
        <v>1</v>
      </c>
      <c r="F26" s="63"/>
    </row>
    <row r="27" spans="2:12" x14ac:dyDescent="0.25">
      <c r="B27" s="62" t="s">
        <v>8</v>
      </c>
      <c r="C27" s="295" t="s">
        <v>9</v>
      </c>
      <c r="D27" s="296">
        <f>Dreamscore!X8</f>
        <v>76</v>
      </c>
      <c r="E27" s="294">
        <f>RANK(D27,D24:D39,1)</f>
        <v>6</v>
      </c>
      <c r="F27" s="63"/>
    </row>
    <row r="28" spans="2:12" x14ac:dyDescent="0.25">
      <c r="B28" s="62" t="s">
        <v>10</v>
      </c>
      <c r="C28" s="295" t="s">
        <v>11</v>
      </c>
      <c r="D28" s="296">
        <f>Dreamscore!X6</f>
        <v>76</v>
      </c>
      <c r="E28" s="294">
        <f>RANK(D28,D24:D39,1)</f>
        <v>6</v>
      </c>
      <c r="F28" s="63"/>
    </row>
    <row r="29" spans="2:12" x14ac:dyDescent="0.25">
      <c r="B29" s="62" t="s">
        <v>15</v>
      </c>
      <c r="C29" s="295" t="s">
        <v>16</v>
      </c>
      <c r="D29" s="296">
        <f>Dreamscore!X9</f>
        <v>77</v>
      </c>
      <c r="E29" s="294">
        <f>RANK(D29,D24:D39,1)</f>
        <v>8</v>
      </c>
      <c r="F29" s="63"/>
    </row>
    <row r="30" spans="2:12" x14ac:dyDescent="0.25">
      <c r="B30" s="62" t="s">
        <v>6</v>
      </c>
      <c r="C30" s="295" t="s">
        <v>7</v>
      </c>
      <c r="D30" s="296">
        <f>Dreamscore!X5</f>
        <v>79</v>
      </c>
      <c r="E30" s="294">
        <f>RANK(D30,D24:D39,1)</f>
        <v>11</v>
      </c>
      <c r="F30" s="63"/>
    </row>
    <row r="31" spans="2:12" x14ac:dyDescent="0.25">
      <c r="B31" s="62" t="s">
        <v>2</v>
      </c>
      <c r="C31" s="295" t="s">
        <v>159</v>
      </c>
      <c r="D31" s="296">
        <f>Dreamscore!X20</f>
        <v>78</v>
      </c>
      <c r="E31" s="294">
        <f>RANK(D31,D24:D39,1)</f>
        <v>10</v>
      </c>
      <c r="F31" s="63"/>
    </row>
    <row r="32" spans="2:12" x14ac:dyDescent="0.25">
      <c r="B32" s="62" t="s">
        <v>12</v>
      </c>
      <c r="C32" s="295" t="s">
        <v>13</v>
      </c>
      <c r="D32" s="296">
        <f>Dreamscore!X10</f>
        <v>80</v>
      </c>
      <c r="E32" s="294">
        <f>RANK(D32,D24:D39,1)</f>
        <v>12</v>
      </c>
      <c r="F32" s="63"/>
    </row>
    <row r="33" spans="2:6" x14ac:dyDescent="0.25">
      <c r="B33" s="62" t="s">
        <v>8</v>
      </c>
      <c r="C33" s="295" t="s">
        <v>19</v>
      </c>
      <c r="D33" s="296">
        <f>Dreamscore!X14</f>
        <v>83</v>
      </c>
      <c r="E33" s="294">
        <f>RANK(D33,D24:D39,1)</f>
        <v>14</v>
      </c>
      <c r="F33" s="63"/>
    </row>
    <row r="34" spans="2:6" x14ac:dyDescent="0.25">
      <c r="B34" s="62" t="s">
        <v>14</v>
      </c>
      <c r="C34" s="295" t="s">
        <v>13</v>
      </c>
      <c r="D34" s="296">
        <f>Dreamscore!X7</f>
        <v>75</v>
      </c>
      <c r="E34" s="294">
        <f>RANK(D34,D24:D39,1)</f>
        <v>5</v>
      </c>
      <c r="F34" s="63"/>
    </row>
    <row r="35" spans="2:6" x14ac:dyDescent="0.25">
      <c r="B35" s="62" t="s">
        <v>17</v>
      </c>
      <c r="C35" s="295" t="s">
        <v>18</v>
      </c>
      <c r="D35" s="296">
        <f>Dreamscore!X13</f>
        <v>81</v>
      </c>
      <c r="E35" s="294">
        <f>RANK(D35,D24:D39,1)</f>
        <v>13</v>
      </c>
      <c r="F35" s="63"/>
    </row>
    <row r="36" spans="2:6" x14ac:dyDescent="0.25">
      <c r="B36" s="62" t="s">
        <v>113</v>
      </c>
      <c r="C36" s="295" t="s">
        <v>114</v>
      </c>
      <c r="D36" s="296">
        <f>Dreamscore!X17</f>
        <v>71</v>
      </c>
      <c r="E36" s="294">
        <f>RANK(D36,D24:D39,1)</f>
        <v>3</v>
      </c>
      <c r="F36" s="63"/>
    </row>
    <row r="37" spans="2:6" x14ac:dyDescent="0.25">
      <c r="B37" s="62" t="s">
        <v>106</v>
      </c>
      <c r="C37" s="295" t="s">
        <v>105</v>
      </c>
      <c r="D37" s="296">
        <f>Dreamscore!X18</f>
        <v>85</v>
      </c>
      <c r="E37" s="294">
        <f>RANK(D37,D24:D39,1)</f>
        <v>15</v>
      </c>
      <c r="F37" s="63"/>
    </row>
    <row r="38" spans="2:6" x14ac:dyDescent="0.25">
      <c r="B38" s="62" t="s">
        <v>108</v>
      </c>
      <c r="C38" s="295" t="s">
        <v>109</v>
      </c>
      <c r="D38" s="296">
        <f>Dreamscore!X19</f>
        <v>74</v>
      </c>
      <c r="E38" s="309">
        <f>RANK(D38,D24:D39,1)</f>
        <v>4</v>
      </c>
      <c r="F38" s="63"/>
    </row>
    <row r="39" spans="2:6" ht="15.75" thickBot="1" x14ac:dyDescent="0.3">
      <c r="B39" s="65" t="s">
        <v>195</v>
      </c>
      <c r="C39" s="307" t="s">
        <v>13</v>
      </c>
      <c r="D39" s="308">
        <f>Dreamscore!X21</f>
        <v>87</v>
      </c>
      <c r="E39" s="310">
        <f>RANK(D39,D24:D39,1)</f>
        <v>16</v>
      </c>
      <c r="F39" s="311"/>
    </row>
  </sheetData>
  <mergeCells count="3">
    <mergeCell ref="B2:F2"/>
    <mergeCell ref="H2:L2"/>
    <mergeCell ref="B22:F22"/>
  </mergeCells>
  <conditionalFormatting sqref="D4:D19">
    <cfRule type="iconSet" priority="3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4:J19">
    <cfRule type="iconSet" priority="2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4:D39">
    <cfRule type="iconSet" priority="1">
      <iconSet iconSet="5ArrowsGray" reverse="1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  <pageSetup paperSize="9" scale="89" orientation="landscape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D444-F50D-435F-83F5-36B85A7C2E84}">
  <sheetPr>
    <tabColor rgb="FFFFC000"/>
  </sheetPr>
  <dimension ref="A2:J26"/>
  <sheetViews>
    <sheetView workbookViewId="0">
      <selection activeCell="I4" sqref="I4"/>
    </sheetView>
  </sheetViews>
  <sheetFormatPr defaultColWidth="9.140625" defaultRowHeight="15" x14ac:dyDescent="0.25"/>
  <cols>
    <col min="1" max="4" width="9.140625" style="229"/>
    <col min="5" max="5" width="16.28515625" style="229" customWidth="1"/>
    <col min="6" max="6" width="17" style="230" customWidth="1"/>
    <col min="7" max="7" width="9.140625" style="229"/>
    <col min="8" max="8" width="11.5703125" style="230" bestFit="1" customWidth="1"/>
    <col min="9" max="9" width="9.140625" style="229"/>
    <col min="10" max="10" width="2.140625" style="229" customWidth="1"/>
    <col min="11" max="16384" width="9.140625" style="229"/>
  </cols>
  <sheetData>
    <row r="2" spans="2:10" ht="15.75" thickBot="1" x14ac:dyDescent="0.3">
      <c r="B2" s="21" t="s">
        <v>165</v>
      </c>
      <c r="D2" s="255" t="s">
        <v>164</v>
      </c>
      <c r="E2" s="256" t="s">
        <v>166</v>
      </c>
      <c r="F2" s="257" t="s">
        <v>161</v>
      </c>
      <c r="G2" s="257" t="s">
        <v>162</v>
      </c>
      <c r="H2" s="258" t="s">
        <v>163</v>
      </c>
      <c r="I2" s="112" t="s">
        <v>167</v>
      </c>
      <c r="J2" s="231"/>
    </row>
    <row r="3" spans="2:10" x14ac:dyDescent="0.25">
      <c r="B3" s="37">
        <v>1</v>
      </c>
      <c r="D3" s="259" t="s">
        <v>2</v>
      </c>
      <c r="E3" s="260" t="s">
        <v>3</v>
      </c>
      <c r="F3" s="261">
        <f>'Bästa Brutto &amp; Netto'!D4-'Bästa Brutto &amp; Netto'!E4+'Bästa Brutto &amp; Netto'!J4-'Bästa Brutto &amp; Netto'!K4+Dreamscore!X16-Dreamscore!AD16+'Öl &amp; Birdies'!E15-'Öl &amp; Birdies'!K10</f>
        <v>4</v>
      </c>
      <c r="G3" s="261">
        <f>100-Scoreboard!Z4-Scoreboard!Z24</f>
        <v>83</v>
      </c>
      <c r="H3" s="262">
        <f>Scoreboard!AP4</f>
        <v>3100</v>
      </c>
      <c r="I3" s="233">
        <f>(Dreamscore!AB158*2)+(Dreamscore!AB159)</f>
        <v>52</v>
      </c>
      <c r="J3" s="231"/>
    </row>
    <row r="4" spans="2:10" x14ac:dyDescent="0.25">
      <c r="B4" s="118">
        <v>2</v>
      </c>
      <c r="D4" s="263" t="s">
        <v>14</v>
      </c>
      <c r="E4" s="264" t="s">
        <v>183</v>
      </c>
      <c r="F4" s="265">
        <f>'Bästa Brutto &amp; Netto'!D7-'Bästa Brutto &amp; Netto'!E7+'Bästa Brutto &amp; Netto'!J7-'Bästa Brutto &amp; Netto'!K7+Dreamscore!X7-Dreamscore!AD7+'Öl &amp; Birdies'!E6-'Öl &amp; Birdies'!K6</f>
        <v>3</v>
      </c>
      <c r="G4" s="265">
        <f>100-Scoreboard!Z7-Scoreboard!Z27</f>
        <v>76</v>
      </c>
      <c r="H4" s="266">
        <f>Scoreboard!AP7</f>
        <v>1900</v>
      </c>
      <c r="I4" s="233">
        <f>(Dreamscore!AB98*2)+(Dreamscore!AB99)</f>
        <v>39</v>
      </c>
      <c r="J4" s="231"/>
    </row>
    <row r="5" spans="2:10" x14ac:dyDescent="0.25">
      <c r="B5" s="118">
        <v>3</v>
      </c>
      <c r="D5" s="263" t="s">
        <v>0</v>
      </c>
      <c r="E5" s="264" t="s">
        <v>1</v>
      </c>
      <c r="F5" s="265">
        <f>'Bästa Brutto &amp; Netto'!D5-'Bästa Brutto &amp; Netto'!E5+'Bästa Brutto &amp; Netto'!J5-'Bästa Brutto &amp; Netto'!K5+Dreamscore!X11-Dreamscore!AD11+'Öl &amp; Birdies'!E10-Tabell2123[[#This Row],[Birdie i år]]</f>
        <v>10</v>
      </c>
      <c r="G5" s="265">
        <f>100-Scoreboard!Z5-Scoreboard!Z25</f>
        <v>63</v>
      </c>
      <c r="H5" s="266">
        <f>Scoreboard!AP5</f>
        <v>1200</v>
      </c>
      <c r="I5" s="233">
        <f>(Dreamscore!AB182*2)+(Dreamscore!AB183)</f>
        <v>36</v>
      </c>
      <c r="J5" s="231"/>
    </row>
    <row r="6" spans="2:10" x14ac:dyDescent="0.25">
      <c r="B6" s="118">
        <v>4</v>
      </c>
      <c r="D6" s="263" t="s">
        <v>113</v>
      </c>
      <c r="E6" s="264" t="s">
        <v>114</v>
      </c>
      <c r="F6" s="265">
        <f>'Bästa Brutto &amp; Netto'!D17-'Bästa Brutto &amp; Netto'!E17+'Bästa Brutto &amp; Netto'!J17-'Bästa Brutto &amp; Netto'!K17+Dreamscore!X17-Dreamscore!AD17+'Öl &amp; Birdies'!E14-'Öl &amp; Birdies'!K17</f>
        <v>-7</v>
      </c>
      <c r="G6" s="265">
        <f>100-Scoreboard!Z17-Scoreboard!Z37</f>
        <v>73</v>
      </c>
      <c r="H6" s="266">
        <f>Scoreboard!AP17</f>
        <v>1500</v>
      </c>
      <c r="I6" s="233">
        <f>(Dreamscore!AB193*2)+(Dreamscore!AB194)</f>
        <v>27</v>
      </c>
      <c r="J6" s="231"/>
    </row>
    <row r="7" spans="2:10" x14ac:dyDescent="0.25">
      <c r="B7" s="118">
        <v>5</v>
      </c>
      <c r="D7" s="263" t="s">
        <v>12</v>
      </c>
      <c r="E7" s="264" t="s">
        <v>171</v>
      </c>
      <c r="F7" s="265">
        <f>'Bästa Brutto &amp; Netto'!D16-'Bästa Brutto &amp; Netto'!E16+'Bästa Brutto &amp; Netto'!J16-'Bästa Brutto &amp; Netto'!K16+Dreamscore!X10-Dreamscore!AD10+'Öl &amp; Birdies'!E9-'Öl &amp; Birdies'!K16</f>
        <v>3</v>
      </c>
      <c r="G7" s="265">
        <f>100-Scoreboard!Z16-Scoreboard!Z36</f>
        <v>48</v>
      </c>
      <c r="H7" s="266">
        <f>Scoreboard!AP16</f>
        <v>800</v>
      </c>
      <c r="I7" s="233">
        <f>(Dreamscore!AB50*2)+(Dreamscore!AB51)</f>
        <v>29</v>
      </c>
      <c r="J7" s="231"/>
    </row>
    <row r="8" spans="2:10" x14ac:dyDescent="0.25">
      <c r="B8" s="118">
        <v>6</v>
      </c>
      <c r="D8" s="263" t="s">
        <v>8</v>
      </c>
      <c r="E8" s="264" t="s">
        <v>9</v>
      </c>
      <c r="F8" s="265">
        <f>'Bästa Brutto &amp; Netto'!D10-'Bästa Brutto &amp; Netto'!E10+'Bästa Brutto &amp; Netto'!J10-'Bästa Brutto &amp; Netto'!K10+Dreamscore!X8-Dreamscore!AD8+'Öl &amp; Birdies'!E7-'Öl &amp; Birdies'!K7</f>
        <v>-2</v>
      </c>
      <c r="G8" s="265">
        <f>100-Scoreboard!Z10-Scoreboard!Z30</f>
        <v>52</v>
      </c>
      <c r="H8" s="266">
        <f>Scoreboard!AP10</f>
        <v>800</v>
      </c>
      <c r="I8" s="233">
        <f>(Dreamscore!AB37*2)+(Dreamscore!AB38)</f>
        <v>25</v>
      </c>
      <c r="J8" s="231"/>
    </row>
    <row r="9" spans="2:10" x14ac:dyDescent="0.25">
      <c r="B9" s="118">
        <v>7</v>
      </c>
      <c r="D9" s="263" t="s">
        <v>17</v>
      </c>
      <c r="E9" s="264" t="s">
        <v>18</v>
      </c>
      <c r="F9" s="265">
        <f>'Bästa Brutto &amp; Netto'!D12-'Bästa Brutto &amp; Netto'!E12+'Bästa Brutto &amp; Netto'!J12-'Bästa Brutto &amp; Netto'!K12+Dreamscore!X13-Dreamscore!AD13+'Öl &amp; Birdies'!E12-'Öl &amp; Birdies'!K8</f>
        <v>3</v>
      </c>
      <c r="G9" s="265">
        <f>100-Scoreboard!Z12-Scoreboard!Z32</f>
        <v>23</v>
      </c>
      <c r="H9" s="266">
        <f>Scoreboard!AP12</f>
        <v>500</v>
      </c>
      <c r="I9" s="233">
        <f>(Dreamscore!AB62*2)+(Dreamscore!AB63)</f>
        <v>24</v>
      </c>
      <c r="J9" s="231"/>
    </row>
    <row r="10" spans="2:10" x14ac:dyDescent="0.25">
      <c r="B10" s="118">
        <v>8</v>
      </c>
      <c r="D10" s="263" t="s">
        <v>108</v>
      </c>
      <c r="E10" s="264" t="s">
        <v>109</v>
      </c>
      <c r="F10" s="265">
        <f>'Bästa Brutto &amp; Netto'!D18-'Bästa Brutto &amp; Netto'!E18+'Bästa Brutto &amp; Netto'!J18-'Bästa Brutto &amp; Netto'!K18+Dreamscore!X19-Dreamscore!AD19+'Öl &amp; Birdies'!E18-'Öl &amp; Birdies'!K18</f>
        <v>8</v>
      </c>
      <c r="G10" s="265">
        <f>100-Scoreboard!Z18-Scoreboard!Z38</f>
        <v>64</v>
      </c>
      <c r="H10" s="266">
        <f>Scoreboard!AP18</f>
        <v>500</v>
      </c>
      <c r="I10" s="233">
        <f>(Dreamscore!AB62*2)+(Dreamscore!AB63)</f>
        <v>24</v>
      </c>
      <c r="J10" s="231"/>
    </row>
    <row r="11" spans="2:10" x14ac:dyDescent="0.25">
      <c r="B11" s="118">
        <v>9</v>
      </c>
      <c r="D11" s="263" t="s">
        <v>10</v>
      </c>
      <c r="E11" s="264" t="s">
        <v>11</v>
      </c>
      <c r="F11" s="265">
        <f>'Bästa Brutto &amp; Netto'!D8-'Bästa Brutto &amp; Netto'!E8+'Bästa Brutto &amp; Netto'!J8-'Bästa Brutto &amp; Netto'!K8+Dreamscore!X6-Dreamscore!AD6+'Öl &amp; Birdies'!E5-'Öl &amp; Birdies'!K12</f>
        <v>17</v>
      </c>
      <c r="G11" s="265">
        <f>100-Scoreboard!Z8-Scoreboard!Z28</f>
        <v>60</v>
      </c>
      <c r="H11" s="266">
        <f>Scoreboard!AP8</f>
        <v>800</v>
      </c>
      <c r="I11" s="233">
        <f>(Dreamscore!AB86*2)+(Dreamscore!AB87)</f>
        <v>18</v>
      </c>
      <c r="J11" s="231"/>
    </row>
    <row r="12" spans="2:10" x14ac:dyDescent="0.25">
      <c r="B12" s="118">
        <v>10</v>
      </c>
      <c r="D12" s="263" t="s">
        <v>4</v>
      </c>
      <c r="E12" s="264" t="s">
        <v>5</v>
      </c>
      <c r="F12" s="265">
        <f>'Bästa Brutto &amp; Netto'!D6-'Bästa Brutto &amp; Netto'!E6+'Bästa Brutto &amp; Netto'!J6-'Bästa Brutto &amp; Netto'!K6+Dreamscore!X12-Dreamscore!AD12+'Öl &amp; Birdies'!E11-'Öl &amp; Birdies'!K11</f>
        <v>14</v>
      </c>
      <c r="G12" s="265">
        <f>100-Scoreboard!Z6-Scoreboard!Z26</f>
        <v>36</v>
      </c>
      <c r="H12" s="266">
        <f>Scoreboard!AP6</f>
        <v>300</v>
      </c>
      <c r="I12" s="233">
        <f>(Dreamscore!AB205*2)+(Dreamscore!AB206)</f>
        <v>15</v>
      </c>
      <c r="J12" s="231"/>
    </row>
    <row r="13" spans="2:10" x14ac:dyDescent="0.25">
      <c r="B13" s="118">
        <v>11</v>
      </c>
      <c r="D13" s="263" t="s">
        <v>6</v>
      </c>
      <c r="E13" s="264" t="s">
        <v>7</v>
      </c>
      <c r="F13" s="265">
        <f>Tabell23[[#This Row],[I år]]-Tabell23[[#This Row],[Bäst "Ever"]]+Tabell2326[[#This Row],[I år]]-Tabell2326[[#This Row],[Bäst "Ever"]]+Dreamscore!X5-Dreamscore!AD5+'Öl &amp; Birdies'!E4-'Öl &amp; Birdies'!K13</f>
        <v>22</v>
      </c>
      <c r="G13" s="265">
        <f>100-Scoreboard!Z9-Scoreboard!Z29</f>
        <v>39</v>
      </c>
      <c r="H13" s="266">
        <f>Scoreboard!AP9</f>
        <v>400</v>
      </c>
      <c r="I13" s="233">
        <f>(Dreamscore!AB110*2)+(Dreamscore!AB111)</f>
        <v>17</v>
      </c>
      <c r="J13" s="231"/>
    </row>
    <row r="14" spans="2:10" x14ac:dyDescent="0.25">
      <c r="B14" s="118">
        <v>12</v>
      </c>
      <c r="D14" s="263" t="s">
        <v>2</v>
      </c>
      <c r="E14" s="264" t="s">
        <v>159</v>
      </c>
      <c r="F14" s="265">
        <f>'Bästa Brutto &amp; Netto'!D11-'Bästa Brutto &amp; Netto'!E11+'Bästa Brutto &amp; Netto'!J11-'Bästa Brutto &amp; Netto'!K11+Dreamscore!X20-Dreamscore!AD20+'Öl &amp; Birdies'!E16-'Öl &amp; Birdies'!K5</f>
        <v>20</v>
      </c>
      <c r="G14" s="265">
        <f>100-Scoreboard!Z11-Scoreboard!Z31</f>
        <v>12</v>
      </c>
      <c r="H14" s="266">
        <f>Scoreboard!AP11</f>
        <v>0</v>
      </c>
      <c r="I14" s="233">
        <f>(Dreamscore!AB122*2)+(Dreamscore!AB123)</f>
        <v>13</v>
      </c>
      <c r="J14" s="231"/>
    </row>
    <row r="15" spans="2:10" x14ac:dyDescent="0.25">
      <c r="B15" s="118">
        <v>13</v>
      </c>
      <c r="D15" s="263" t="s">
        <v>15</v>
      </c>
      <c r="E15" s="264" t="s">
        <v>16</v>
      </c>
      <c r="F15" s="265">
        <f>'Bästa Brutto &amp; Netto'!D13-'Bästa Brutto &amp; Netto'!E13+'Bästa Brutto &amp; Netto'!J13-'Bästa Brutto &amp; Netto'!K13+Dreamscore!X9-Dreamscore!AD9+Tabell21[[#This Row],[Öl i år]]-'Öl &amp; Birdies'!K9</f>
        <v>23</v>
      </c>
      <c r="G15" s="265">
        <f>100-Scoreboard!Z13-Scoreboard!Z33</f>
        <v>17</v>
      </c>
      <c r="H15" s="266">
        <f>Scoreboard!AP13</f>
        <v>200</v>
      </c>
      <c r="I15" s="233">
        <f>(Dreamscore!AB25*2)+(Dreamscore!AB26)</f>
        <v>17</v>
      </c>
      <c r="J15" s="231"/>
    </row>
    <row r="16" spans="2:10" x14ac:dyDescent="0.25">
      <c r="B16" s="118">
        <v>14</v>
      </c>
      <c r="D16" s="263" t="s">
        <v>8</v>
      </c>
      <c r="E16" s="264" t="s">
        <v>19</v>
      </c>
      <c r="F16" s="265">
        <f>'Bästa Brutto &amp; Netto'!D15-'Bästa Brutto &amp; Netto'!E15+'Bästa Brutto &amp; Netto'!J15-'Bästa Brutto &amp; Netto'!K15+Dreamscore!X14-Dreamscore!AD14+'Öl &amp; Birdies'!E13-'Öl &amp; Birdies'!K15</f>
        <v>21</v>
      </c>
      <c r="G16" s="265">
        <f>100-Scoreboard!Z15-Scoreboard!Z35</f>
        <v>-3</v>
      </c>
      <c r="H16" s="266">
        <f>Scoreboard!AP15</f>
        <v>0</v>
      </c>
      <c r="I16" s="233">
        <f>(Dreamscore!AB170*2)+(Dreamscore!AB171)</f>
        <v>9</v>
      </c>
      <c r="J16" s="231"/>
    </row>
    <row r="17" spans="1:10" x14ac:dyDescent="0.25">
      <c r="A17" s="229" t="s">
        <v>91</v>
      </c>
      <c r="B17" s="271">
        <v>15</v>
      </c>
      <c r="D17" s="267" t="s">
        <v>195</v>
      </c>
      <c r="E17" s="268" t="s">
        <v>198</v>
      </c>
      <c r="F17" s="269">
        <f>'Bästa Brutto &amp; Netto'!D19-'Bästa Brutto &amp; Netto'!E19+'Bästa Brutto &amp; Netto'!J19-'Bästa Brutto &amp; Netto'!K1+Dreamscore!X21-Dreamscore!AD21+'Öl &amp; Birdies'!E19-'Öl &amp; Birdies'!K19</f>
        <v>167</v>
      </c>
      <c r="G17" s="269">
        <f>100-Scoreboard!Z19-Scoreboard!Z39</f>
        <v>-23</v>
      </c>
      <c r="H17" s="270">
        <f>Scoreboard!AP19</f>
        <v>0</v>
      </c>
      <c r="I17" s="234">
        <f>(Dreamscore!AB134*2)+(Dreamscore!AB135)</f>
        <v>7</v>
      </c>
      <c r="J17" s="231"/>
    </row>
    <row r="18" spans="1:10" x14ac:dyDescent="0.25">
      <c r="B18" s="271">
        <v>16</v>
      </c>
      <c r="D18" s="267" t="s">
        <v>106</v>
      </c>
      <c r="E18" s="268" t="s">
        <v>105</v>
      </c>
      <c r="F18" s="269">
        <f>'Bästa Brutto &amp; Netto'!D14-'Bästa Brutto &amp; Netto'!E14+'Bästa Brutto &amp; Netto'!J14-'Bästa Brutto &amp; Netto'!K14+Dreamscore!X18-Dreamscore!AD18+'Öl &amp; Birdies'!E17-'Öl &amp; Birdies'!K14</f>
        <v>15</v>
      </c>
      <c r="G18" s="269">
        <f>100-Scoreboard!Z14-Scoreboard!Z34</f>
        <v>-31</v>
      </c>
      <c r="H18" s="270">
        <f>Scoreboard!AP14</f>
        <v>0</v>
      </c>
      <c r="I18" s="234">
        <f>(Dreamscore!AB146*2)+(Dreamscore!AB147)</f>
        <v>3</v>
      </c>
      <c r="J18" s="231"/>
    </row>
    <row r="19" spans="1:10" x14ac:dyDescent="0.25">
      <c r="D19" s="231"/>
      <c r="E19" s="231"/>
      <c r="F19" s="232"/>
      <c r="G19" s="231"/>
      <c r="H19" s="232"/>
      <c r="I19" s="231"/>
      <c r="J19" s="231"/>
    </row>
    <row r="20" spans="1:10" x14ac:dyDescent="0.25">
      <c r="D20" s="231"/>
      <c r="E20" s="231"/>
      <c r="F20" s="232"/>
      <c r="G20" s="231"/>
      <c r="H20" s="232"/>
      <c r="I20" s="231"/>
      <c r="J20" s="231"/>
    </row>
    <row r="21" spans="1:10" x14ac:dyDescent="0.25">
      <c r="D21" s="231"/>
      <c r="E21" s="231"/>
      <c r="F21" s="232"/>
      <c r="G21" s="231"/>
      <c r="H21" s="232"/>
      <c r="I21" s="231"/>
      <c r="J21" s="231"/>
    </row>
    <row r="22" spans="1:10" x14ac:dyDescent="0.25">
      <c r="D22" s="231"/>
      <c r="E22" s="231"/>
      <c r="F22" s="232"/>
      <c r="G22" s="231"/>
      <c r="H22" s="232"/>
      <c r="I22" s="231"/>
      <c r="J22" s="231"/>
    </row>
    <row r="23" spans="1:10" x14ac:dyDescent="0.25">
      <c r="D23" s="231"/>
      <c r="E23" s="231"/>
      <c r="F23" s="232"/>
      <c r="G23" s="231"/>
      <c r="H23" s="232"/>
      <c r="I23" s="231"/>
      <c r="J23" s="231"/>
    </row>
    <row r="24" spans="1:10" x14ac:dyDescent="0.25">
      <c r="D24" s="231"/>
      <c r="E24" s="231"/>
      <c r="F24" s="232"/>
      <c r="G24" s="231"/>
      <c r="H24" s="232"/>
      <c r="I24" s="231"/>
      <c r="J24" s="231"/>
    </row>
    <row r="25" spans="1:10" x14ac:dyDescent="0.25">
      <c r="D25" s="231"/>
      <c r="E25" s="231"/>
      <c r="F25" s="232"/>
      <c r="G25" s="231"/>
      <c r="H25" s="232"/>
      <c r="I25" s="231"/>
      <c r="J25" s="231"/>
    </row>
    <row r="26" spans="1:10" x14ac:dyDescent="0.25">
      <c r="I26" s="231"/>
    </row>
  </sheetData>
  <pageMargins left="0.7" right="0.7" top="0.75" bottom="0.75" header="0.3" footer="0.3"/>
  <pageSetup paperSize="9" orientation="portrait" horizontalDpi="4294967295" verticalDpi="4294967295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  <pageSetUpPr fitToPage="1"/>
  </sheetPr>
  <dimension ref="B2:AU233"/>
  <sheetViews>
    <sheetView tabSelected="1" topLeftCell="A190" zoomScale="80" zoomScaleNormal="80" zoomScalePageLayoutView="55" workbookViewId="0">
      <selection activeCell="AD227" sqref="AD227"/>
    </sheetView>
  </sheetViews>
  <sheetFormatPr defaultColWidth="8.85546875" defaultRowHeight="15" x14ac:dyDescent="0.25"/>
  <cols>
    <col min="1" max="1" width="5.28515625" style="84" customWidth="1"/>
    <col min="2" max="2" width="14.85546875" style="84" bestFit="1" customWidth="1"/>
    <col min="3" max="3" width="11.7109375" style="84" bestFit="1" customWidth="1"/>
    <col min="4" max="4" width="5" style="95" customWidth="1"/>
    <col min="5" max="21" width="5.7109375" style="95" customWidth="1"/>
    <col min="22" max="22" width="6.140625" style="84" bestFit="1" customWidth="1"/>
    <col min="23" max="23" width="2.42578125" style="84" customWidth="1"/>
    <col min="24" max="24" width="11.42578125" style="95" bestFit="1" customWidth="1"/>
    <col min="25" max="25" width="1" style="84" customWidth="1"/>
    <col min="26" max="26" width="5" style="95" customWidth="1"/>
    <col min="27" max="27" width="1.140625" style="84" customWidth="1"/>
    <col min="28" max="28" width="9.7109375" style="95" customWidth="1"/>
    <col min="29" max="29" width="2.28515625" style="84" customWidth="1"/>
    <col min="30" max="30" width="11" style="84" customWidth="1"/>
    <col min="31" max="46" width="8.85546875" style="84"/>
    <col min="47" max="47" width="11.7109375" style="84" bestFit="1" customWidth="1"/>
    <col min="48" max="16384" width="8.85546875" style="84"/>
  </cols>
  <sheetData>
    <row r="2" spans="2:30" ht="18.75" x14ac:dyDescent="0.3">
      <c r="B2" s="86" t="s">
        <v>71</v>
      </c>
      <c r="D2" s="97" t="s">
        <v>82</v>
      </c>
      <c r="H2" s="98">
        <v>-2</v>
      </c>
      <c r="I2" s="99">
        <v>-1</v>
      </c>
      <c r="J2" s="100" t="s">
        <v>83</v>
      </c>
      <c r="K2" s="101">
        <v>1</v>
      </c>
      <c r="L2" s="102">
        <v>2</v>
      </c>
    </row>
    <row r="4" spans="2:30" ht="15.75" thickBot="1" x14ac:dyDescent="0.3">
      <c r="B4" s="12" t="s">
        <v>20</v>
      </c>
      <c r="C4" s="12" t="s">
        <v>21</v>
      </c>
      <c r="D4" s="96" t="s">
        <v>22</v>
      </c>
      <c r="E4" s="96" t="s">
        <v>23</v>
      </c>
      <c r="F4" s="96" t="s">
        <v>24</v>
      </c>
      <c r="G4" s="96" t="s">
        <v>25</v>
      </c>
      <c r="H4" s="96" t="s">
        <v>26</v>
      </c>
      <c r="I4" s="96" t="s">
        <v>27</v>
      </c>
      <c r="J4" s="96" t="s">
        <v>28</v>
      </c>
      <c r="K4" s="96" t="s">
        <v>29</v>
      </c>
      <c r="L4" s="96" t="s">
        <v>30</v>
      </c>
      <c r="M4" s="96" t="s">
        <v>72</v>
      </c>
      <c r="N4" s="96" t="s">
        <v>73</v>
      </c>
      <c r="O4" s="96" t="s">
        <v>74</v>
      </c>
      <c r="P4" s="96" t="s">
        <v>75</v>
      </c>
      <c r="Q4" s="96" t="s">
        <v>76</v>
      </c>
      <c r="R4" s="96" t="s">
        <v>77</v>
      </c>
      <c r="S4" s="96" t="s">
        <v>78</v>
      </c>
      <c r="T4" s="96" t="s">
        <v>79</v>
      </c>
      <c r="U4" s="96" t="s">
        <v>80</v>
      </c>
      <c r="V4" s="89" t="s">
        <v>39</v>
      </c>
      <c r="X4" s="37" t="s">
        <v>84</v>
      </c>
      <c r="Z4" s="75" t="s">
        <v>85</v>
      </c>
      <c r="AB4" s="103" t="s">
        <v>86</v>
      </c>
      <c r="AD4" s="125" t="s">
        <v>95</v>
      </c>
    </row>
    <row r="5" spans="2:30" x14ac:dyDescent="0.25">
      <c r="B5" s="87" t="s">
        <v>6</v>
      </c>
      <c r="C5" s="88" t="s">
        <v>7</v>
      </c>
      <c r="D5" s="134">
        <f>SMALL(Tabell7[1],1)</f>
        <v>1</v>
      </c>
      <c r="E5" s="134">
        <f>SMALL(Tabell7[2],1)</f>
        <v>1</v>
      </c>
      <c r="F5" s="134">
        <f>SMALL(Tabell7[3],1)</f>
        <v>0</v>
      </c>
      <c r="G5" s="134">
        <f>SMALL(Tabell7[4],1)</f>
        <v>1</v>
      </c>
      <c r="H5" s="134">
        <f>SMALL(Tabell7[5],1)</f>
        <v>1</v>
      </c>
      <c r="I5" s="134">
        <f>SMALL(Tabell7[6],1)</f>
        <v>0</v>
      </c>
      <c r="J5" s="134">
        <f>SMALL(Tabell7[7],1)</f>
        <v>0</v>
      </c>
      <c r="K5" s="134">
        <f>SMALL(Tabell7[8],1)</f>
        <v>0</v>
      </c>
      <c r="L5" s="134">
        <f>SMALL(Tabell7[9],1)</f>
        <v>0</v>
      </c>
      <c r="M5" s="134">
        <f>SMALL(Tabell7[10],1)</f>
        <v>0</v>
      </c>
      <c r="N5" s="134">
        <f>SMALL(Tabell7[11],1)</f>
        <v>0</v>
      </c>
      <c r="O5" s="134">
        <f>SMALL(Tabell7[12],1)</f>
        <v>1</v>
      </c>
      <c r="P5" s="134">
        <f>SMALL(Tabell7[13],1)</f>
        <v>0</v>
      </c>
      <c r="Q5" s="134">
        <f>SMALL(Tabell7[14],1)</f>
        <v>1</v>
      </c>
      <c r="R5" s="134">
        <f>SMALL(Tabell7[15],1)</f>
        <v>0</v>
      </c>
      <c r="S5" s="134">
        <f>SMALL(Tabell7[16],1)</f>
        <v>-1</v>
      </c>
      <c r="T5" s="134">
        <f>SMALL(Tabell7[17],1)</f>
        <v>2</v>
      </c>
      <c r="U5" s="134">
        <f>SMALL(Tabell7[18],1)</f>
        <v>0</v>
      </c>
      <c r="V5" s="90">
        <f t="shared" ref="V5:V18" si="0">SUM(D5:U5)</f>
        <v>7</v>
      </c>
      <c r="X5" s="177">
        <f>72+Tabell5[[#This Row],[Tot]]</f>
        <v>79</v>
      </c>
      <c r="Z5" s="44">
        <f>RANK(X5,Tabell42[Score],1)</f>
        <v>11</v>
      </c>
      <c r="AB5" s="104">
        <f>X5-SMALL(X5:X21,1)</f>
        <v>10</v>
      </c>
      <c r="AD5" s="126">
        <v>79</v>
      </c>
    </row>
    <row r="6" spans="2:30" x14ac:dyDescent="0.25">
      <c r="B6" s="13" t="s">
        <v>10</v>
      </c>
      <c r="C6" s="14" t="s">
        <v>11</v>
      </c>
      <c r="D6" s="134">
        <f>SMALL(Tabell714[1],1)</f>
        <v>0</v>
      </c>
      <c r="E6" s="134">
        <f>SMALL(Tabell714[2],1)</f>
        <v>1</v>
      </c>
      <c r="F6" s="134">
        <f>SMALL(Tabell714[3],1)</f>
        <v>0</v>
      </c>
      <c r="G6" s="134">
        <f>SMALL(Tabell714[4],1)</f>
        <v>0</v>
      </c>
      <c r="H6" s="134">
        <f>SMALL(Tabell714[5],1)</f>
        <v>0</v>
      </c>
      <c r="I6" s="134">
        <f>SMALL(Tabell714[6],1)</f>
        <v>1</v>
      </c>
      <c r="J6" s="134">
        <f>SMALL(Tabell714[7],1)</f>
        <v>1</v>
      </c>
      <c r="K6" s="134">
        <f>SMALL(Tabell714[8],1)</f>
        <v>0</v>
      </c>
      <c r="L6" s="134">
        <f>SMALL(Tabell714[9],1)</f>
        <v>1</v>
      </c>
      <c r="M6" s="134">
        <f>SMALL(Tabell714[10],1)</f>
        <v>0</v>
      </c>
      <c r="N6" s="134">
        <f>SMALL(Tabell714[11],1)</f>
        <v>1</v>
      </c>
      <c r="O6" s="134">
        <f>SMALL(Tabell714[12],1)</f>
        <v>1</v>
      </c>
      <c r="P6" s="134">
        <f>SMALL(Tabell714[13],1)</f>
        <v>0</v>
      </c>
      <c r="Q6" s="134">
        <f>SMALL(Tabell714[14],1)</f>
        <v>-1</v>
      </c>
      <c r="R6" s="134">
        <f>SMALL(Tabell714[15],1)</f>
        <v>0</v>
      </c>
      <c r="S6" s="134">
        <f>SMALL(Tabell714[16],1)</f>
        <v>0</v>
      </c>
      <c r="T6" s="134">
        <f>SMALL(Tabell714[17],1)</f>
        <v>-1</v>
      </c>
      <c r="U6" s="134">
        <f>SMALL(Tabell714[18],1)</f>
        <v>0</v>
      </c>
      <c r="V6" s="91">
        <f t="shared" si="0"/>
        <v>4</v>
      </c>
      <c r="X6" s="177">
        <f>72+Tabell5[[#This Row],[Tot]]</f>
        <v>76</v>
      </c>
      <c r="Z6" s="44">
        <f>RANK(X6,Tabell42[Score],1)</f>
        <v>6</v>
      </c>
      <c r="AB6" s="104">
        <f>X6-SMALL(X5:X21,1)</f>
        <v>7</v>
      </c>
      <c r="AD6" s="127">
        <v>70</v>
      </c>
    </row>
    <row r="7" spans="2:30" x14ac:dyDescent="0.25">
      <c r="B7" s="13" t="s">
        <v>14</v>
      </c>
      <c r="C7" s="14" t="s">
        <v>13</v>
      </c>
      <c r="D7" s="134">
        <f>SMALL(Tabell71415[1],1)</f>
        <v>0</v>
      </c>
      <c r="E7" s="134">
        <f>SMALL(Tabell71415[2],1)</f>
        <v>0</v>
      </c>
      <c r="F7" s="134">
        <f>SMALL(Tabell71415[3],1)</f>
        <v>1</v>
      </c>
      <c r="G7" s="134">
        <f>SMALL(Tabell71415[4],1)</f>
        <v>0</v>
      </c>
      <c r="H7" s="134">
        <f>SMALL(Tabell71415[5],1)</f>
        <v>0</v>
      </c>
      <c r="I7" s="134">
        <f>SMALL(Tabell71415[6],1)</f>
        <v>-1</v>
      </c>
      <c r="J7" s="134">
        <f>SMALL(Tabell71415[7],1)</f>
        <v>1</v>
      </c>
      <c r="K7" s="134">
        <f>SMALL(Tabell71415[8],1)</f>
        <v>0</v>
      </c>
      <c r="L7" s="134">
        <f>SMALL(Tabell71415[9],1)</f>
        <v>1</v>
      </c>
      <c r="M7" s="134">
        <f>SMALL(Tabell71415[10],1)</f>
        <v>0</v>
      </c>
      <c r="N7" s="134">
        <f>SMALL(Tabell71415[11],1)</f>
        <v>-1</v>
      </c>
      <c r="O7" s="134">
        <f>SMALL(Tabell71415[12],1)</f>
        <v>1</v>
      </c>
      <c r="P7" s="134">
        <f>SMALL(Tabell71415[13],1)</f>
        <v>0</v>
      </c>
      <c r="Q7" s="134">
        <f>SMALL(Tabell71415[14],1)</f>
        <v>0</v>
      </c>
      <c r="R7" s="134">
        <f>SMALL(Tabell71415[15],1)</f>
        <v>0</v>
      </c>
      <c r="S7" s="134">
        <f>SMALL(Tabell71415[16],1)</f>
        <v>0</v>
      </c>
      <c r="T7" s="134">
        <f>SMALL(Tabell71415[17],1)</f>
        <v>0</v>
      </c>
      <c r="U7" s="134">
        <f>SMALL(Tabell71415[18],1)</f>
        <v>1</v>
      </c>
      <c r="V7" s="91">
        <f t="shared" si="0"/>
        <v>3</v>
      </c>
      <c r="X7" s="177">
        <f>72+Tabell5[[#This Row],[Tot]]</f>
        <v>75</v>
      </c>
      <c r="Z7" s="44">
        <f>RANK(X7,Tabell42[Score],1)</f>
        <v>5</v>
      </c>
      <c r="AB7" s="104">
        <f>X7-SMALL(X5:X21,1)</f>
        <v>6</v>
      </c>
      <c r="AD7" s="127">
        <v>72</v>
      </c>
    </row>
    <row r="8" spans="2:30" x14ac:dyDescent="0.25">
      <c r="B8" s="13" t="s">
        <v>8</v>
      </c>
      <c r="C8" s="14" t="s">
        <v>9</v>
      </c>
      <c r="D8" s="134">
        <f>SMALL(Tabell7141520[1],1)</f>
        <v>0</v>
      </c>
      <c r="E8" s="134">
        <f>SMALL(Tabell7141520[2],1)</f>
        <v>0</v>
      </c>
      <c r="F8" s="134">
        <f>SMALL(Tabell7141520[3],1)</f>
        <v>0</v>
      </c>
      <c r="G8" s="134">
        <f>SMALL(Tabell7141520[4],1)</f>
        <v>1</v>
      </c>
      <c r="H8" s="134">
        <f>SMALL(Tabell7141520[5],1)</f>
        <v>1</v>
      </c>
      <c r="I8" s="134">
        <f>SMALL(Tabell7141520[6],1)</f>
        <v>0</v>
      </c>
      <c r="J8" s="134">
        <f>SMALL(Tabell7141520[7],1)</f>
        <v>0</v>
      </c>
      <c r="K8" s="134">
        <f>SMALL(Tabell7141520[8],1)</f>
        <v>0</v>
      </c>
      <c r="L8" s="134">
        <f>SMALL(Tabell7141520[9],1)</f>
        <v>-1</v>
      </c>
      <c r="M8" s="134">
        <f>SMALL(Tabell7141520[10],1)</f>
        <v>0</v>
      </c>
      <c r="N8" s="134">
        <f>SMALL(Tabell7141520[11],1)</f>
        <v>0</v>
      </c>
      <c r="O8" s="134">
        <f>SMALL(Tabell7141520[12],1)</f>
        <v>0</v>
      </c>
      <c r="P8" s="134">
        <f>SMALL(Tabell7141520[13],1)</f>
        <v>0</v>
      </c>
      <c r="Q8" s="134">
        <f>SMALL(Tabell7141520[14],1)</f>
        <v>1</v>
      </c>
      <c r="R8" s="134">
        <f>SMALL(Tabell7141520[15],1)</f>
        <v>1</v>
      </c>
      <c r="S8" s="134">
        <f>SMALL(Tabell7141520[16],1)</f>
        <v>1</v>
      </c>
      <c r="T8" s="134">
        <f>SMALL(Tabell7141520[17],1)</f>
        <v>0</v>
      </c>
      <c r="U8" s="134">
        <f>SMALL(Tabell7141520[18],1)</f>
        <v>0</v>
      </c>
      <c r="V8" s="91">
        <f t="shared" si="0"/>
        <v>4</v>
      </c>
      <c r="X8" s="177">
        <f>72+Tabell5[[#This Row],[Tot]]</f>
        <v>76</v>
      </c>
      <c r="Z8" s="44">
        <f>RANK(X8,Tabell42[Score],1)</f>
        <v>6</v>
      </c>
      <c r="AB8" s="104">
        <f>X8-SMALL(X5:X21,1)</f>
        <v>7</v>
      </c>
      <c r="AD8" s="127">
        <v>74</v>
      </c>
    </row>
    <row r="9" spans="2:30" x14ac:dyDescent="0.25">
      <c r="B9" s="13" t="s">
        <v>15</v>
      </c>
      <c r="C9" s="14" t="s">
        <v>16</v>
      </c>
      <c r="D9" s="134">
        <f>SMALL(Tabell714152021[1],1)</f>
        <v>1</v>
      </c>
      <c r="E9" s="134">
        <f>SMALL(Tabell714152021[2],1)</f>
        <v>0</v>
      </c>
      <c r="F9" s="134">
        <f>SMALL(Tabell714152021[3],1)</f>
        <v>1</v>
      </c>
      <c r="G9" s="134">
        <f>SMALL(Tabell714152021[4],1)</f>
        <v>0</v>
      </c>
      <c r="H9" s="134">
        <f>SMALL(Tabell714152021[5],1)</f>
        <v>0</v>
      </c>
      <c r="I9" s="134">
        <f>SMALL(Tabell714152021[6],1)</f>
        <v>0</v>
      </c>
      <c r="J9" s="134">
        <f>SMALL(Tabell714152021[7],1)</f>
        <v>1</v>
      </c>
      <c r="K9" s="134">
        <f>SMALL(Tabell714152021[8],1)</f>
        <v>1</v>
      </c>
      <c r="L9" s="134">
        <f>SMALL(Tabell714152021[9],1)</f>
        <v>0</v>
      </c>
      <c r="M9" s="134">
        <f>SMALL(Tabell714152021[10],1)</f>
        <v>1</v>
      </c>
      <c r="N9" s="134">
        <f>SMALL(Tabell714152021[11],1)</f>
        <v>0</v>
      </c>
      <c r="O9" s="134">
        <f>SMALL(Tabell714152021[12],1)</f>
        <v>0</v>
      </c>
      <c r="P9" s="134">
        <f>SMALL(Tabell714152021[13],1)</f>
        <v>0</v>
      </c>
      <c r="Q9" s="134">
        <f>SMALL(Tabell714152021[14],1)</f>
        <v>0</v>
      </c>
      <c r="R9" s="134">
        <f>SMALL(Tabell714152021[15],1)</f>
        <v>0</v>
      </c>
      <c r="S9" s="134">
        <f>SMALL(Tabell714152021[16],1)</f>
        <v>-1</v>
      </c>
      <c r="T9" s="134">
        <f>SMALL(Tabell714152021[17],1)</f>
        <v>1</v>
      </c>
      <c r="U9" s="134">
        <f>SMALL(Tabell714152021[18],1)</f>
        <v>0</v>
      </c>
      <c r="V9" s="91">
        <f t="shared" si="0"/>
        <v>5</v>
      </c>
      <c r="X9" s="177">
        <f>72+Tabell5[[#This Row],[Tot]]</f>
        <v>77</v>
      </c>
      <c r="Z9" s="44">
        <f>RANK(X9,Tabell42[Score],1)</f>
        <v>8</v>
      </c>
      <c r="AB9" s="104">
        <f>X9-SMALL(X5:X21,1)</f>
        <v>8</v>
      </c>
      <c r="AD9" s="127">
        <v>73</v>
      </c>
    </row>
    <row r="10" spans="2:30" x14ac:dyDescent="0.25">
      <c r="B10" s="13" t="s">
        <v>12</v>
      </c>
      <c r="C10" s="14" t="s">
        <v>13</v>
      </c>
      <c r="D10" s="134">
        <f>SMALL(Tabell71415202134[1],1)</f>
        <v>1</v>
      </c>
      <c r="E10" s="134">
        <f>SMALL(Tabell71415202134[2],1)</f>
        <v>0</v>
      </c>
      <c r="F10" s="134">
        <f>SMALL(Tabell71415202134[3],1)</f>
        <v>1</v>
      </c>
      <c r="G10" s="134">
        <f>SMALL(Tabell71415202134[4],1)</f>
        <v>0</v>
      </c>
      <c r="H10" s="134">
        <f>SMALL(Tabell71415202134[5],1)</f>
        <v>0</v>
      </c>
      <c r="I10" s="134">
        <f>SMALL(Tabell71415202134[6],1)</f>
        <v>0</v>
      </c>
      <c r="J10" s="134">
        <f>SMALL(Tabell71415202134[7],1)</f>
        <v>0</v>
      </c>
      <c r="K10" s="134">
        <f>SMALL(Tabell71415202134[8],1)</f>
        <v>0</v>
      </c>
      <c r="L10" s="134">
        <f>SMALL(Tabell71415202134[9],1)</f>
        <v>1</v>
      </c>
      <c r="M10" s="134">
        <f>SMALL(Tabell71415202134[10],1)</f>
        <v>1</v>
      </c>
      <c r="N10" s="134">
        <f>SMALL(Tabell71415202134[11],1)</f>
        <v>0</v>
      </c>
      <c r="O10" s="134">
        <f>SMALL(Tabell71415202134[12],1)</f>
        <v>1</v>
      </c>
      <c r="P10" s="134">
        <f>SMALL(Tabell71415202134[13],1)</f>
        <v>0</v>
      </c>
      <c r="Q10" s="134">
        <f>SMALL(Tabell71415202134[14],1)</f>
        <v>1</v>
      </c>
      <c r="R10" s="134">
        <f>SMALL(Tabell71415202134[15],1)</f>
        <v>1</v>
      </c>
      <c r="S10" s="134">
        <f>SMALL(Tabell71415202134[16],1)</f>
        <v>0</v>
      </c>
      <c r="T10" s="134">
        <f>SMALL(Tabell71415202134[17],1)</f>
        <v>1</v>
      </c>
      <c r="U10" s="134">
        <f>SMALL(Tabell71415202134[18],1)</f>
        <v>0</v>
      </c>
      <c r="V10" s="91">
        <f t="shared" si="0"/>
        <v>8</v>
      </c>
      <c r="X10" s="177">
        <f>72+Tabell5[[#This Row],[Tot]]</f>
        <v>80</v>
      </c>
      <c r="Z10" s="44">
        <f>RANK(X10,Tabell42[Score],1)</f>
        <v>12</v>
      </c>
      <c r="AB10" s="104">
        <f>X10-SMALL(X5:X21,1)</f>
        <v>11</v>
      </c>
      <c r="AD10" s="127">
        <v>79</v>
      </c>
    </row>
    <row r="11" spans="2:30" x14ac:dyDescent="0.25">
      <c r="B11" s="13" t="s">
        <v>0</v>
      </c>
      <c r="C11" s="14" t="s">
        <v>1</v>
      </c>
      <c r="D11" s="134">
        <f>SMALL(Tabell7141520213435[1],1)</f>
        <v>0</v>
      </c>
      <c r="E11" s="134">
        <f>SMALL(Tabell7141520213435[2],1)</f>
        <v>-1</v>
      </c>
      <c r="F11" s="134">
        <f>SMALL(Tabell7141520213435[3],1)</f>
        <v>0</v>
      </c>
      <c r="G11" s="134">
        <f>SMALL(Tabell7141520213435[4],1)</f>
        <v>0</v>
      </c>
      <c r="H11" s="134">
        <f>SMALL(Tabell7141520213435[5],1)</f>
        <v>0</v>
      </c>
      <c r="I11" s="134">
        <f>SMALL(Tabell7141520213435[6],1)</f>
        <v>0</v>
      </c>
      <c r="J11" s="134">
        <f>SMALL(Tabell7141520213435[7],1)</f>
        <v>0</v>
      </c>
      <c r="K11" s="134">
        <f>SMALL(Tabell7141520213435[8],1)</f>
        <v>-1</v>
      </c>
      <c r="L11" s="134">
        <f>SMALL(Tabell7141520213435[9],1)</f>
        <v>0</v>
      </c>
      <c r="M11" s="134">
        <f>SMALL(Tabell7141520213435[10],1)</f>
        <v>0</v>
      </c>
      <c r="N11" s="134">
        <f>SMALL(Tabell7141520213435[11],1)</f>
        <v>0</v>
      </c>
      <c r="O11" s="134">
        <f>SMALL(Tabell7141520213435[12],1)</f>
        <v>-1</v>
      </c>
      <c r="P11" s="134">
        <f>SMALL(Tabell7141520213435[13],1)</f>
        <v>-1</v>
      </c>
      <c r="Q11" s="134">
        <f>SMALL(Tabell7141520213435[14],1)</f>
        <v>1</v>
      </c>
      <c r="R11" s="134">
        <f>SMALL(Tabell7141520213435[15],1)</f>
        <v>0</v>
      </c>
      <c r="S11" s="134">
        <f>SMALL(Tabell7141520213435[16],1)</f>
        <v>0</v>
      </c>
      <c r="T11" s="134">
        <f>SMALL(Tabell7141520213435[17],1)</f>
        <v>0</v>
      </c>
      <c r="U11" s="134">
        <f>SMALL(Tabell7141520213435[18],1)</f>
        <v>0</v>
      </c>
      <c r="V11" s="91">
        <f t="shared" si="0"/>
        <v>-3</v>
      </c>
      <c r="X11" s="177">
        <f>72+Tabell5[[#This Row],[Tot]]</f>
        <v>69</v>
      </c>
      <c r="Z11" s="44">
        <f>RANK(X11,Tabell42[Score],1)</f>
        <v>1</v>
      </c>
      <c r="AB11" s="104">
        <f>X11-SMALL(X15:X19,1)</f>
        <v>0</v>
      </c>
      <c r="AD11" s="127">
        <v>69</v>
      </c>
    </row>
    <row r="12" spans="2:30" x14ac:dyDescent="0.25">
      <c r="B12" s="13" t="s">
        <v>4</v>
      </c>
      <c r="C12" s="14" t="s">
        <v>5</v>
      </c>
      <c r="D12" s="134">
        <f>SMALL(Tabell714152021343536[1],1)</f>
        <v>0</v>
      </c>
      <c r="E12" s="134">
        <f>SMALL(Tabell714152021343536[2],1)</f>
        <v>0</v>
      </c>
      <c r="F12" s="134">
        <f>SMALL(Tabell714152021343536[3],1)</f>
        <v>0</v>
      </c>
      <c r="G12" s="134">
        <f>SMALL(Tabell714152021343536[4],1)</f>
        <v>0</v>
      </c>
      <c r="H12" s="134">
        <f>SMALL(Tabell714152021343536[5],1)</f>
        <v>0</v>
      </c>
      <c r="I12" s="134">
        <f>SMALL(Tabell714152021343536[6],1)</f>
        <v>1</v>
      </c>
      <c r="J12" s="134">
        <f>SMALL(Tabell714152021343536[7],1)</f>
        <v>1</v>
      </c>
      <c r="K12" s="134">
        <f>SMALL(Tabell714152021343536[8],1)</f>
        <v>0</v>
      </c>
      <c r="L12" s="134">
        <f>SMALL(Tabell714152021343536[9],1)</f>
        <v>1</v>
      </c>
      <c r="M12" s="134">
        <f>SMALL(Tabell714152021343536[10],1)</f>
        <v>1</v>
      </c>
      <c r="N12" s="134">
        <f>SMALL(Tabell714152021343536[11],1)</f>
        <v>0</v>
      </c>
      <c r="O12" s="134">
        <f>SMALL(Tabell714152021343536[12],1)</f>
        <v>0</v>
      </c>
      <c r="P12" s="134">
        <f>SMALL(Tabell714152021343536[13],1)</f>
        <v>0</v>
      </c>
      <c r="Q12" s="134">
        <f>SMALL(Tabell714152021343536[14],1)</f>
        <v>0</v>
      </c>
      <c r="R12" s="134">
        <f>SMALL(Tabell714152021343536[15],1)</f>
        <v>1</v>
      </c>
      <c r="S12" s="134">
        <f>SMALL(Tabell714152021343536[16],1)</f>
        <v>0</v>
      </c>
      <c r="T12" s="134">
        <f>SMALL(Tabell714152021343536[17],1)</f>
        <v>0</v>
      </c>
      <c r="U12" s="134">
        <f>SMALL(Tabell714152021343536[18],1)</f>
        <v>0</v>
      </c>
      <c r="V12" s="91">
        <f t="shared" si="0"/>
        <v>5</v>
      </c>
      <c r="X12" s="177">
        <f>72+Tabell5[[#This Row],[Tot]]</f>
        <v>77</v>
      </c>
      <c r="Z12" s="44">
        <f>RANK(X12,Tabell42[Score],1)</f>
        <v>8</v>
      </c>
      <c r="AB12" s="104">
        <f>X12-SMALL(X5:X21,1)</f>
        <v>8</v>
      </c>
      <c r="AD12" s="127">
        <v>74</v>
      </c>
    </row>
    <row r="13" spans="2:30" x14ac:dyDescent="0.25">
      <c r="B13" s="13" t="s">
        <v>17</v>
      </c>
      <c r="C13" s="14" t="s">
        <v>18</v>
      </c>
      <c r="D13" s="134">
        <f>SMALL(Tabell71415202134353637[1],1)</f>
        <v>1</v>
      </c>
      <c r="E13" s="134">
        <f>SMALL(Tabell71415202134353637[2],1)</f>
        <v>0</v>
      </c>
      <c r="F13" s="134">
        <f>SMALL(Tabell71415202134353637[3],1)</f>
        <v>1</v>
      </c>
      <c r="G13" s="134">
        <f>SMALL(Tabell71415202134353637[4],1)</f>
        <v>1</v>
      </c>
      <c r="H13" s="134">
        <f>SMALL(Tabell71415202134353637[5],1)</f>
        <v>1</v>
      </c>
      <c r="I13" s="134">
        <f>SMALL(Tabell71415202134353637[6],1)</f>
        <v>0</v>
      </c>
      <c r="J13" s="134">
        <f>SMALL(Tabell71415202134353637[7],1)</f>
        <v>1</v>
      </c>
      <c r="K13" s="134">
        <f>SMALL(Tabell71415202134353637[8],1)</f>
        <v>0</v>
      </c>
      <c r="L13" s="134">
        <f>SMALL(Tabell71415202134353637[9],1)</f>
        <v>0</v>
      </c>
      <c r="M13" s="134">
        <f>SMALL(Tabell71415202134353637[10],1)</f>
        <v>1</v>
      </c>
      <c r="N13" s="134">
        <f>SMALL(Tabell71415202134353637[11],1)</f>
        <v>0</v>
      </c>
      <c r="O13" s="134">
        <f>SMALL(Tabell71415202134353637[12],1)</f>
        <v>0</v>
      </c>
      <c r="P13" s="134">
        <f>SMALL(Tabell71415202134353637[13],1)</f>
        <v>0</v>
      </c>
      <c r="Q13" s="134">
        <f>SMALL(Tabell71415202134353637[14],1)</f>
        <v>1</v>
      </c>
      <c r="R13" s="134">
        <f>SMALL(Tabell71415202134353637[15],1)</f>
        <v>0</v>
      </c>
      <c r="S13" s="134">
        <f>SMALL(Tabell71415202134353637[16],1)</f>
        <v>1</v>
      </c>
      <c r="T13" s="134">
        <f>SMALL(Tabell71415202134353637[17],1)</f>
        <v>1</v>
      </c>
      <c r="U13" s="134">
        <f>SMALL(Tabell71415202134353637[18],1)</f>
        <v>0</v>
      </c>
      <c r="V13" s="91">
        <f t="shared" si="0"/>
        <v>9</v>
      </c>
      <c r="X13" s="177">
        <f>72+Tabell5[[#This Row],[Tot]]</f>
        <v>81</v>
      </c>
      <c r="Z13" s="44">
        <f>RANK(X13,Tabell42[Score],1)</f>
        <v>13</v>
      </c>
      <c r="AB13" s="104">
        <f>X13-SMALL(X5:X21,1)</f>
        <v>12</v>
      </c>
      <c r="AD13" s="127">
        <v>80</v>
      </c>
    </row>
    <row r="14" spans="2:30" x14ac:dyDescent="0.25">
      <c r="B14" s="13" t="s">
        <v>8</v>
      </c>
      <c r="C14" s="14" t="s">
        <v>19</v>
      </c>
      <c r="D14" s="134">
        <f>SMALL(Tabell7141520213435363738[1],1)</f>
        <v>0</v>
      </c>
      <c r="E14" s="134">
        <f>SMALL(Tabell7141520213435363738[2],1)</f>
        <v>0</v>
      </c>
      <c r="F14" s="134">
        <f>SMALL(Tabell7141520213435363738[3],1)</f>
        <v>0</v>
      </c>
      <c r="G14" s="134">
        <f>SMALL(Tabell7141520213435363738[4],1)</f>
        <v>0</v>
      </c>
      <c r="H14" s="134">
        <f>SMALL(Tabell7141520213435363738[5],1)</f>
        <v>1</v>
      </c>
      <c r="I14" s="134">
        <f>SMALL(Tabell7141520213435363738[6],1)</f>
        <v>1</v>
      </c>
      <c r="J14" s="134">
        <f>SMALL(Tabell7141520213435363738[7],1)</f>
        <v>1</v>
      </c>
      <c r="K14" s="134">
        <f>SMALL(Tabell7141520213435363738[8],1)</f>
        <v>1</v>
      </c>
      <c r="L14" s="134">
        <f>SMALL(Tabell7141520213435363738[9],1)</f>
        <v>1</v>
      </c>
      <c r="M14" s="134">
        <f>SMALL(Tabell7141520213435363738[10],1)</f>
        <v>1</v>
      </c>
      <c r="N14" s="134">
        <f>SMALL(Tabell7141520213435363738[11],1)</f>
        <v>0</v>
      </c>
      <c r="O14" s="134">
        <f>SMALL(Tabell7141520213435363738[12],1)</f>
        <v>1</v>
      </c>
      <c r="P14" s="134">
        <f>SMALL(Tabell7141520213435363738[13],1)</f>
        <v>0</v>
      </c>
      <c r="Q14" s="134">
        <f>SMALL(Tabell7141520213435363738[14],1)</f>
        <v>1</v>
      </c>
      <c r="R14" s="134">
        <f>SMALL(Tabell7141520213435363738[15],1)</f>
        <v>1</v>
      </c>
      <c r="S14" s="134">
        <f>SMALL(Tabell7141520213435363738[16],1)</f>
        <v>0</v>
      </c>
      <c r="T14" s="134">
        <f>SMALL(Tabell7141520213435363738[17],1)</f>
        <v>1</v>
      </c>
      <c r="U14" s="134">
        <f>SMALL(Tabell7141520213435363738[18],1)</f>
        <v>1</v>
      </c>
      <c r="V14" s="91">
        <f t="shared" si="0"/>
        <v>11</v>
      </c>
      <c r="X14" s="177">
        <f>72+Tabell5[[#This Row],[Tot]]</f>
        <v>83</v>
      </c>
      <c r="Z14" s="44">
        <f>RANK(X14,Tabell42[Score],1)</f>
        <v>14</v>
      </c>
      <c r="AB14" s="104">
        <f>X14-SMALL(X5:X21,1)</f>
        <v>14</v>
      </c>
      <c r="AD14" s="127">
        <v>80</v>
      </c>
    </row>
    <row r="15" spans="2:30" hidden="1" x14ac:dyDescent="0.25">
      <c r="B15" s="4" t="s">
        <v>123</v>
      </c>
      <c r="C15" s="5" t="s">
        <v>128</v>
      </c>
      <c r="D15" s="134">
        <f>SMALL(Tabell714152021343536373839[1],1)</f>
        <v>1</v>
      </c>
      <c r="E15" s="134">
        <f>SMALL(Tabell714152021343536373839[2],1)</f>
        <v>0</v>
      </c>
      <c r="F15" s="134">
        <f>SMALL(Tabell714152021343536373839[3],1)</f>
        <v>1</v>
      </c>
      <c r="G15" s="134">
        <f>SMALL(Tabell714152021343536373839[4],1)</f>
        <v>1</v>
      </c>
      <c r="H15" s="134">
        <f>SMALL(Tabell714152021343536373839[5],1)</f>
        <v>1</v>
      </c>
      <c r="I15" s="134">
        <f>SMALL(Tabell714152021343536373839[6],1)</f>
        <v>0</v>
      </c>
      <c r="J15" s="134">
        <f>SMALL(Tabell714152021343536373839[7],1)</f>
        <v>1</v>
      </c>
      <c r="K15" s="134">
        <f>SMALL(Tabell714152021343536373839[8],1)</f>
        <v>1</v>
      </c>
      <c r="L15" s="134">
        <f>SMALL(Tabell714152021343536373839[9],1)</f>
        <v>1</v>
      </c>
      <c r="M15" s="134">
        <f>SMALL(Tabell714152021343536373839[10],1)</f>
        <v>1</v>
      </c>
      <c r="N15" s="134">
        <f>SMALL(Tabell714152021343536373839[11],1)</f>
        <v>1</v>
      </c>
      <c r="O15" s="134">
        <f>SMALL(Tabell714152021343536373839[12],1)</f>
        <v>1</v>
      </c>
      <c r="P15" s="134">
        <f>SMALL(Tabell714152021343536373839[13],1)</f>
        <v>1</v>
      </c>
      <c r="Q15" s="134">
        <f>SMALL(Tabell714152021343536373839[14],1)</f>
        <v>1</v>
      </c>
      <c r="R15" s="134">
        <f>SMALL(Tabell714152021343536373839[15],1)</f>
        <v>0</v>
      </c>
      <c r="S15" s="134">
        <f>SMALL(Tabell714152021343536373839[16],1)</f>
        <v>1</v>
      </c>
      <c r="T15" s="134">
        <f>SMALL(Tabell714152021343536373839[17],1)</f>
        <v>1</v>
      </c>
      <c r="U15" s="134">
        <f>SMALL(Tabell714152021343536373839[18],1)</f>
        <v>1</v>
      </c>
      <c r="V15" s="91">
        <f t="shared" si="0"/>
        <v>15</v>
      </c>
      <c r="X15" s="177">
        <f>72+Tabell5[[#This Row],[Tot]]</f>
        <v>87</v>
      </c>
      <c r="Z15" s="44">
        <f>RANK(X15,Tabell42[Score],1)</f>
        <v>16</v>
      </c>
      <c r="AB15" s="104">
        <f>X15-SMALL(X5:X21,1)</f>
        <v>18</v>
      </c>
      <c r="AD15" s="127"/>
    </row>
    <row r="16" spans="2:30" x14ac:dyDescent="0.25">
      <c r="B16" s="13" t="s">
        <v>2</v>
      </c>
      <c r="C16" s="14" t="s">
        <v>3</v>
      </c>
      <c r="D16" s="134">
        <f>SMALL(Tabell71415202134353637383940[1],1)</f>
        <v>0</v>
      </c>
      <c r="E16" s="134">
        <f>SMALL(Tabell71415202134353637383940[2],1)</f>
        <v>-1</v>
      </c>
      <c r="F16" s="134">
        <f>SMALL(Tabell71415202134353637383940[3],1)</f>
        <v>0</v>
      </c>
      <c r="G16" s="134">
        <f>SMALL(Tabell71415202134353637383940[4],1)</f>
        <v>0</v>
      </c>
      <c r="H16" s="134">
        <f>SMALL(Tabell71415202134353637383940[5],1)</f>
        <v>0</v>
      </c>
      <c r="I16" s="134">
        <f>SMALL(Tabell71415202134353637383940[6],1)</f>
        <v>0</v>
      </c>
      <c r="J16" s="134">
        <f>SMALL(Tabell71415202134353637383940[7],1)</f>
        <v>0</v>
      </c>
      <c r="K16" s="134">
        <f>SMALL(Tabell71415202134353637383940[8],1)</f>
        <v>0</v>
      </c>
      <c r="L16" s="134">
        <f>SMALL(Tabell71415202134353637383940[9],1)</f>
        <v>0</v>
      </c>
      <c r="M16" s="134">
        <f>SMALL(Tabell71415202134353637383940[10],1)</f>
        <v>-1</v>
      </c>
      <c r="N16" s="134">
        <f>SMALL(Tabell71415202134353637383940[11],1)</f>
        <v>0</v>
      </c>
      <c r="O16" s="134">
        <f>SMALL(Tabell71415202134353637383940[12],1)</f>
        <v>0</v>
      </c>
      <c r="P16" s="134">
        <f>SMALL(Tabell71415202134353637383940[13],1)</f>
        <v>0</v>
      </c>
      <c r="Q16" s="134">
        <f>SMALL(Tabell71415202134353637383940[14],1)</f>
        <v>0</v>
      </c>
      <c r="R16" s="134">
        <f>SMALL(Tabell71415202134353637383940[15],1)</f>
        <v>0</v>
      </c>
      <c r="S16" s="134">
        <f>SMALL(Tabell71415202134353637383940[16],1)</f>
        <v>0</v>
      </c>
      <c r="T16" s="134">
        <f>SMALL(Tabell71415202134353637383940[17],1)</f>
        <v>0</v>
      </c>
      <c r="U16" s="134">
        <f>SMALL(Tabell71415202134353637383940[18],1)</f>
        <v>-1</v>
      </c>
      <c r="V16" s="91">
        <f t="shared" si="0"/>
        <v>-3</v>
      </c>
      <c r="X16" s="177">
        <f>72+Tabell5[[#This Row],[Tot]]</f>
        <v>69</v>
      </c>
      <c r="Z16" s="44">
        <f>RANK(X16,Tabell42[Score],1)</f>
        <v>1</v>
      </c>
      <c r="AB16" s="104">
        <f>X16-SMALL(X5:X21,1)</f>
        <v>0</v>
      </c>
      <c r="AD16" s="127">
        <v>68</v>
      </c>
    </row>
    <row r="17" spans="2:47" x14ac:dyDescent="0.25">
      <c r="B17" s="4" t="s">
        <v>113</v>
      </c>
      <c r="C17" s="5" t="s">
        <v>114</v>
      </c>
      <c r="D17" s="134">
        <f>SMALL(Tabell714152021343536373839404142[1],1)</f>
        <v>1</v>
      </c>
      <c r="E17" s="134">
        <f>SMALL(Tabell714152021343536373839404142[2],1)</f>
        <v>0</v>
      </c>
      <c r="F17" s="134">
        <f>SMALL(Tabell714152021343536373839404142[3],1)</f>
        <v>0</v>
      </c>
      <c r="G17" s="134">
        <f>SMALL(Tabell714152021343536373839404142[4],1)</f>
        <v>0</v>
      </c>
      <c r="H17" s="134">
        <f>SMALL(Tabell714152021343536373839404142[5],1)</f>
        <v>1</v>
      </c>
      <c r="I17" s="134">
        <f>SMALL(Tabell714152021343536373839404142[6],1)</f>
        <v>0</v>
      </c>
      <c r="J17" s="134">
        <f>SMALL(Tabell714152021343536373839404142[7],1)</f>
        <v>-1</v>
      </c>
      <c r="K17" s="134">
        <f>SMALL(Tabell714152021343536373839404142[8],1)</f>
        <v>-1</v>
      </c>
      <c r="L17" s="134">
        <f>SMALL(Tabell714152021343536373839404142[9],1)</f>
        <v>0</v>
      </c>
      <c r="M17" s="134">
        <f>SMALL(Tabell714152021343536373839404142[10],1)</f>
        <v>0</v>
      </c>
      <c r="N17" s="134">
        <f>SMALL(Tabell714152021343536373839404142[11],1)</f>
        <v>0</v>
      </c>
      <c r="O17" s="134">
        <f>SMALL(Tabell714152021343536373839404142[12],1)</f>
        <v>-1</v>
      </c>
      <c r="P17" s="134">
        <f>SMALL(Tabell714152021343536373839404142[13],1)</f>
        <v>-1</v>
      </c>
      <c r="Q17" s="134">
        <f>SMALL(Tabell714152021343536373839404142[14],1)</f>
        <v>0</v>
      </c>
      <c r="R17" s="134">
        <f>SMALL(Tabell714152021343536373839404142[15],1)</f>
        <v>0</v>
      </c>
      <c r="S17" s="134">
        <f>SMALL(Tabell714152021343536373839404142[16],1)</f>
        <v>1</v>
      </c>
      <c r="T17" s="134">
        <f>SMALL(Tabell714152021343536373839404142[17],1)</f>
        <v>0</v>
      </c>
      <c r="U17" s="134">
        <f>SMALL(Tabell714152021343536373839404142[18],1)</f>
        <v>0</v>
      </c>
      <c r="V17" s="91">
        <f t="shared" si="0"/>
        <v>-1</v>
      </c>
      <c r="X17" s="177">
        <f>72+Tabell5[[#This Row],[Tot]]</f>
        <v>71</v>
      </c>
      <c r="Z17" s="44">
        <f>RANK(X17,Tabell42[Score],1)</f>
        <v>3</v>
      </c>
      <c r="AB17" s="104">
        <f>X17-SMALL(X6:X19,1)</f>
        <v>2</v>
      </c>
      <c r="AD17" s="127">
        <v>71</v>
      </c>
    </row>
    <row r="18" spans="2:47" ht="15.75" thickBot="1" x14ac:dyDescent="0.3">
      <c r="B18" s="6" t="s">
        <v>104</v>
      </c>
      <c r="C18" s="7" t="s">
        <v>105</v>
      </c>
      <c r="D18" s="134">
        <f>SMALL(Tabell7141520213435363738394041[1],1)</f>
        <v>1</v>
      </c>
      <c r="E18" s="134">
        <f>SMALL(Tabell7141520213435363738394041[2],1)</f>
        <v>0</v>
      </c>
      <c r="F18" s="134">
        <f>SMALL(Tabell7141520213435363738394041[3],1)</f>
        <v>0</v>
      </c>
      <c r="G18" s="134">
        <f>SMALL(Tabell7141520213435363738394041[4],1)</f>
        <v>2</v>
      </c>
      <c r="H18" s="134">
        <f>SMALL(Tabell7141520213435363738394041[5],1)</f>
        <v>0</v>
      </c>
      <c r="I18" s="134">
        <f>SMALL(Tabell7141520213435363738394041[6],1)</f>
        <v>0</v>
      </c>
      <c r="J18" s="134">
        <f>SMALL(Tabell7141520213435363738394041[7],1)</f>
        <v>0</v>
      </c>
      <c r="K18" s="134">
        <f>SMALL(Tabell7141520213435363738394041[8],1)</f>
        <v>0</v>
      </c>
      <c r="L18" s="134">
        <f>SMALL(Tabell7141520213435363738394041[9],1)</f>
        <v>3</v>
      </c>
      <c r="M18" s="134">
        <f>SMALL(Tabell7141520213435363738394041[10],1)</f>
        <v>1</v>
      </c>
      <c r="N18" s="134">
        <f>SMALL(Tabell7141520213435363738394041[11],1)</f>
        <v>1</v>
      </c>
      <c r="O18" s="134">
        <f>SMALL(Tabell7141520213435363738394041[12],1)</f>
        <v>0</v>
      </c>
      <c r="P18" s="134">
        <f>SMALL(Tabell7141520213435363738394041[13],1)</f>
        <v>1</v>
      </c>
      <c r="Q18" s="134">
        <f>SMALL(Tabell7141520213435363738394041[14],1)</f>
        <v>1</v>
      </c>
      <c r="R18" s="134">
        <f>SMALL(Tabell7141520213435363738394041[15],1)</f>
        <v>1</v>
      </c>
      <c r="S18" s="134">
        <f>SMALL(Tabell7141520213435363738394041[16],1)</f>
        <v>1</v>
      </c>
      <c r="T18" s="134">
        <f>SMALL(Tabell7141520213435363738394041[17],1)</f>
        <v>1</v>
      </c>
      <c r="U18" s="134">
        <f>SMALL(Tabell7141520213435363738394041[18],1)</f>
        <v>0</v>
      </c>
      <c r="V18" s="91">
        <f t="shared" si="0"/>
        <v>13</v>
      </c>
      <c r="X18" s="177">
        <f>SUM(Tabell5[[#This Row],[1]:[18]])+72</f>
        <v>85</v>
      </c>
      <c r="Z18" s="44">
        <f>RANK(X18,Tabell42[Score],1)</f>
        <v>15</v>
      </c>
      <c r="AB18" s="104">
        <f>X18-SMALL(X5:X21,1)</f>
        <v>16</v>
      </c>
      <c r="AD18" s="128">
        <v>72</v>
      </c>
    </row>
    <row r="19" spans="2:47" x14ac:dyDescent="0.25">
      <c r="B19" s="4" t="s">
        <v>108</v>
      </c>
      <c r="C19" s="5" t="s">
        <v>109</v>
      </c>
      <c r="D19" s="134">
        <f>SMALL(Tabell71415202134353637383940414272[1],1)</f>
        <v>0</v>
      </c>
      <c r="E19" s="134">
        <f>SMALL(Tabell71415202134353637383940414272[2],1)</f>
        <v>0</v>
      </c>
      <c r="F19" s="134">
        <f>SMALL(Tabell71415202134353637383940414272[3],1)</f>
        <v>0</v>
      </c>
      <c r="G19" s="134">
        <f>SMALL(Tabell71415202134353637383940414272[4],1)</f>
        <v>-1</v>
      </c>
      <c r="H19" s="134">
        <f>SMALL(Tabell71415202134353637383940414272[5],1)</f>
        <v>1</v>
      </c>
      <c r="I19" s="134">
        <f>SMALL(Tabell71415202134353637383940414272[6],1)</f>
        <v>0</v>
      </c>
      <c r="J19" s="134">
        <f>SMALL(Tabell71415202134353637383940414272[7],1)</f>
        <v>0</v>
      </c>
      <c r="K19" s="134">
        <f>SMALL(Tabell71415202134353637383940414272[8],1)</f>
        <v>0</v>
      </c>
      <c r="L19" s="134">
        <f>SMALL(Tabell71415202134353637383940414272[9],1)</f>
        <v>0</v>
      </c>
      <c r="M19" s="134">
        <f>SMALL(Tabell71415202134353637383940414272[10],1)</f>
        <v>1</v>
      </c>
      <c r="N19" s="134">
        <f>SMALL(Tabell71415202134353637383940414272[11],1)</f>
        <v>0</v>
      </c>
      <c r="O19" s="134">
        <f>SMALL(Tabell71415202134353637383940414272[12],1)</f>
        <v>0</v>
      </c>
      <c r="P19" s="134">
        <f>SMALL(Tabell71415202134353637383940414272[13],1)</f>
        <v>-1</v>
      </c>
      <c r="Q19" s="134">
        <f>SMALL(Tabell71415202134353637383940414272[14],1)</f>
        <v>0</v>
      </c>
      <c r="R19" s="134">
        <f>SMALL(Tabell71415202134353637383940414272[15],1)</f>
        <v>1</v>
      </c>
      <c r="S19" s="134">
        <f>SMALL(Tabell71415202134353637383940414272[16],1)</f>
        <v>0</v>
      </c>
      <c r="T19" s="134">
        <f>SMALL(Tabell71415202134353637383940414272[17],1)</f>
        <v>1</v>
      </c>
      <c r="U19" s="134">
        <f>SMALL(Tabell71415202134353637383940414272[18],1)</f>
        <v>0</v>
      </c>
      <c r="V19" s="91">
        <f>SUM(D19:U19)</f>
        <v>2</v>
      </c>
      <c r="X19" s="177">
        <f>SUM(Tabell5[[#This Row],[1]:[18]])+72</f>
        <v>74</v>
      </c>
      <c r="Z19" s="44">
        <f>RANK(X19,Tabell42[Score],1)</f>
        <v>4</v>
      </c>
      <c r="AB19" s="104">
        <f>X19-SMALL(X5:X21,1)</f>
        <v>5</v>
      </c>
      <c r="AD19" s="164">
        <v>70</v>
      </c>
    </row>
    <row r="20" spans="2:47" x14ac:dyDescent="0.25">
      <c r="B20" s="6" t="s">
        <v>2</v>
      </c>
      <c r="C20" s="7" t="s">
        <v>159</v>
      </c>
      <c r="D20" s="134">
        <f>SMALL(Tabell714152021343536373839404142722[1],1)</f>
        <v>1</v>
      </c>
      <c r="E20" s="134">
        <f>SMALL(Tabell714152021343536373839404142722[2],1)</f>
        <v>0</v>
      </c>
      <c r="F20" s="134">
        <f>SMALL(Tabell714152021343536373839404142722[3],1)</f>
        <v>1</v>
      </c>
      <c r="G20" s="134">
        <f>SMALL(Tabell714152021343536373839404142722[4],1)</f>
        <v>0</v>
      </c>
      <c r="H20" s="134">
        <f>SMALL(Tabell714152021343536373839404142722[5],1)</f>
        <v>0</v>
      </c>
      <c r="I20" s="134">
        <f>SMALL(Tabell714152021343536373839404142722[6],1)</f>
        <v>0</v>
      </c>
      <c r="J20" s="134">
        <f>SMALL(Tabell714152021343536373839404142722[7],1)</f>
        <v>0</v>
      </c>
      <c r="K20" s="134">
        <f>SMALL(Tabell714152021343536373839404142722[8],1)</f>
        <v>1</v>
      </c>
      <c r="L20" s="134">
        <f>SMALL(Tabell714152021343536373839404142722[9],1)</f>
        <v>1</v>
      </c>
      <c r="M20" s="134">
        <f>SMALL(Tabell714152021343536373839404142722[10],1)</f>
        <v>1</v>
      </c>
      <c r="N20" s="134">
        <f>SMALL(Tabell714152021343536373839404142722[11],1)</f>
        <v>0</v>
      </c>
      <c r="O20" s="134">
        <f>SMALL(Tabell714152021343536373839404142722[12],1)</f>
        <v>0</v>
      </c>
      <c r="P20" s="134">
        <f>SMALL(Tabell714152021343536373839404142722[13],1)</f>
        <v>0</v>
      </c>
      <c r="Q20" s="134">
        <f>SMALL(Tabell714152021343536373839404142722[14],1)</f>
        <v>0</v>
      </c>
      <c r="R20" s="134">
        <f>SMALL(Tabell714152021343536373839404142722[15],1)</f>
        <v>1</v>
      </c>
      <c r="S20" s="134">
        <f>SMALL(Tabell714152021343536373839404142722[16],1)</f>
        <v>0</v>
      </c>
      <c r="T20" s="134">
        <f>SMALL(Tabell714152021343536373839404142722[17],1)</f>
        <v>0</v>
      </c>
      <c r="U20" s="134">
        <f>SMALL(Tabell714152021343536373839404142722[18],1)</f>
        <v>0</v>
      </c>
      <c r="V20" s="190">
        <f>SUM(D20:U20)</f>
        <v>6</v>
      </c>
      <c r="X20" s="177">
        <f>SUM(Tabell5[[#This Row],[1]:[18]])+72</f>
        <v>78</v>
      </c>
      <c r="Z20" s="44">
        <f>RANK(X20,Tabell42[Score],1)</f>
        <v>10</v>
      </c>
      <c r="AB20" s="104">
        <f>X20-SMALL(X6:X23,1)</f>
        <v>9</v>
      </c>
      <c r="AD20" s="164">
        <v>76</v>
      </c>
    </row>
    <row r="21" spans="2:47" x14ac:dyDescent="0.25">
      <c r="B21" s="6" t="s">
        <v>195</v>
      </c>
      <c r="C21" s="7" t="s">
        <v>13</v>
      </c>
      <c r="D21" s="134">
        <f>SMALL(Tabell714152021343536373839[1],1)</f>
        <v>1</v>
      </c>
      <c r="E21" s="134">
        <f>SMALL(Tabell714152021343536373839[2],1)</f>
        <v>0</v>
      </c>
      <c r="F21" s="134">
        <f>SMALL(Tabell714152021343536373839[3],1)</f>
        <v>1</v>
      </c>
      <c r="G21" s="134">
        <f>SMALL(Tabell714152021343536373839[4],1)</f>
        <v>1</v>
      </c>
      <c r="H21" s="134">
        <f>SMALL(Tabell714152021343536373839[5],1)</f>
        <v>1</v>
      </c>
      <c r="I21" s="134">
        <f>SMALL(Tabell714152021343536373839[6],1)</f>
        <v>0</v>
      </c>
      <c r="J21" s="134">
        <f>SMALL(Tabell714152021343536373839[7],1)</f>
        <v>1</v>
      </c>
      <c r="K21" s="134">
        <f>SMALL(Tabell714152021343536373839[8],1)</f>
        <v>1</v>
      </c>
      <c r="L21" s="134">
        <f>SMALL(Tabell714152021343536373839[9],1)</f>
        <v>1</v>
      </c>
      <c r="M21" s="134">
        <f>SMALL(Tabell714152021343536373839[10],1)</f>
        <v>1</v>
      </c>
      <c r="N21" s="134">
        <f>SMALL(Tabell714152021343536373839[11],1)</f>
        <v>1</v>
      </c>
      <c r="O21" s="134">
        <f>SMALL(Tabell714152021343536373839[12],1)</f>
        <v>1</v>
      </c>
      <c r="P21" s="134">
        <f>SMALL(Tabell714152021343536373839[13],1)</f>
        <v>1</v>
      </c>
      <c r="Q21" s="134">
        <f>SMALL(Tabell714152021343536373839[14],1)</f>
        <v>1</v>
      </c>
      <c r="R21" s="134">
        <f>SMALL(Tabell714152021343536373839[15],1)</f>
        <v>0</v>
      </c>
      <c r="S21" s="134">
        <f>SMALL(Tabell714152021343536373839[16],1)</f>
        <v>1</v>
      </c>
      <c r="T21" s="134">
        <f>SMALL(Tabell714152021343536373839[17],1)</f>
        <v>1</v>
      </c>
      <c r="U21" s="134">
        <f>SMALL(Tabell714152021343536373839[18],1)</f>
        <v>1</v>
      </c>
      <c r="V21" s="91">
        <f>SUM(D21:U21)</f>
        <v>15</v>
      </c>
      <c r="X21" s="177">
        <f>72+V21</f>
        <v>87</v>
      </c>
      <c r="Z21" s="44">
        <f>RANK(X21,Tabell42[Score],1)</f>
        <v>16</v>
      </c>
      <c r="AB21" s="104">
        <f>X21-SMALL(X7:X24,1)</f>
        <v>18</v>
      </c>
      <c r="AD21" s="164"/>
    </row>
    <row r="22" spans="2:47" x14ac:dyDescent="0.25">
      <c r="K22" s="95" t="s">
        <v>91</v>
      </c>
      <c r="AM22" s="85" t="s">
        <v>160</v>
      </c>
    </row>
    <row r="23" spans="2:47" ht="18.75" x14ac:dyDescent="0.3">
      <c r="B23" s="86" t="s">
        <v>87</v>
      </c>
      <c r="C23" s="86"/>
      <c r="D23" s="105" t="s">
        <v>88</v>
      </c>
      <c r="E23" s="106"/>
      <c r="F23" s="106"/>
      <c r="G23" s="106"/>
      <c r="H23" s="106"/>
      <c r="I23" s="106"/>
      <c r="J23" s="106"/>
      <c r="K23" s="106"/>
      <c r="L23" s="106"/>
      <c r="M23" s="106" t="s">
        <v>91</v>
      </c>
      <c r="N23" s="106"/>
      <c r="U23" s="95" t="s">
        <v>91</v>
      </c>
      <c r="X23" s="312"/>
      <c r="AB23" s="95" t="s">
        <v>91</v>
      </c>
    </row>
    <row r="24" spans="2:47" x14ac:dyDescent="0.25">
      <c r="X24" s="313"/>
      <c r="AB24" s="184" t="s">
        <v>136</v>
      </c>
      <c r="AC24" s="186"/>
      <c r="AD24" s="186"/>
      <c r="AE24" s="186" t="s">
        <v>137</v>
      </c>
      <c r="AG24" s="187" t="s">
        <v>138</v>
      </c>
      <c r="AH24" s="186"/>
      <c r="AI24" s="186"/>
      <c r="AJ24" s="188" t="s">
        <v>139</v>
      </c>
      <c r="AL24" s="84" t="s">
        <v>136</v>
      </c>
      <c r="AM24" s="213" t="s">
        <v>136</v>
      </c>
      <c r="AN24" s="213"/>
      <c r="AO24" s="213"/>
      <c r="AP24" s="213" t="s">
        <v>137</v>
      </c>
      <c r="AQ24" s="213"/>
      <c r="AR24" s="213" t="s">
        <v>138</v>
      </c>
      <c r="AS24" s="213"/>
      <c r="AT24" s="213"/>
      <c r="AU24" s="213" t="s">
        <v>139</v>
      </c>
    </row>
    <row r="25" spans="2:47" x14ac:dyDescent="0.25">
      <c r="B25" s="9" t="s">
        <v>20</v>
      </c>
      <c r="C25" s="10" t="s">
        <v>21</v>
      </c>
      <c r="D25" s="29" t="s">
        <v>22</v>
      </c>
      <c r="E25" s="29" t="s">
        <v>23</v>
      </c>
      <c r="F25" s="29" t="s">
        <v>24</v>
      </c>
      <c r="G25" s="29" t="s">
        <v>25</v>
      </c>
      <c r="H25" s="29" t="s">
        <v>26</v>
      </c>
      <c r="I25" s="29" t="s">
        <v>27</v>
      </c>
      <c r="J25" s="29" t="s">
        <v>28</v>
      </c>
      <c r="K25" s="29" t="s">
        <v>29</v>
      </c>
      <c r="L25" s="29" t="s">
        <v>30</v>
      </c>
      <c r="M25" s="29" t="s">
        <v>72</v>
      </c>
      <c r="N25" s="29" t="s">
        <v>73</v>
      </c>
      <c r="O25" s="29" t="s">
        <v>74</v>
      </c>
      <c r="P25" s="29" t="s">
        <v>75</v>
      </c>
      <c r="Q25" s="29" t="s">
        <v>76</v>
      </c>
      <c r="R25" s="29" t="s">
        <v>77</v>
      </c>
      <c r="S25" s="29" t="s">
        <v>78</v>
      </c>
      <c r="T25" s="29" t="s">
        <v>79</v>
      </c>
      <c r="U25" s="29" t="s">
        <v>80</v>
      </c>
      <c r="V25" s="92" t="s">
        <v>39</v>
      </c>
      <c r="X25" s="37" t="s">
        <v>84</v>
      </c>
      <c r="AB25" s="184">
        <f>COUNTIFS(Tabell7[[1]:[18]],-1)</f>
        <v>1</v>
      </c>
      <c r="AD25" s="85" t="s">
        <v>34</v>
      </c>
      <c r="AE25" s="185">
        <f>AB25/AB32</f>
        <v>6.1728395061728392E-3</v>
      </c>
      <c r="AG25" s="184">
        <f t="shared" ref="AG25:AG31" si="1">AB25+AB37+AB50+AB62+AB74+AB86+AB98+AB110+AB122+AB134+AB146+AB158+AB170+AB182+AB193</f>
        <v>22</v>
      </c>
      <c r="AI25" s="85" t="s">
        <v>34</v>
      </c>
      <c r="AJ25" s="189">
        <f>AG25/AG32</f>
        <v>9.7864768683274019E-3</v>
      </c>
      <c r="AL25" s="84">
        <v>0</v>
      </c>
      <c r="AM25" s="213">
        <v>0</v>
      </c>
      <c r="AN25" s="213"/>
      <c r="AO25" s="213" t="s">
        <v>34</v>
      </c>
      <c r="AP25" s="214">
        <v>0</v>
      </c>
      <c r="AQ25" s="213"/>
      <c r="AR25" s="213">
        <v>23</v>
      </c>
      <c r="AS25" s="213"/>
      <c r="AT25" s="213" t="s">
        <v>34</v>
      </c>
      <c r="AU25" s="214">
        <v>1.3939393939393939E-2</v>
      </c>
    </row>
    <row r="26" spans="2:47" x14ac:dyDescent="0.25">
      <c r="B26" s="9" t="s">
        <v>6</v>
      </c>
      <c r="C26" s="10" t="s">
        <v>7</v>
      </c>
      <c r="D26" s="23">
        <v>2</v>
      </c>
      <c r="E26" s="23">
        <v>3</v>
      </c>
      <c r="F26" s="23">
        <v>1</v>
      </c>
      <c r="G26" s="23">
        <v>3</v>
      </c>
      <c r="H26" s="23">
        <v>1</v>
      </c>
      <c r="I26" s="23">
        <v>1</v>
      </c>
      <c r="J26" s="23">
        <v>0</v>
      </c>
      <c r="K26" s="23">
        <v>2</v>
      </c>
      <c r="L26" s="23">
        <v>2</v>
      </c>
      <c r="M26" s="23">
        <v>3</v>
      </c>
      <c r="N26" s="23">
        <v>2</v>
      </c>
      <c r="O26" s="23">
        <v>1</v>
      </c>
      <c r="P26" s="23">
        <v>1</v>
      </c>
      <c r="Q26" s="23">
        <v>4</v>
      </c>
      <c r="R26" s="23">
        <v>0</v>
      </c>
      <c r="S26" s="23">
        <v>1</v>
      </c>
      <c r="T26" s="23">
        <v>2</v>
      </c>
      <c r="U26" s="23">
        <v>1</v>
      </c>
      <c r="V26" s="93">
        <f t="shared" ref="V26:V35" si="2">SUM(D26:U26)</f>
        <v>30</v>
      </c>
      <c r="X26" s="38">
        <f>SUM(72+D26,E26,F26,G26,H26,I26,J26,K26,L26,M26,N26,O26,P26,Q26,R26,S26,T26,U26)</f>
        <v>102</v>
      </c>
      <c r="AB26" s="184">
        <f>COUNTIFS(Tabell7[[1]:[18]],0)</f>
        <v>15</v>
      </c>
      <c r="AD26" s="85" t="s">
        <v>83</v>
      </c>
      <c r="AE26" s="185">
        <f>AB26/AB32</f>
        <v>9.2592592592592587E-2</v>
      </c>
      <c r="AG26" s="184">
        <f t="shared" si="1"/>
        <v>290</v>
      </c>
      <c r="AI26" s="85" t="s">
        <v>83</v>
      </c>
      <c r="AJ26" s="189">
        <f>AG26/AG32</f>
        <v>0.12900355871886121</v>
      </c>
      <c r="AL26" s="84">
        <v>6</v>
      </c>
      <c r="AM26" s="213">
        <v>6</v>
      </c>
      <c r="AN26" s="213"/>
      <c r="AO26" s="213" t="s">
        <v>83</v>
      </c>
      <c r="AP26" s="214">
        <v>4.1666666666666664E-2</v>
      </c>
      <c r="AQ26" s="213"/>
      <c r="AR26" s="213">
        <v>258</v>
      </c>
      <c r="AS26" s="213"/>
      <c r="AT26" s="213" t="s">
        <v>83</v>
      </c>
      <c r="AU26" s="214">
        <v>0.15636363636363637</v>
      </c>
    </row>
    <row r="27" spans="2:47" x14ac:dyDescent="0.25">
      <c r="B27" s="9" t="s">
        <v>6</v>
      </c>
      <c r="C27" s="10" t="s">
        <v>7</v>
      </c>
      <c r="D27" s="23">
        <v>2</v>
      </c>
      <c r="E27" s="23">
        <v>2</v>
      </c>
      <c r="F27" s="23">
        <v>1</v>
      </c>
      <c r="G27" s="23">
        <v>1</v>
      </c>
      <c r="H27" s="23">
        <v>2</v>
      </c>
      <c r="I27" s="23">
        <v>2</v>
      </c>
      <c r="J27" s="23">
        <v>1</v>
      </c>
      <c r="K27" s="23">
        <v>4</v>
      </c>
      <c r="L27" s="23">
        <v>3</v>
      </c>
      <c r="M27" s="23">
        <v>2</v>
      </c>
      <c r="N27" s="23">
        <v>3</v>
      </c>
      <c r="O27" s="23">
        <v>1</v>
      </c>
      <c r="P27" s="23">
        <v>1</v>
      </c>
      <c r="Q27" s="23">
        <v>1</v>
      </c>
      <c r="R27" s="23">
        <v>2</v>
      </c>
      <c r="S27" s="23">
        <v>5</v>
      </c>
      <c r="T27" s="23">
        <v>2</v>
      </c>
      <c r="U27" s="23">
        <v>1</v>
      </c>
      <c r="V27" s="93">
        <f t="shared" si="2"/>
        <v>36</v>
      </c>
      <c r="X27" s="38">
        <f>71+Tabell7[[#This Row],[Tot]]</f>
        <v>107</v>
      </c>
      <c r="AB27" s="184">
        <f>COUNTIFS(Tabell7[[1]:[18]],1)</f>
        <v>46</v>
      </c>
      <c r="AD27" s="85" t="s">
        <v>131</v>
      </c>
      <c r="AE27" s="185">
        <f>AB27/AB32</f>
        <v>0.2839506172839506</v>
      </c>
      <c r="AG27" s="184">
        <f t="shared" si="1"/>
        <v>792</v>
      </c>
      <c r="AI27" s="85" t="s">
        <v>131</v>
      </c>
      <c r="AJ27" s="189">
        <f>AG27/AG32</f>
        <v>0.35231316725978645</v>
      </c>
      <c r="AL27" s="84">
        <v>52</v>
      </c>
      <c r="AM27" s="213">
        <v>52</v>
      </c>
      <c r="AN27" s="213"/>
      <c r="AO27" s="213" t="s">
        <v>131</v>
      </c>
      <c r="AP27" s="214">
        <v>0.3611111111111111</v>
      </c>
      <c r="AQ27" s="213"/>
      <c r="AR27" s="213">
        <v>550</v>
      </c>
      <c r="AS27" s="213"/>
      <c r="AT27" s="213" t="s">
        <v>131</v>
      </c>
      <c r="AU27" s="214">
        <v>0.33333333333333331</v>
      </c>
    </row>
    <row r="28" spans="2:47" x14ac:dyDescent="0.25">
      <c r="B28" s="9" t="s">
        <v>6</v>
      </c>
      <c r="C28" s="10" t="s">
        <v>7</v>
      </c>
      <c r="D28" s="23">
        <v>2</v>
      </c>
      <c r="E28" s="23">
        <v>1</v>
      </c>
      <c r="F28" s="23">
        <v>2</v>
      </c>
      <c r="G28" s="23">
        <v>1</v>
      </c>
      <c r="H28" s="23">
        <v>2</v>
      </c>
      <c r="I28" s="23">
        <v>1</v>
      </c>
      <c r="J28" s="23">
        <v>1</v>
      </c>
      <c r="K28" s="23">
        <v>1</v>
      </c>
      <c r="L28" s="23">
        <v>0</v>
      </c>
      <c r="M28" s="23">
        <v>3</v>
      </c>
      <c r="N28" s="23">
        <v>0</v>
      </c>
      <c r="O28" s="23">
        <v>3</v>
      </c>
      <c r="P28" s="23">
        <v>1</v>
      </c>
      <c r="Q28" s="23">
        <v>1</v>
      </c>
      <c r="R28" s="23">
        <v>3</v>
      </c>
      <c r="S28" s="23">
        <v>2</v>
      </c>
      <c r="T28" s="23">
        <v>3</v>
      </c>
      <c r="U28" s="23">
        <v>1</v>
      </c>
      <c r="V28" s="93">
        <f t="shared" si="2"/>
        <v>28</v>
      </c>
      <c r="X28" s="38">
        <f>72+Tabell7[[#This Row],[Tot]]</f>
        <v>100</v>
      </c>
      <c r="AB28" s="184">
        <f>COUNTIFS(Tabell7[[1]:[18]],2)</f>
        <v>54</v>
      </c>
      <c r="AD28" s="85" t="s">
        <v>132</v>
      </c>
      <c r="AE28" s="185">
        <f>AB28/AB32</f>
        <v>0.33333333333333331</v>
      </c>
      <c r="AG28" s="184">
        <f t="shared" si="1"/>
        <v>634</v>
      </c>
      <c r="AI28" s="85" t="s">
        <v>132</v>
      </c>
      <c r="AJ28" s="189">
        <f>AG28/AG32</f>
        <v>0.28202846975088969</v>
      </c>
      <c r="AL28" s="84">
        <v>53</v>
      </c>
      <c r="AM28" s="213">
        <v>53</v>
      </c>
      <c r="AN28" s="213"/>
      <c r="AO28" s="213" t="s">
        <v>132</v>
      </c>
      <c r="AP28" s="214">
        <v>0.36805555555555558</v>
      </c>
      <c r="AQ28" s="213"/>
      <c r="AR28" s="213">
        <v>452</v>
      </c>
      <c r="AS28" s="213"/>
      <c r="AT28" s="213" t="s">
        <v>132</v>
      </c>
      <c r="AU28" s="214">
        <v>0.27393939393939393</v>
      </c>
    </row>
    <row r="29" spans="2:47" x14ac:dyDescent="0.25">
      <c r="B29" s="9" t="s">
        <v>6</v>
      </c>
      <c r="C29" s="10" t="s">
        <v>7</v>
      </c>
      <c r="D29" s="23">
        <v>2</v>
      </c>
      <c r="E29" s="23">
        <v>1</v>
      </c>
      <c r="F29" s="23">
        <v>2</v>
      </c>
      <c r="G29" s="23">
        <v>2</v>
      </c>
      <c r="H29" s="23">
        <v>2</v>
      </c>
      <c r="I29" s="23">
        <v>0</v>
      </c>
      <c r="J29" s="23">
        <v>2</v>
      </c>
      <c r="K29" s="23">
        <v>1</v>
      </c>
      <c r="L29" s="23">
        <v>3</v>
      </c>
      <c r="M29" s="23">
        <v>3</v>
      </c>
      <c r="N29" s="23">
        <v>1</v>
      </c>
      <c r="O29" s="23">
        <v>1</v>
      </c>
      <c r="P29" s="23">
        <v>0</v>
      </c>
      <c r="Q29" s="23">
        <v>2</v>
      </c>
      <c r="R29" s="23">
        <v>3</v>
      </c>
      <c r="S29" s="23">
        <v>0</v>
      </c>
      <c r="T29" s="23">
        <v>3</v>
      </c>
      <c r="U29" s="23">
        <v>0</v>
      </c>
      <c r="V29" s="93">
        <f t="shared" si="2"/>
        <v>28</v>
      </c>
      <c r="X29" s="38">
        <f>72+Tabell7[[#This Row],[Tot]]</f>
        <v>100</v>
      </c>
      <c r="AB29" s="184">
        <f>COUNTIFS(Tabell7[[1]:[18]],3)</f>
        <v>30</v>
      </c>
      <c r="AD29" s="85" t="s">
        <v>133</v>
      </c>
      <c r="AE29" s="185">
        <f>AB29/AB32</f>
        <v>0.18518518518518517</v>
      </c>
      <c r="AG29" s="184">
        <f t="shared" si="1"/>
        <v>304</v>
      </c>
      <c r="AI29" s="85" t="s">
        <v>133</v>
      </c>
      <c r="AJ29" s="189">
        <f>AG29/AG32</f>
        <v>0.13523131672597866</v>
      </c>
      <c r="AL29" s="84">
        <v>18</v>
      </c>
      <c r="AM29" s="213">
        <v>18</v>
      </c>
      <c r="AN29" s="213"/>
      <c r="AO29" s="213" t="s">
        <v>133</v>
      </c>
      <c r="AP29" s="214">
        <v>0.125</v>
      </c>
      <c r="AQ29" s="213"/>
      <c r="AR29" s="213">
        <v>210</v>
      </c>
      <c r="AS29" s="213"/>
      <c r="AT29" s="213" t="s">
        <v>133</v>
      </c>
      <c r="AU29" s="214">
        <v>0.12727272727272726</v>
      </c>
    </row>
    <row r="30" spans="2:47" x14ac:dyDescent="0.25">
      <c r="B30" s="9" t="s">
        <v>6</v>
      </c>
      <c r="C30" s="10" t="s">
        <v>7</v>
      </c>
      <c r="D30" s="23">
        <v>2</v>
      </c>
      <c r="E30" s="23">
        <v>2</v>
      </c>
      <c r="F30" s="23">
        <v>2</v>
      </c>
      <c r="G30" s="23">
        <v>1</v>
      </c>
      <c r="H30" s="23">
        <v>2</v>
      </c>
      <c r="I30" s="23">
        <v>2</v>
      </c>
      <c r="J30" s="23">
        <v>2</v>
      </c>
      <c r="K30" s="23">
        <v>2</v>
      </c>
      <c r="L30" s="23">
        <v>3</v>
      </c>
      <c r="M30" s="23">
        <v>0</v>
      </c>
      <c r="N30" s="23">
        <v>3</v>
      </c>
      <c r="O30" s="23">
        <v>3</v>
      </c>
      <c r="P30" s="23">
        <v>1</v>
      </c>
      <c r="Q30" s="23">
        <v>2</v>
      </c>
      <c r="R30" s="23">
        <v>2</v>
      </c>
      <c r="S30" s="23">
        <v>4</v>
      </c>
      <c r="T30" s="23">
        <v>2</v>
      </c>
      <c r="U30" s="23">
        <v>3</v>
      </c>
      <c r="V30" s="93">
        <f t="shared" si="2"/>
        <v>38</v>
      </c>
      <c r="X30" s="38">
        <f>71+Tabell7[[#This Row],[Tot]]</f>
        <v>109</v>
      </c>
      <c r="AB30" s="184">
        <f>COUNTIFS(Tabell7[[1]:[18]],4)</f>
        <v>8</v>
      </c>
      <c r="AD30" s="85" t="s">
        <v>134</v>
      </c>
      <c r="AE30" s="185">
        <f>AB30/AB32</f>
        <v>4.9382716049382713E-2</v>
      </c>
      <c r="AG30" s="184">
        <f t="shared" si="1"/>
        <v>119</v>
      </c>
      <c r="AI30" s="85" t="s">
        <v>134</v>
      </c>
      <c r="AJ30" s="189">
        <f>AG30/AG32</f>
        <v>5.2935943060498224E-2</v>
      </c>
      <c r="AL30" s="84">
        <v>7</v>
      </c>
      <c r="AM30" s="213">
        <v>7</v>
      </c>
      <c r="AN30" s="213"/>
      <c r="AO30" s="213" t="s">
        <v>134</v>
      </c>
      <c r="AP30" s="214">
        <v>4.8611111111111112E-2</v>
      </c>
      <c r="AQ30" s="213"/>
      <c r="AR30" s="213">
        <v>82</v>
      </c>
      <c r="AS30" s="213"/>
      <c r="AT30" s="213" t="s">
        <v>134</v>
      </c>
      <c r="AU30" s="214">
        <v>4.9696969696969698E-2</v>
      </c>
    </row>
    <row r="31" spans="2:47" x14ac:dyDescent="0.25">
      <c r="B31" s="9" t="s">
        <v>6</v>
      </c>
      <c r="C31" s="10" t="s">
        <v>7</v>
      </c>
      <c r="D31" s="23">
        <v>1</v>
      </c>
      <c r="E31" s="23">
        <v>2</v>
      </c>
      <c r="F31" s="23">
        <v>0</v>
      </c>
      <c r="G31" s="23">
        <v>3</v>
      </c>
      <c r="H31" s="23">
        <v>1</v>
      </c>
      <c r="I31" s="23">
        <v>1</v>
      </c>
      <c r="J31" s="23">
        <v>2</v>
      </c>
      <c r="K31" s="23">
        <v>0</v>
      </c>
      <c r="L31" s="23">
        <v>1</v>
      </c>
      <c r="M31" s="23">
        <v>2</v>
      </c>
      <c r="N31" s="23">
        <v>5</v>
      </c>
      <c r="O31" s="23">
        <v>5</v>
      </c>
      <c r="P31" s="23">
        <v>2</v>
      </c>
      <c r="Q31" s="23">
        <v>2</v>
      </c>
      <c r="R31" s="23">
        <v>3</v>
      </c>
      <c r="S31" s="23">
        <v>3</v>
      </c>
      <c r="T31" s="23">
        <v>4</v>
      </c>
      <c r="U31" s="23">
        <v>1</v>
      </c>
      <c r="V31" s="93">
        <f t="shared" si="2"/>
        <v>38</v>
      </c>
      <c r="X31" s="38">
        <f>71+Tabell7[[#This Row],[Tot]]</f>
        <v>109</v>
      </c>
      <c r="AB31" s="184">
        <f>COUNTIFS(Tabell7[[1]:[18]],5)</f>
        <v>8</v>
      </c>
      <c r="AD31" s="85" t="s">
        <v>135</v>
      </c>
      <c r="AE31" s="185">
        <f>AB31/AB32</f>
        <v>4.9382716049382713E-2</v>
      </c>
      <c r="AG31" s="184">
        <f t="shared" si="1"/>
        <v>87</v>
      </c>
      <c r="AI31" s="85" t="s">
        <v>135</v>
      </c>
      <c r="AJ31" s="189">
        <f>AG31/AG32</f>
        <v>3.8701067615658363E-2</v>
      </c>
      <c r="AL31" s="84">
        <v>8</v>
      </c>
      <c r="AM31" s="213">
        <v>8</v>
      </c>
      <c r="AN31" s="213"/>
      <c r="AO31" s="213" t="s">
        <v>135</v>
      </c>
      <c r="AP31" s="214">
        <v>5.5555555555555552E-2</v>
      </c>
      <c r="AQ31" s="213"/>
      <c r="AR31" s="213">
        <v>75</v>
      </c>
      <c r="AS31" s="213"/>
      <c r="AT31" s="213" t="s">
        <v>135</v>
      </c>
      <c r="AU31" s="214">
        <v>4.5454545454545456E-2</v>
      </c>
    </row>
    <row r="32" spans="2:47" x14ac:dyDescent="0.25">
      <c r="B32" s="9" t="s">
        <v>6</v>
      </c>
      <c r="C32" s="10" t="s">
        <v>7</v>
      </c>
      <c r="D32" s="23">
        <v>1</v>
      </c>
      <c r="E32" s="23">
        <v>1</v>
      </c>
      <c r="F32" s="23">
        <v>1</v>
      </c>
      <c r="G32" s="23">
        <v>2</v>
      </c>
      <c r="H32" s="23">
        <v>2</v>
      </c>
      <c r="I32" s="23">
        <v>3</v>
      </c>
      <c r="J32" s="23">
        <v>2</v>
      </c>
      <c r="K32" s="23">
        <v>4</v>
      </c>
      <c r="L32" s="23">
        <v>3</v>
      </c>
      <c r="M32" s="23">
        <v>0</v>
      </c>
      <c r="N32" s="23">
        <v>1</v>
      </c>
      <c r="O32" s="23">
        <v>5</v>
      </c>
      <c r="P32" s="23">
        <v>2</v>
      </c>
      <c r="Q32" s="23">
        <v>2</v>
      </c>
      <c r="R32" s="23">
        <v>2</v>
      </c>
      <c r="S32" s="23">
        <v>1</v>
      </c>
      <c r="T32" s="23">
        <v>2</v>
      </c>
      <c r="U32" s="23">
        <v>1</v>
      </c>
      <c r="V32" s="93">
        <f t="shared" si="2"/>
        <v>35</v>
      </c>
      <c r="X32" s="38">
        <f>72+Tabell7[[#This Row],[Tot]]</f>
        <v>107</v>
      </c>
      <c r="AB32" s="97">
        <f>SUM(AB25:AB31)</f>
        <v>162</v>
      </c>
      <c r="AG32" s="187">
        <f>SUM(AG25:AG31)</f>
        <v>2248</v>
      </c>
      <c r="AL32" s="84">
        <v>144</v>
      </c>
      <c r="AM32" s="213">
        <v>144</v>
      </c>
      <c r="AN32" s="213"/>
      <c r="AO32" s="213"/>
      <c r="AP32" s="213"/>
      <c r="AQ32" s="213"/>
      <c r="AR32" s="213">
        <v>1650</v>
      </c>
      <c r="AS32" s="213"/>
      <c r="AT32" s="213"/>
      <c r="AU32" s="213"/>
    </row>
    <row r="33" spans="2:47" x14ac:dyDescent="0.25">
      <c r="B33" s="9" t="s">
        <v>6</v>
      </c>
      <c r="C33" s="10" t="s">
        <v>7</v>
      </c>
      <c r="D33" s="23">
        <v>1</v>
      </c>
      <c r="E33" s="23">
        <v>3</v>
      </c>
      <c r="F33" s="23">
        <v>2</v>
      </c>
      <c r="G33" s="23">
        <v>2</v>
      </c>
      <c r="H33" s="23">
        <v>1</v>
      </c>
      <c r="I33" s="23">
        <v>2</v>
      </c>
      <c r="J33" s="23">
        <v>1</v>
      </c>
      <c r="K33" s="23">
        <v>1</v>
      </c>
      <c r="L33" s="23">
        <v>2</v>
      </c>
      <c r="M33" s="23">
        <v>2</v>
      </c>
      <c r="N33" s="23">
        <v>0</v>
      </c>
      <c r="O33" s="23">
        <v>3</v>
      </c>
      <c r="P33" s="23">
        <v>1</v>
      </c>
      <c r="Q33" s="23">
        <v>1</v>
      </c>
      <c r="R33" s="23">
        <v>4</v>
      </c>
      <c r="S33" s="23">
        <v>-1</v>
      </c>
      <c r="T33" s="23">
        <v>2</v>
      </c>
      <c r="U33" s="23">
        <v>2</v>
      </c>
      <c r="V33" s="93">
        <f t="shared" si="2"/>
        <v>29</v>
      </c>
      <c r="X33" s="38">
        <f>72+Tabell7[[#This Row],[Tot]]</f>
        <v>101</v>
      </c>
      <c r="AM33" s="213"/>
      <c r="AN33" s="213"/>
      <c r="AO33" s="213"/>
      <c r="AP33" s="213"/>
      <c r="AQ33" s="213"/>
      <c r="AR33" s="213"/>
      <c r="AS33" s="213"/>
      <c r="AT33" s="213"/>
      <c r="AU33" s="213"/>
    </row>
    <row r="34" spans="2:47" x14ac:dyDescent="0.25">
      <c r="B34" s="9" t="s">
        <v>6</v>
      </c>
      <c r="C34" s="10" t="s">
        <v>7</v>
      </c>
      <c r="D34" s="23">
        <v>3</v>
      </c>
      <c r="E34" s="23">
        <v>5</v>
      </c>
      <c r="F34" s="23">
        <v>5</v>
      </c>
      <c r="G34" s="23">
        <v>3</v>
      </c>
      <c r="H34" s="23">
        <v>2</v>
      </c>
      <c r="I34" s="23">
        <v>0</v>
      </c>
      <c r="J34" s="23">
        <v>3</v>
      </c>
      <c r="K34" s="23">
        <v>0</v>
      </c>
      <c r="L34" s="23">
        <v>4</v>
      </c>
      <c r="M34" s="23">
        <v>3</v>
      </c>
      <c r="N34" s="23">
        <v>1</v>
      </c>
      <c r="O34" s="23">
        <v>3</v>
      </c>
      <c r="P34" s="23">
        <v>3</v>
      </c>
      <c r="Q34" s="23">
        <v>5</v>
      </c>
      <c r="R34" s="23">
        <v>4</v>
      </c>
      <c r="S34" s="23">
        <v>2</v>
      </c>
      <c r="T34" s="23">
        <v>2</v>
      </c>
      <c r="U34" s="23">
        <v>5</v>
      </c>
      <c r="V34" s="93">
        <f t="shared" si="2"/>
        <v>53</v>
      </c>
      <c r="X34" s="38">
        <f>72+Tabell7[[#This Row],[Tot]]</f>
        <v>125</v>
      </c>
      <c r="AM34" s="213"/>
      <c r="AN34" s="213"/>
      <c r="AO34" s="213"/>
      <c r="AP34" s="213"/>
      <c r="AQ34" s="213"/>
      <c r="AR34" s="213"/>
      <c r="AS34" s="213"/>
      <c r="AT34" s="213"/>
      <c r="AU34" s="213"/>
    </row>
    <row r="35" spans="2:47" x14ac:dyDescent="0.25">
      <c r="B35" s="108" t="s">
        <v>6</v>
      </c>
      <c r="C35" s="109" t="s">
        <v>7</v>
      </c>
      <c r="D35" s="23">
        <v>10</v>
      </c>
      <c r="E35" s="23">
        <v>10</v>
      </c>
      <c r="F35" s="23">
        <v>10</v>
      </c>
      <c r="G35" s="23">
        <v>10</v>
      </c>
      <c r="H35" s="23">
        <v>10</v>
      </c>
      <c r="I35" s="23">
        <v>10</v>
      </c>
      <c r="J35" s="23">
        <v>10</v>
      </c>
      <c r="K35" s="23">
        <v>10</v>
      </c>
      <c r="L35" s="23">
        <v>10</v>
      </c>
      <c r="M35" s="23">
        <v>10</v>
      </c>
      <c r="N35" s="23">
        <v>10</v>
      </c>
      <c r="O35" s="23">
        <v>10</v>
      </c>
      <c r="P35" s="23">
        <v>10</v>
      </c>
      <c r="Q35" s="23">
        <v>10</v>
      </c>
      <c r="R35" s="23">
        <v>10</v>
      </c>
      <c r="S35" s="23">
        <v>10</v>
      </c>
      <c r="T35" s="23">
        <v>10</v>
      </c>
      <c r="U35" s="23">
        <v>10</v>
      </c>
      <c r="V35" s="94">
        <f t="shared" si="2"/>
        <v>180</v>
      </c>
      <c r="X35" s="39">
        <f>71+Tabell7[[#This Row],[Tot]]</f>
        <v>251</v>
      </c>
      <c r="AM35" s="213"/>
      <c r="AN35" s="213"/>
      <c r="AO35" s="213"/>
      <c r="AP35" s="213"/>
      <c r="AQ35" s="213"/>
      <c r="AR35" s="213"/>
      <c r="AS35" s="213"/>
      <c r="AT35" s="213"/>
      <c r="AU35" s="213"/>
    </row>
    <row r="36" spans="2:47" x14ac:dyDescent="0.25">
      <c r="AM36" s="213"/>
      <c r="AN36" s="213"/>
      <c r="AO36" s="213"/>
      <c r="AP36" s="213"/>
      <c r="AQ36" s="213"/>
      <c r="AR36" s="213"/>
      <c r="AS36" s="213"/>
      <c r="AT36" s="213"/>
      <c r="AU36" s="213"/>
    </row>
    <row r="37" spans="2:47" x14ac:dyDescent="0.25">
      <c r="B37" s="9" t="s">
        <v>20</v>
      </c>
      <c r="C37" s="10" t="s">
        <v>21</v>
      </c>
      <c r="D37" s="29" t="s">
        <v>22</v>
      </c>
      <c r="E37" s="29" t="s">
        <v>23</v>
      </c>
      <c r="F37" s="29" t="s">
        <v>24</v>
      </c>
      <c r="G37" s="29" t="s">
        <v>25</v>
      </c>
      <c r="H37" s="29" t="s">
        <v>26</v>
      </c>
      <c r="I37" s="29" t="s">
        <v>27</v>
      </c>
      <c r="J37" s="29" t="s">
        <v>28</v>
      </c>
      <c r="K37" s="29" t="s">
        <v>29</v>
      </c>
      <c r="L37" s="29" t="s">
        <v>30</v>
      </c>
      <c r="M37" s="29" t="s">
        <v>72</v>
      </c>
      <c r="N37" s="29" t="s">
        <v>73</v>
      </c>
      <c r="O37" s="29" t="s">
        <v>74</v>
      </c>
      <c r="P37" s="29" t="s">
        <v>75</v>
      </c>
      <c r="Q37" s="29" t="s">
        <v>76</v>
      </c>
      <c r="R37" s="29" t="s">
        <v>77</v>
      </c>
      <c r="S37" s="29" t="s">
        <v>78</v>
      </c>
      <c r="T37" s="29" t="s">
        <v>79</v>
      </c>
      <c r="U37" s="29" t="s">
        <v>80</v>
      </c>
      <c r="V37" s="92" t="s">
        <v>39</v>
      </c>
      <c r="X37" s="37" t="s">
        <v>84</v>
      </c>
      <c r="AB37" s="184">
        <f>COUNTIFS(Tabell714[[1]:[18]],-1)</f>
        <v>2</v>
      </c>
      <c r="AD37" s="85" t="s">
        <v>34</v>
      </c>
      <c r="AE37" s="185">
        <f>AB37/AB44</f>
        <v>1.2345679012345678E-2</v>
      </c>
      <c r="AL37" s="84">
        <v>4</v>
      </c>
      <c r="AM37" s="213">
        <v>4</v>
      </c>
      <c r="AN37" s="213"/>
      <c r="AO37" s="213" t="s">
        <v>34</v>
      </c>
      <c r="AP37" s="214">
        <v>2.4691358024691357E-2</v>
      </c>
      <c r="AQ37" s="213"/>
      <c r="AR37" s="213"/>
      <c r="AS37" s="213"/>
      <c r="AT37" s="213"/>
      <c r="AU37" s="213"/>
    </row>
    <row r="38" spans="2:47" x14ac:dyDescent="0.25">
      <c r="B38" s="110" t="s">
        <v>10</v>
      </c>
      <c r="C38" s="111" t="s">
        <v>11</v>
      </c>
      <c r="D38" s="23">
        <v>1</v>
      </c>
      <c r="E38" s="23">
        <v>1</v>
      </c>
      <c r="F38" s="23">
        <v>0</v>
      </c>
      <c r="G38" s="23">
        <v>2</v>
      </c>
      <c r="H38" s="23">
        <v>1</v>
      </c>
      <c r="I38" s="23">
        <v>5</v>
      </c>
      <c r="J38" s="23">
        <v>1</v>
      </c>
      <c r="K38" s="23">
        <v>2</v>
      </c>
      <c r="L38" s="23">
        <v>2</v>
      </c>
      <c r="M38" s="23">
        <v>1</v>
      </c>
      <c r="N38" s="23">
        <v>2</v>
      </c>
      <c r="O38" s="23">
        <v>3</v>
      </c>
      <c r="P38" s="23">
        <v>2</v>
      </c>
      <c r="Q38" s="23">
        <v>1</v>
      </c>
      <c r="R38" s="23">
        <v>2</v>
      </c>
      <c r="S38" s="23">
        <v>1</v>
      </c>
      <c r="T38" s="23">
        <v>3</v>
      </c>
      <c r="U38" s="23">
        <v>1</v>
      </c>
      <c r="V38" s="93">
        <f t="shared" ref="V38:V46" si="3">SUM(D38:U38)</f>
        <v>31</v>
      </c>
      <c r="X38" s="38">
        <f>72+Tabell714[[#This Row],[Tot]]</f>
        <v>103</v>
      </c>
      <c r="AB38" s="184">
        <f>COUNTIFS(Tabell714[[1]:[18]],0)</f>
        <v>21</v>
      </c>
      <c r="AD38" s="85" t="s">
        <v>83</v>
      </c>
      <c r="AE38" s="185">
        <f>AB38/AB44</f>
        <v>0.12962962962962962</v>
      </c>
      <c r="AL38" s="84">
        <v>34</v>
      </c>
      <c r="AM38" s="213">
        <v>34</v>
      </c>
      <c r="AN38" s="213"/>
      <c r="AO38" s="213" t="s">
        <v>83</v>
      </c>
      <c r="AP38" s="214">
        <v>0.20987654320987653</v>
      </c>
      <c r="AQ38" s="213"/>
      <c r="AR38" s="213"/>
      <c r="AS38" s="213"/>
      <c r="AT38" s="213"/>
      <c r="AU38" s="213"/>
    </row>
    <row r="39" spans="2:47" x14ac:dyDescent="0.25">
      <c r="B39" s="110" t="s">
        <v>10</v>
      </c>
      <c r="C39" s="111" t="s">
        <v>11</v>
      </c>
      <c r="D39" s="23">
        <v>3</v>
      </c>
      <c r="E39" s="23">
        <v>2</v>
      </c>
      <c r="F39" s="23">
        <v>5</v>
      </c>
      <c r="G39" s="23">
        <v>1</v>
      </c>
      <c r="H39" s="23">
        <v>0</v>
      </c>
      <c r="I39" s="23">
        <v>3</v>
      </c>
      <c r="J39" s="23">
        <v>1</v>
      </c>
      <c r="K39" s="23">
        <v>1</v>
      </c>
      <c r="L39" s="23">
        <v>2</v>
      </c>
      <c r="M39" s="23">
        <v>1</v>
      </c>
      <c r="N39" s="23">
        <v>1</v>
      </c>
      <c r="O39" s="23">
        <v>2</v>
      </c>
      <c r="P39" s="23">
        <v>2</v>
      </c>
      <c r="Q39" s="23">
        <v>-1</v>
      </c>
      <c r="R39" s="23">
        <v>1</v>
      </c>
      <c r="S39" s="23">
        <v>1</v>
      </c>
      <c r="T39" s="23">
        <v>2</v>
      </c>
      <c r="U39" s="23">
        <v>3</v>
      </c>
      <c r="V39" s="93">
        <f t="shared" si="3"/>
        <v>30</v>
      </c>
      <c r="X39" s="38">
        <f>70+Tabell714[[#This Row],[Tot]]</f>
        <v>100</v>
      </c>
      <c r="AB39" s="184">
        <f>COUNTIFS(Tabell714[[1]:[18]],1)</f>
        <v>73</v>
      </c>
      <c r="AD39" s="85" t="s">
        <v>131</v>
      </c>
      <c r="AE39" s="185">
        <f>AB39/AB44</f>
        <v>0.45061728395061729</v>
      </c>
      <c r="AL39" s="84">
        <v>60</v>
      </c>
      <c r="AM39" s="213">
        <v>60</v>
      </c>
      <c r="AN39" s="213"/>
      <c r="AO39" s="213" t="s">
        <v>131</v>
      </c>
      <c r="AP39" s="214">
        <v>0.37037037037037035</v>
      </c>
      <c r="AQ39" s="213"/>
      <c r="AR39" s="213"/>
      <c r="AS39" s="213"/>
      <c r="AT39" s="213"/>
      <c r="AU39" s="213"/>
    </row>
    <row r="40" spans="2:47" x14ac:dyDescent="0.25">
      <c r="B40" s="110" t="s">
        <v>10</v>
      </c>
      <c r="C40" s="111" t="s">
        <v>11</v>
      </c>
      <c r="D40" s="23">
        <v>0</v>
      </c>
      <c r="E40" s="23">
        <v>1</v>
      </c>
      <c r="F40" s="23">
        <v>1</v>
      </c>
      <c r="G40" s="23">
        <v>1</v>
      </c>
      <c r="H40" s="23">
        <v>2</v>
      </c>
      <c r="I40" s="23">
        <v>2</v>
      </c>
      <c r="J40" s="23">
        <v>1</v>
      </c>
      <c r="K40" s="23">
        <v>0</v>
      </c>
      <c r="L40" s="23">
        <v>2</v>
      </c>
      <c r="M40" s="23">
        <v>1</v>
      </c>
      <c r="N40" s="23">
        <v>2</v>
      </c>
      <c r="O40" s="23">
        <v>2</v>
      </c>
      <c r="P40" s="23">
        <v>3</v>
      </c>
      <c r="Q40" s="23">
        <v>0</v>
      </c>
      <c r="R40" s="23">
        <v>0</v>
      </c>
      <c r="S40" s="23">
        <v>1</v>
      </c>
      <c r="T40" s="23">
        <v>1</v>
      </c>
      <c r="U40" s="23">
        <v>1</v>
      </c>
      <c r="V40" s="93">
        <f t="shared" si="3"/>
        <v>21</v>
      </c>
      <c r="X40" s="38">
        <f>72+Tabell714[[#This Row],[Tot]]</f>
        <v>93</v>
      </c>
      <c r="AB40" s="184">
        <f>COUNTIFS(Tabell714[[1]:[18]],2)</f>
        <v>46</v>
      </c>
      <c r="AD40" s="85" t="s">
        <v>132</v>
      </c>
      <c r="AE40" s="185">
        <f>AB40/AB44</f>
        <v>0.2839506172839506</v>
      </c>
      <c r="AL40" s="84">
        <v>34</v>
      </c>
      <c r="AM40" s="213">
        <v>34</v>
      </c>
      <c r="AN40" s="213"/>
      <c r="AO40" s="213" t="s">
        <v>132</v>
      </c>
      <c r="AP40" s="214">
        <v>0.20987654320987653</v>
      </c>
      <c r="AQ40" s="213"/>
      <c r="AR40" s="213"/>
      <c r="AS40" s="213"/>
      <c r="AT40" s="213"/>
      <c r="AU40" s="213"/>
    </row>
    <row r="41" spans="2:47" x14ac:dyDescent="0.25">
      <c r="B41" s="110" t="s">
        <v>10</v>
      </c>
      <c r="C41" s="111" t="s">
        <v>11</v>
      </c>
      <c r="D41" s="23">
        <v>2</v>
      </c>
      <c r="E41" s="23">
        <v>1</v>
      </c>
      <c r="F41" s="23">
        <v>1</v>
      </c>
      <c r="G41" s="23">
        <v>1</v>
      </c>
      <c r="H41" s="23">
        <v>1</v>
      </c>
      <c r="I41" s="23">
        <v>1</v>
      </c>
      <c r="J41" s="23">
        <v>2</v>
      </c>
      <c r="K41" s="23">
        <v>1</v>
      </c>
      <c r="L41" s="23">
        <v>1</v>
      </c>
      <c r="M41" s="23">
        <v>0</v>
      </c>
      <c r="N41" s="23">
        <v>2</v>
      </c>
      <c r="O41" s="23">
        <v>1</v>
      </c>
      <c r="P41" s="23">
        <v>1</v>
      </c>
      <c r="Q41" s="23">
        <v>1</v>
      </c>
      <c r="R41" s="23">
        <v>1</v>
      </c>
      <c r="S41" s="23">
        <v>2</v>
      </c>
      <c r="T41" s="23">
        <v>3</v>
      </c>
      <c r="U41" s="23">
        <v>4</v>
      </c>
      <c r="V41" s="93">
        <f t="shared" si="3"/>
        <v>26</v>
      </c>
      <c r="X41" s="38">
        <f>72+Tabell714[[#This Row],[Tot]]</f>
        <v>98</v>
      </c>
      <c r="AB41" s="184">
        <f>COUNTIFS(Tabell714[[1]:[18]],3)</f>
        <v>15</v>
      </c>
      <c r="AD41" s="85" t="s">
        <v>133</v>
      </c>
      <c r="AE41" s="185">
        <f>AB41/AB44</f>
        <v>9.2592592592592587E-2</v>
      </c>
      <c r="AL41" s="84">
        <v>16</v>
      </c>
      <c r="AM41" s="213">
        <v>16</v>
      </c>
      <c r="AN41" s="213"/>
      <c r="AO41" s="213" t="s">
        <v>133</v>
      </c>
      <c r="AP41" s="214">
        <v>9.8765432098765427E-2</v>
      </c>
      <c r="AQ41" s="213"/>
      <c r="AR41" s="213"/>
      <c r="AS41" s="213"/>
      <c r="AT41" s="213"/>
      <c r="AU41" s="213"/>
    </row>
    <row r="42" spans="2:47" x14ac:dyDescent="0.25">
      <c r="B42" s="110" t="s">
        <v>10</v>
      </c>
      <c r="C42" s="111" t="s">
        <v>11</v>
      </c>
      <c r="D42" s="23">
        <v>1</v>
      </c>
      <c r="E42" s="23">
        <v>2</v>
      </c>
      <c r="F42" s="23">
        <v>1</v>
      </c>
      <c r="G42" s="23">
        <v>0</v>
      </c>
      <c r="H42" s="23">
        <v>0</v>
      </c>
      <c r="I42" s="23">
        <v>1</v>
      </c>
      <c r="J42" s="23">
        <v>1</v>
      </c>
      <c r="K42" s="23">
        <v>3</v>
      </c>
      <c r="L42" s="23">
        <v>1</v>
      </c>
      <c r="M42" s="23">
        <v>1</v>
      </c>
      <c r="N42" s="23">
        <v>1</v>
      </c>
      <c r="O42" s="23">
        <v>2</v>
      </c>
      <c r="P42" s="23">
        <v>2</v>
      </c>
      <c r="Q42" s="23">
        <v>4</v>
      </c>
      <c r="R42" s="23">
        <v>0</v>
      </c>
      <c r="S42" s="23">
        <v>1</v>
      </c>
      <c r="T42" s="23">
        <v>-1</v>
      </c>
      <c r="U42" s="23">
        <v>0</v>
      </c>
      <c r="V42" s="93">
        <f t="shared" si="3"/>
        <v>20</v>
      </c>
      <c r="X42" s="38">
        <f>71+Tabell714[[#This Row],[Tot]]</f>
        <v>91</v>
      </c>
      <c r="AB42" s="184">
        <f>COUNTIFS(Tabell714[[1]:[18]],4)</f>
        <v>2</v>
      </c>
      <c r="AD42" s="85" t="s">
        <v>134</v>
      </c>
      <c r="AE42" s="185">
        <f>AB42/AB44</f>
        <v>1.2345679012345678E-2</v>
      </c>
      <c r="AL42" s="84">
        <v>10</v>
      </c>
      <c r="AM42" s="213">
        <v>10</v>
      </c>
      <c r="AN42" s="213"/>
      <c r="AO42" s="213" t="s">
        <v>134</v>
      </c>
      <c r="AP42" s="214">
        <v>6.1728395061728392E-2</v>
      </c>
      <c r="AQ42" s="213"/>
      <c r="AR42" s="213"/>
      <c r="AS42" s="213"/>
      <c r="AT42" s="213"/>
      <c r="AU42" s="213"/>
    </row>
    <row r="43" spans="2:47" x14ac:dyDescent="0.25">
      <c r="B43" s="110" t="s">
        <v>10</v>
      </c>
      <c r="C43" s="111" t="s">
        <v>11</v>
      </c>
      <c r="D43" s="23">
        <v>0</v>
      </c>
      <c r="E43" s="23">
        <v>1</v>
      </c>
      <c r="F43" s="23">
        <v>2</v>
      </c>
      <c r="G43" s="23">
        <v>1</v>
      </c>
      <c r="H43" s="23">
        <v>2</v>
      </c>
      <c r="I43" s="23">
        <v>1</v>
      </c>
      <c r="J43" s="23">
        <v>2</v>
      </c>
      <c r="K43" s="23">
        <v>2</v>
      </c>
      <c r="L43" s="23">
        <v>1</v>
      </c>
      <c r="M43" s="23">
        <v>1</v>
      </c>
      <c r="N43" s="23">
        <v>1</v>
      </c>
      <c r="O43" s="23">
        <v>2</v>
      </c>
      <c r="P43" s="23">
        <v>1</v>
      </c>
      <c r="Q43" s="23">
        <v>2</v>
      </c>
      <c r="R43" s="23">
        <v>1</v>
      </c>
      <c r="S43" s="23">
        <v>1</v>
      </c>
      <c r="T43" s="23">
        <v>2</v>
      </c>
      <c r="U43" s="23">
        <v>2</v>
      </c>
      <c r="V43" s="93">
        <f t="shared" si="3"/>
        <v>25</v>
      </c>
      <c r="X43" s="38">
        <f>70+Tabell714[[#This Row],[Tot]]</f>
        <v>95</v>
      </c>
      <c r="AB43" s="184">
        <f>COUNTIFS(Tabell714[[1]:[18]],5)</f>
        <v>3</v>
      </c>
      <c r="AD43" s="85" t="s">
        <v>135</v>
      </c>
      <c r="AE43" s="185">
        <f>AB43/AB44</f>
        <v>1.8518518518518517E-2</v>
      </c>
      <c r="AL43" s="84">
        <v>4</v>
      </c>
      <c r="AM43" s="213">
        <v>4</v>
      </c>
      <c r="AN43" s="213"/>
      <c r="AO43" s="213" t="s">
        <v>135</v>
      </c>
      <c r="AP43" s="214">
        <v>2.4691358024691357E-2</v>
      </c>
      <c r="AQ43" s="213"/>
      <c r="AR43" s="213"/>
      <c r="AS43" s="213"/>
      <c r="AT43" s="213"/>
      <c r="AU43" s="213"/>
    </row>
    <row r="44" spans="2:47" x14ac:dyDescent="0.25">
      <c r="B44" s="110" t="s">
        <v>10</v>
      </c>
      <c r="C44" s="111" t="s">
        <v>11</v>
      </c>
      <c r="D44" s="23">
        <v>0</v>
      </c>
      <c r="E44" s="23">
        <v>3</v>
      </c>
      <c r="F44" s="23">
        <v>0</v>
      </c>
      <c r="G44" s="23">
        <v>1</v>
      </c>
      <c r="H44" s="23">
        <v>1</v>
      </c>
      <c r="I44" s="23">
        <v>1</v>
      </c>
      <c r="J44" s="23">
        <v>2</v>
      </c>
      <c r="K44" s="23">
        <v>3</v>
      </c>
      <c r="L44" s="23">
        <v>2</v>
      </c>
      <c r="M44" s="23">
        <v>1</v>
      </c>
      <c r="N44" s="23">
        <v>5</v>
      </c>
      <c r="O44" s="23">
        <v>2</v>
      </c>
      <c r="P44" s="23">
        <v>2</v>
      </c>
      <c r="Q44" s="23">
        <v>1</v>
      </c>
      <c r="R44" s="23">
        <v>1</v>
      </c>
      <c r="S44" s="23">
        <v>2</v>
      </c>
      <c r="T44" s="23">
        <v>1</v>
      </c>
      <c r="U44" s="23">
        <v>0</v>
      </c>
      <c r="V44" s="93">
        <f>SUM(D44:U44)</f>
        <v>28</v>
      </c>
      <c r="X44" s="38">
        <f>72+Tabell714[[#This Row],[Tot]]</f>
        <v>100</v>
      </c>
      <c r="AB44" s="97">
        <f>SUM(AB37:AB43)</f>
        <v>162</v>
      </c>
      <c r="AL44" s="84">
        <v>162</v>
      </c>
      <c r="AM44" s="213">
        <v>162</v>
      </c>
      <c r="AN44" s="213"/>
      <c r="AO44" s="213"/>
      <c r="AP44" s="213"/>
      <c r="AQ44" s="213"/>
      <c r="AR44" s="213"/>
      <c r="AS44" s="213"/>
      <c r="AT44" s="213"/>
      <c r="AU44" s="213"/>
    </row>
    <row r="45" spans="2:47" x14ac:dyDescent="0.25">
      <c r="B45" s="110" t="s">
        <v>10</v>
      </c>
      <c r="C45" s="111" t="s">
        <v>11</v>
      </c>
      <c r="D45" s="23">
        <v>3</v>
      </c>
      <c r="E45" s="23">
        <v>1</v>
      </c>
      <c r="F45" s="23">
        <v>1</v>
      </c>
      <c r="G45" s="23">
        <v>2</v>
      </c>
      <c r="H45" s="23">
        <v>2</v>
      </c>
      <c r="I45" s="23">
        <v>1</v>
      </c>
      <c r="J45" s="23">
        <v>1</v>
      </c>
      <c r="K45" s="23">
        <v>0</v>
      </c>
      <c r="L45" s="23">
        <v>1</v>
      </c>
      <c r="M45" s="23">
        <v>1</v>
      </c>
      <c r="N45" s="23">
        <v>2</v>
      </c>
      <c r="O45" s="23">
        <v>1</v>
      </c>
      <c r="P45" s="23">
        <v>0</v>
      </c>
      <c r="Q45" s="23">
        <v>2</v>
      </c>
      <c r="R45" s="23">
        <v>1</v>
      </c>
      <c r="S45" s="23">
        <v>0</v>
      </c>
      <c r="T45" s="23">
        <v>2</v>
      </c>
      <c r="U45" s="23">
        <v>0</v>
      </c>
      <c r="V45" s="93">
        <f t="shared" si="3"/>
        <v>21</v>
      </c>
      <c r="X45" s="38">
        <f>72+Tabell714[[#This Row],[Tot]]</f>
        <v>93</v>
      </c>
      <c r="AM45" s="213"/>
      <c r="AN45" s="213"/>
      <c r="AO45" s="213"/>
      <c r="AP45" s="213"/>
      <c r="AQ45" s="213"/>
      <c r="AR45" s="213"/>
      <c r="AS45" s="213"/>
      <c r="AT45" s="213"/>
      <c r="AU45" s="213"/>
    </row>
    <row r="46" spans="2:47" x14ac:dyDescent="0.25">
      <c r="B46" s="110" t="s">
        <v>10</v>
      </c>
      <c r="C46" s="111" t="s">
        <v>11</v>
      </c>
      <c r="D46" s="23">
        <v>2</v>
      </c>
      <c r="E46" s="23">
        <v>1</v>
      </c>
      <c r="F46" s="23">
        <v>1</v>
      </c>
      <c r="G46" s="23">
        <v>0</v>
      </c>
      <c r="H46" s="23">
        <v>3</v>
      </c>
      <c r="I46" s="23">
        <v>3</v>
      </c>
      <c r="J46" s="23">
        <v>1</v>
      </c>
      <c r="K46" s="23">
        <v>2</v>
      </c>
      <c r="L46" s="23">
        <v>1</v>
      </c>
      <c r="M46" s="23">
        <v>2</v>
      </c>
      <c r="N46" s="23">
        <v>2</v>
      </c>
      <c r="O46" s="23">
        <v>3</v>
      </c>
      <c r="P46" s="23">
        <v>1</v>
      </c>
      <c r="Q46" s="23">
        <v>3</v>
      </c>
      <c r="R46" s="23">
        <v>1</v>
      </c>
      <c r="S46" s="23">
        <v>1</v>
      </c>
      <c r="T46" s="23">
        <v>0</v>
      </c>
      <c r="U46" s="23">
        <v>2</v>
      </c>
      <c r="V46" s="93">
        <f t="shared" si="3"/>
        <v>29</v>
      </c>
      <c r="X46" s="39">
        <f>72+Tabell714[[#This Row],[Tot]]</f>
        <v>101</v>
      </c>
      <c r="AM46" s="213"/>
      <c r="AN46" s="213"/>
      <c r="AO46" s="213"/>
      <c r="AP46" s="213"/>
      <c r="AQ46" s="213"/>
      <c r="AR46" s="213"/>
      <c r="AS46" s="213"/>
      <c r="AT46" s="213"/>
      <c r="AU46" s="213"/>
    </row>
    <row r="47" spans="2:47" x14ac:dyDescent="0.25">
      <c r="B47" s="110" t="s">
        <v>10</v>
      </c>
      <c r="C47" s="111" t="s">
        <v>11</v>
      </c>
      <c r="D47" s="23">
        <v>10</v>
      </c>
      <c r="E47" s="23">
        <v>10</v>
      </c>
      <c r="F47" s="23">
        <v>10</v>
      </c>
      <c r="G47" s="23">
        <v>10</v>
      </c>
      <c r="H47" s="23">
        <v>10</v>
      </c>
      <c r="I47" s="23">
        <v>10</v>
      </c>
      <c r="J47" s="23">
        <v>10</v>
      </c>
      <c r="K47" s="23">
        <v>10</v>
      </c>
      <c r="L47" s="23">
        <v>10</v>
      </c>
      <c r="M47" s="23">
        <v>10</v>
      </c>
      <c r="N47" s="23">
        <v>10</v>
      </c>
      <c r="O47" s="23">
        <v>10</v>
      </c>
      <c r="P47" s="23">
        <v>10</v>
      </c>
      <c r="Q47" s="23">
        <v>10</v>
      </c>
      <c r="R47" s="23">
        <v>10</v>
      </c>
      <c r="S47" s="23">
        <v>10</v>
      </c>
      <c r="T47" s="23">
        <v>10</v>
      </c>
      <c r="U47" s="23">
        <v>10</v>
      </c>
      <c r="V47" s="94">
        <f>SUM(D47:U47)</f>
        <v>180</v>
      </c>
      <c r="X47" s="39">
        <f>71+Tabell714[[#This Row],[Tot]]</f>
        <v>251</v>
      </c>
      <c r="AM47" s="213"/>
      <c r="AN47" s="213"/>
      <c r="AO47" s="213"/>
      <c r="AP47" s="213"/>
      <c r="AQ47" s="213"/>
      <c r="AR47" s="213"/>
      <c r="AS47" s="213"/>
      <c r="AT47" s="213"/>
      <c r="AU47" s="213"/>
    </row>
    <row r="48" spans="2:47" x14ac:dyDescent="0.25">
      <c r="B48" s="130"/>
      <c r="C48" s="130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2"/>
      <c r="X48" s="84"/>
      <c r="AM48" s="213"/>
      <c r="AN48" s="213"/>
      <c r="AO48" s="213"/>
      <c r="AP48" s="213"/>
      <c r="AQ48" s="213"/>
      <c r="AR48" s="213"/>
      <c r="AS48" s="213"/>
      <c r="AT48" s="213"/>
      <c r="AU48" s="213"/>
    </row>
    <row r="49" spans="2:47" x14ac:dyDescent="0.25">
      <c r="AM49" s="213"/>
      <c r="AN49" s="213"/>
      <c r="AO49" s="213"/>
      <c r="AP49" s="213"/>
      <c r="AQ49" s="213"/>
      <c r="AR49" s="213"/>
      <c r="AS49" s="213"/>
      <c r="AT49" s="213"/>
      <c r="AU49" s="213"/>
    </row>
    <row r="50" spans="2:47" x14ac:dyDescent="0.25">
      <c r="B50" s="9" t="s">
        <v>20</v>
      </c>
      <c r="C50" s="10" t="s">
        <v>21</v>
      </c>
      <c r="D50" s="29" t="s">
        <v>22</v>
      </c>
      <c r="E50" s="29" t="s">
        <v>23</v>
      </c>
      <c r="F50" s="29" t="s">
        <v>24</v>
      </c>
      <c r="G50" s="29" t="s">
        <v>25</v>
      </c>
      <c r="H50" s="29" t="s">
        <v>26</v>
      </c>
      <c r="I50" s="29" t="s">
        <v>27</v>
      </c>
      <c r="J50" s="29" t="s">
        <v>28</v>
      </c>
      <c r="K50" s="29" t="s">
        <v>29</v>
      </c>
      <c r="L50" s="29" t="s">
        <v>30</v>
      </c>
      <c r="M50" s="29" t="s">
        <v>72</v>
      </c>
      <c r="N50" s="29" t="s">
        <v>73</v>
      </c>
      <c r="O50" s="29" t="s">
        <v>74</v>
      </c>
      <c r="P50" s="29" t="s">
        <v>75</v>
      </c>
      <c r="Q50" s="29" t="s">
        <v>76</v>
      </c>
      <c r="R50" s="29" t="s">
        <v>77</v>
      </c>
      <c r="S50" s="29" t="s">
        <v>78</v>
      </c>
      <c r="T50" s="29" t="s">
        <v>79</v>
      </c>
      <c r="U50" s="29" t="s">
        <v>80</v>
      </c>
      <c r="V50" s="92" t="s">
        <v>39</v>
      </c>
      <c r="X50" s="37" t="s">
        <v>84</v>
      </c>
      <c r="AB50" s="184">
        <f>COUNTIFS(Tabell71415[[1]:[18]],-1)</f>
        <v>2</v>
      </c>
      <c r="AD50" s="85" t="s">
        <v>34</v>
      </c>
      <c r="AE50" s="185">
        <f>AB50/AB57</f>
        <v>1.2345679012345678E-2</v>
      </c>
      <c r="AL50" s="84">
        <v>1</v>
      </c>
      <c r="AM50" s="213">
        <v>1</v>
      </c>
      <c r="AN50" s="213"/>
      <c r="AO50" s="213" t="s">
        <v>34</v>
      </c>
      <c r="AP50" s="214">
        <v>6.9444444444444441E-3</v>
      </c>
      <c r="AQ50" s="213"/>
      <c r="AR50" s="213"/>
      <c r="AS50" s="213"/>
      <c r="AT50" s="213"/>
      <c r="AU50" s="213"/>
    </row>
    <row r="51" spans="2:47" x14ac:dyDescent="0.25">
      <c r="B51" s="110" t="s">
        <v>14</v>
      </c>
      <c r="C51" s="111" t="s">
        <v>13</v>
      </c>
      <c r="D51" s="23">
        <v>2</v>
      </c>
      <c r="E51" s="23">
        <v>2</v>
      </c>
      <c r="F51" s="23">
        <v>1</v>
      </c>
      <c r="G51" s="23">
        <v>1</v>
      </c>
      <c r="H51" s="23">
        <v>0</v>
      </c>
      <c r="I51" s="23">
        <v>1</v>
      </c>
      <c r="J51" s="23">
        <v>2</v>
      </c>
      <c r="K51" s="23">
        <v>1</v>
      </c>
      <c r="L51" s="23">
        <v>1</v>
      </c>
      <c r="M51" s="23">
        <v>0</v>
      </c>
      <c r="N51" s="23">
        <v>1</v>
      </c>
      <c r="O51" s="23">
        <v>2</v>
      </c>
      <c r="P51" s="23">
        <v>0</v>
      </c>
      <c r="Q51" s="23">
        <v>0</v>
      </c>
      <c r="R51" s="23">
        <v>1</v>
      </c>
      <c r="S51" s="23">
        <v>1</v>
      </c>
      <c r="T51" s="23">
        <v>2</v>
      </c>
      <c r="U51" s="23">
        <v>1</v>
      </c>
      <c r="V51" s="93">
        <f>SUM(D51:U51)</f>
        <v>19</v>
      </c>
      <c r="X51" s="38">
        <f>72+Tabell71415[[#This Row],[Tot]]</f>
        <v>91</v>
      </c>
      <c r="AB51" s="184">
        <f>COUNTIFS(Tabell71415[[1]:[18]],0)</f>
        <v>25</v>
      </c>
      <c r="AD51" s="85" t="s">
        <v>83</v>
      </c>
      <c r="AE51" s="185">
        <f>AB51/AB57</f>
        <v>0.15432098765432098</v>
      </c>
      <c r="AL51" s="84">
        <v>17</v>
      </c>
      <c r="AM51" s="213">
        <v>17</v>
      </c>
      <c r="AN51" s="213"/>
      <c r="AO51" s="213" t="s">
        <v>83</v>
      </c>
      <c r="AP51" s="214">
        <v>0.11805555555555555</v>
      </c>
      <c r="AQ51" s="213"/>
      <c r="AR51" s="213"/>
      <c r="AS51" s="213"/>
      <c r="AT51" s="213"/>
      <c r="AU51" s="213"/>
    </row>
    <row r="52" spans="2:47" x14ac:dyDescent="0.25">
      <c r="B52" s="110" t="s">
        <v>14</v>
      </c>
      <c r="C52" s="111" t="s">
        <v>13</v>
      </c>
      <c r="D52" s="23">
        <v>2</v>
      </c>
      <c r="E52" s="23">
        <v>1</v>
      </c>
      <c r="F52" s="23">
        <v>1</v>
      </c>
      <c r="G52" s="23">
        <v>2</v>
      </c>
      <c r="H52" s="23">
        <v>0</v>
      </c>
      <c r="I52" s="23">
        <v>1</v>
      </c>
      <c r="J52" s="23">
        <v>1</v>
      </c>
      <c r="K52" s="23">
        <v>0</v>
      </c>
      <c r="L52" s="23">
        <v>3</v>
      </c>
      <c r="M52" s="23">
        <v>2</v>
      </c>
      <c r="N52" s="23">
        <v>1</v>
      </c>
      <c r="O52" s="23">
        <v>1</v>
      </c>
      <c r="P52" s="23">
        <v>1</v>
      </c>
      <c r="Q52" s="23">
        <v>1</v>
      </c>
      <c r="R52" s="23">
        <v>3</v>
      </c>
      <c r="S52" s="23">
        <v>1</v>
      </c>
      <c r="T52" s="23">
        <v>1</v>
      </c>
      <c r="U52" s="23">
        <v>2</v>
      </c>
      <c r="V52" s="93">
        <f t="shared" ref="V52:V60" si="4">SUM(D52:U52)</f>
        <v>24</v>
      </c>
      <c r="X52" s="38">
        <f>71+Tabell71415[[#This Row],[Tot]]</f>
        <v>95</v>
      </c>
      <c r="AB52" s="184">
        <f>COUNTIFS(Tabell71415[[1]:[18]],1)</f>
        <v>85</v>
      </c>
      <c r="AD52" s="85" t="s">
        <v>131</v>
      </c>
      <c r="AE52" s="185">
        <f>AB52/AB57</f>
        <v>0.52469135802469136</v>
      </c>
      <c r="AL52" s="84">
        <v>53</v>
      </c>
      <c r="AM52" s="213">
        <v>53</v>
      </c>
      <c r="AN52" s="213"/>
      <c r="AO52" s="213" t="s">
        <v>131</v>
      </c>
      <c r="AP52" s="214">
        <v>0.36805555555555558</v>
      </c>
      <c r="AQ52" s="213"/>
      <c r="AR52" s="213"/>
      <c r="AS52" s="213"/>
      <c r="AT52" s="213"/>
      <c r="AU52" s="213"/>
    </row>
    <row r="53" spans="2:47" x14ac:dyDescent="0.25">
      <c r="B53" s="110" t="s">
        <v>14</v>
      </c>
      <c r="C53" s="111" t="s">
        <v>13</v>
      </c>
      <c r="D53" s="23">
        <v>1</v>
      </c>
      <c r="E53" s="23">
        <v>0</v>
      </c>
      <c r="F53" s="23">
        <v>1</v>
      </c>
      <c r="G53" s="23">
        <v>1</v>
      </c>
      <c r="H53" s="23">
        <v>0</v>
      </c>
      <c r="I53" s="23">
        <v>1</v>
      </c>
      <c r="J53" s="23">
        <v>1</v>
      </c>
      <c r="K53" s="23">
        <v>0</v>
      </c>
      <c r="L53" s="23">
        <v>3</v>
      </c>
      <c r="M53" s="23">
        <v>1</v>
      </c>
      <c r="N53" s="23">
        <v>2</v>
      </c>
      <c r="O53" s="23">
        <v>2</v>
      </c>
      <c r="P53" s="23">
        <v>1</v>
      </c>
      <c r="Q53" s="23">
        <v>1</v>
      </c>
      <c r="R53" s="23">
        <v>1</v>
      </c>
      <c r="S53" s="23">
        <v>1</v>
      </c>
      <c r="T53" s="23">
        <v>0</v>
      </c>
      <c r="U53" s="23">
        <v>1</v>
      </c>
      <c r="V53" s="93">
        <f t="shared" si="4"/>
        <v>18</v>
      </c>
      <c r="X53" s="38">
        <f>72+Tabell71415[[#This Row],[Tot]]</f>
        <v>90</v>
      </c>
      <c r="AB53" s="184">
        <f>COUNTIFS(Tabell71415[[1]:[18]],2)</f>
        <v>35</v>
      </c>
      <c r="AD53" s="85" t="s">
        <v>132</v>
      </c>
      <c r="AE53" s="185">
        <f>AB53/AB57</f>
        <v>0.21604938271604937</v>
      </c>
      <c r="AL53" s="84">
        <v>43</v>
      </c>
      <c r="AM53" s="213">
        <v>43</v>
      </c>
      <c r="AN53" s="213"/>
      <c r="AO53" s="213" t="s">
        <v>132</v>
      </c>
      <c r="AP53" s="214">
        <v>0.2986111111111111</v>
      </c>
      <c r="AQ53" s="213"/>
      <c r="AR53" s="213"/>
      <c r="AS53" s="213"/>
      <c r="AT53" s="213"/>
      <c r="AU53" s="213"/>
    </row>
    <row r="54" spans="2:47" x14ac:dyDescent="0.25">
      <c r="B54" s="110" t="s">
        <v>14</v>
      </c>
      <c r="C54" s="111" t="s">
        <v>13</v>
      </c>
      <c r="D54" s="23">
        <v>3</v>
      </c>
      <c r="E54" s="23">
        <v>1</v>
      </c>
      <c r="F54" s="23">
        <v>4</v>
      </c>
      <c r="G54" s="23">
        <v>1</v>
      </c>
      <c r="H54" s="23">
        <v>1</v>
      </c>
      <c r="I54" s="23">
        <v>1</v>
      </c>
      <c r="J54" s="23">
        <v>1</v>
      </c>
      <c r="K54" s="23">
        <v>1</v>
      </c>
      <c r="L54" s="23">
        <v>1</v>
      </c>
      <c r="M54" s="23">
        <v>0</v>
      </c>
      <c r="N54" s="23">
        <v>1</v>
      </c>
      <c r="O54" s="23">
        <v>1</v>
      </c>
      <c r="P54" s="23">
        <v>1</v>
      </c>
      <c r="Q54" s="23">
        <v>1</v>
      </c>
      <c r="R54" s="23">
        <v>2</v>
      </c>
      <c r="S54" s="23">
        <v>0</v>
      </c>
      <c r="T54" s="23">
        <v>3</v>
      </c>
      <c r="U54" s="23">
        <v>1</v>
      </c>
      <c r="V54" s="93">
        <f t="shared" si="4"/>
        <v>24</v>
      </c>
      <c r="X54" s="38">
        <f>72+Tabell71415[[#This Row],[Tot]]</f>
        <v>96</v>
      </c>
      <c r="AB54" s="184">
        <f>COUNTIFS(Tabell71415[[1]:[18]],3)</f>
        <v>12</v>
      </c>
      <c r="AD54" s="85" t="s">
        <v>133</v>
      </c>
      <c r="AE54" s="185">
        <f>AB54/AB57</f>
        <v>7.407407407407407E-2</v>
      </c>
      <c r="AL54" s="84">
        <v>19</v>
      </c>
      <c r="AM54" s="213">
        <v>19</v>
      </c>
      <c r="AN54" s="213"/>
      <c r="AO54" s="213" t="s">
        <v>133</v>
      </c>
      <c r="AP54" s="214">
        <v>0.13194444444444445</v>
      </c>
      <c r="AQ54" s="213"/>
      <c r="AR54" s="213"/>
      <c r="AS54" s="213"/>
      <c r="AT54" s="213"/>
      <c r="AU54" s="213"/>
    </row>
    <row r="55" spans="2:47" x14ac:dyDescent="0.25">
      <c r="B55" s="110" t="s">
        <v>14</v>
      </c>
      <c r="C55" s="111" t="s">
        <v>13</v>
      </c>
      <c r="D55" s="23">
        <v>1</v>
      </c>
      <c r="E55" s="23">
        <v>3</v>
      </c>
      <c r="F55" s="23">
        <v>2</v>
      </c>
      <c r="G55" s="23">
        <v>1</v>
      </c>
      <c r="H55" s="23">
        <v>2</v>
      </c>
      <c r="I55" s="23">
        <v>2</v>
      </c>
      <c r="J55" s="23">
        <v>2</v>
      </c>
      <c r="K55" s="23">
        <v>5</v>
      </c>
      <c r="L55" s="23">
        <v>1</v>
      </c>
      <c r="M55" s="23">
        <v>1</v>
      </c>
      <c r="N55" s="23">
        <v>2</v>
      </c>
      <c r="O55" s="23">
        <v>2</v>
      </c>
      <c r="P55" s="23">
        <v>1</v>
      </c>
      <c r="Q55" s="23">
        <v>2</v>
      </c>
      <c r="R55" s="23">
        <v>2</v>
      </c>
      <c r="S55" s="23">
        <v>1</v>
      </c>
      <c r="T55" s="23">
        <v>0</v>
      </c>
      <c r="U55" s="23">
        <v>2</v>
      </c>
      <c r="V55" s="93">
        <f t="shared" si="4"/>
        <v>32</v>
      </c>
      <c r="X55" s="38">
        <f>72+Tabell71415[[#This Row],[Tot]]</f>
        <v>104</v>
      </c>
      <c r="AB55" s="184">
        <f>COUNTIFS(Tabell71415[[1]:[18]],4)</f>
        <v>2</v>
      </c>
      <c r="AD55" s="85" t="s">
        <v>134</v>
      </c>
      <c r="AE55" s="185">
        <f>AB55/AB57</f>
        <v>1.2345679012345678E-2</v>
      </c>
      <c r="AL55" s="84">
        <v>6</v>
      </c>
      <c r="AM55" s="213">
        <v>6</v>
      </c>
      <c r="AN55" s="213"/>
      <c r="AO55" s="213" t="s">
        <v>134</v>
      </c>
      <c r="AP55" s="214">
        <v>4.1666666666666664E-2</v>
      </c>
      <c r="AQ55" s="213"/>
      <c r="AR55" s="213"/>
      <c r="AS55" s="213"/>
      <c r="AT55" s="213"/>
      <c r="AU55" s="213"/>
    </row>
    <row r="56" spans="2:47" x14ac:dyDescent="0.25">
      <c r="B56" s="110" t="s">
        <v>14</v>
      </c>
      <c r="C56" s="111" t="s">
        <v>13</v>
      </c>
      <c r="D56" s="23">
        <v>1</v>
      </c>
      <c r="E56" s="23">
        <v>0</v>
      </c>
      <c r="F56" s="23">
        <v>2</v>
      </c>
      <c r="G56" s="23">
        <v>3</v>
      </c>
      <c r="H56" s="23">
        <v>1</v>
      </c>
      <c r="I56" s="23">
        <v>0</v>
      </c>
      <c r="J56" s="23">
        <v>1</v>
      </c>
      <c r="K56" s="23">
        <v>1</v>
      </c>
      <c r="L56" s="23">
        <v>1</v>
      </c>
      <c r="M56" s="23">
        <v>1</v>
      </c>
      <c r="N56" s="23">
        <v>2</v>
      </c>
      <c r="O56" s="23">
        <v>1</v>
      </c>
      <c r="P56" s="23">
        <v>0</v>
      </c>
      <c r="Q56" s="23">
        <v>0</v>
      </c>
      <c r="R56" s="23">
        <v>3</v>
      </c>
      <c r="S56" s="23">
        <v>1</v>
      </c>
      <c r="T56" s="23">
        <v>1</v>
      </c>
      <c r="U56" s="23">
        <v>1</v>
      </c>
      <c r="V56" s="93">
        <f t="shared" si="4"/>
        <v>20</v>
      </c>
      <c r="X56" s="38">
        <f>70+Tabell71415[[#This Row],[Tot]]</f>
        <v>90</v>
      </c>
      <c r="AB56" s="184">
        <f>COUNTIFS(Tabell71415[[1]:[18]],5)</f>
        <v>1</v>
      </c>
      <c r="AD56" s="85" t="s">
        <v>135</v>
      </c>
      <c r="AE56" s="185">
        <f>AB56/AB57</f>
        <v>6.1728395061728392E-3</v>
      </c>
      <c r="AL56" s="84">
        <v>5</v>
      </c>
      <c r="AM56" s="213">
        <v>5</v>
      </c>
      <c r="AN56" s="213"/>
      <c r="AO56" s="213" t="s">
        <v>135</v>
      </c>
      <c r="AP56" s="214">
        <v>3.4722222222222224E-2</v>
      </c>
      <c r="AQ56" s="213"/>
      <c r="AR56" s="213"/>
      <c r="AS56" s="213"/>
      <c r="AT56" s="213"/>
      <c r="AU56" s="213"/>
    </row>
    <row r="57" spans="2:47" x14ac:dyDescent="0.25">
      <c r="B57" s="110" t="s">
        <v>14</v>
      </c>
      <c r="C57" s="111" t="s">
        <v>13</v>
      </c>
      <c r="D57" s="23">
        <v>1</v>
      </c>
      <c r="E57" s="23">
        <v>0</v>
      </c>
      <c r="F57" s="23">
        <v>1</v>
      </c>
      <c r="G57" s="23">
        <v>0</v>
      </c>
      <c r="H57" s="23">
        <v>2</v>
      </c>
      <c r="I57" s="23">
        <v>1</v>
      </c>
      <c r="J57" s="23">
        <v>1</v>
      </c>
      <c r="K57" s="23">
        <v>1</v>
      </c>
      <c r="L57" s="23">
        <v>1</v>
      </c>
      <c r="M57" s="23">
        <v>1</v>
      </c>
      <c r="N57" s="23">
        <v>-1</v>
      </c>
      <c r="O57" s="23">
        <v>1</v>
      </c>
      <c r="P57" s="23">
        <v>1</v>
      </c>
      <c r="Q57" s="23">
        <v>3</v>
      </c>
      <c r="R57" s="23">
        <v>0</v>
      </c>
      <c r="S57" s="23">
        <v>1</v>
      </c>
      <c r="T57" s="23">
        <v>1</v>
      </c>
      <c r="U57" s="23">
        <v>2</v>
      </c>
      <c r="V57" s="93">
        <f>SUM(D57:U57)</f>
        <v>17</v>
      </c>
      <c r="X57" s="38">
        <f>72+Tabell71415[[#This Row],[Tot]]</f>
        <v>89</v>
      </c>
      <c r="AB57" s="97">
        <f>SUM(AB50:AB56)</f>
        <v>162</v>
      </c>
      <c r="AL57" s="84">
        <v>144</v>
      </c>
      <c r="AM57" s="213">
        <v>144</v>
      </c>
      <c r="AN57" s="213"/>
      <c r="AO57" s="213"/>
      <c r="AP57" s="213"/>
      <c r="AQ57" s="213"/>
      <c r="AR57" s="213"/>
      <c r="AS57" s="213"/>
      <c r="AT57" s="213"/>
      <c r="AU57" s="213"/>
    </row>
    <row r="58" spans="2:47" x14ac:dyDescent="0.25">
      <c r="B58" s="110" t="s">
        <v>14</v>
      </c>
      <c r="C58" s="111" t="s">
        <v>13</v>
      </c>
      <c r="D58" s="23">
        <v>0</v>
      </c>
      <c r="E58" s="23">
        <v>1</v>
      </c>
      <c r="F58" s="23">
        <v>2</v>
      </c>
      <c r="G58" s="23">
        <v>2</v>
      </c>
      <c r="H58" s="23">
        <v>2</v>
      </c>
      <c r="I58" s="23">
        <v>-1</v>
      </c>
      <c r="J58" s="23">
        <v>3</v>
      </c>
      <c r="K58" s="23">
        <v>0</v>
      </c>
      <c r="L58" s="23">
        <v>3</v>
      </c>
      <c r="M58" s="23">
        <v>1</v>
      </c>
      <c r="N58" s="23">
        <v>1</v>
      </c>
      <c r="O58" s="23">
        <v>1</v>
      </c>
      <c r="P58" s="23">
        <v>1</v>
      </c>
      <c r="Q58" s="23">
        <v>1</v>
      </c>
      <c r="R58" s="23">
        <v>1</v>
      </c>
      <c r="S58" s="23">
        <v>1</v>
      </c>
      <c r="T58" s="23">
        <v>0</v>
      </c>
      <c r="U58" s="23">
        <v>1</v>
      </c>
      <c r="V58" s="93">
        <f t="shared" si="4"/>
        <v>20</v>
      </c>
      <c r="X58" s="38">
        <f>72+Tabell71415[[#This Row],[Tot]]</f>
        <v>92</v>
      </c>
      <c r="AM58" s="213"/>
      <c r="AN58" s="213"/>
      <c r="AO58" s="213"/>
      <c r="AP58" s="213"/>
      <c r="AQ58" s="213"/>
      <c r="AR58" s="213"/>
      <c r="AS58" s="213"/>
      <c r="AT58" s="213"/>
      <c r="AU58" s="213"/>
    </row>
    <row r="59" spans="2:47" x14ac:dyDescent="0.25">
      <c r="B59" s="110" t="s">
        <v>14</v>
      </c>
      <c r="C59" s="111" t="s">
        <v>13</v>
      </c>
      <c r="D59" s="23">
        <v>2</v>
      </c>
      <c r="E59" s="23">
        <v>3</v>
      </c>
      <c r="F59" s="23">
        <v>1</v>
      </c>
      <c r="G59" s="23">
        <v>2</v>
      </c>
      <c r="H59" s="23">
        <v>4</v>
      </c>
      <c r="I59" s="23">
        <v>0</v>
      </c>
      <c r="J59" s="23">
        <v>2</v>
      </c>
      <c r="K59" s="23">
        <v>1</v>
      </c>
      <c r="L59" s="23">
        <v>2</v>
      </c>
      <c r="M59" s="23">
        <v>1</v>
      </c>
      <c r="N59" s="23">
        <v>0</v>
      </c>
      <c r="O59" s="23">
        <v>1</v>
      </c>
      <c r="P59" s="23">
        <v>2</v>
      </c>
      <c r="Q59" s="23">
        <v>2</v>
      </c>
      <c r="R59" s="23">
        <v>1</v>
      </c>
      <c r="S59" s="23">
        <v>2</v>
      </c>
      <c r="T59" s="23">
        <v>1</v>
      </c>
      <c r="U59" s="23">
        <v>1</v>
      </c>
      <c r="V59" s="93">
        <f t="shared" si="4"/>
        <v>28</v>
      </c>
      <c r="X59" s="39">
        <f>70+Tabell71415[[#This Row],[Tot]]</f>
        <v>98</v>
      </c>
      <c r="AM59" s="213"/>
      <c r="AN59" s="213"/>
      <c r="AO59" s="213"/>
      <c r="AP59" s="213"/>
      <c r="AQ59" s="213"/>
      <c r="AR59" s="213"/>
      <c r="AS59" s="213"/>
      <c r="AT59" s="213"/>
      <c r="AU59" s="213"/>
    </row>
    <row r="60" spans="2:47" x14ac:dyDescent="0.25">
      <c r="B60" s="110" t="s">
        <v>14</v>
      </c>
      <c r="C60" s="111" t="s">
        <v>13</v>
      </c>
      <c r="D60" s="23">
        <v>10</v>
      </c>
      <c r="E60" s="23">
        <v>10</v>
      </c>
      <c r="F60" s="23">
        <v>10</v>
      </c>
      <c r="G60" s="23">
        <v>10</v>
      </c>
      <c r="H60" s="23">
        <v>10</v>
      </c>
      <c r="I60" s="23">
        <v>10</v>
      </c>
      <c r="J60" s="23">
        <v>10</v>
      </c>
      <c r="K60" s="23">
        <v>10</v>
      </c>
      <c r="L60" s="23">
        <v>10</v>
      </c>
      <c r="M60" s="23">
        <v>10</v>
      </c>
      <c r="N60" s="23">
        <v>10</v>
      </c>
      <c r="O60" s="23">
        <v>10</v>
      </c>
      <c r="P60" s="23">
        <v>10</v>
      </c>
      <c r="Q60" s="23">
        <v>10</v>
      </c>
      <c r="R60" s="23">
        <v>10</v>
      </c>
      <c r="S60" s="23">
        <v>10</v>
      </c>
      <c r="T60" s="23">
        <v>10</v>
      </c>
      <c r="U60" s="23">
        <v>10</v>
      </c>
      <c r="V60" s="94">
        <f t="shared" si="4"/>
        <v>180</v>
      </c>
      <c r="X60" s="39">
        <f>70+Tabell71415[[#This Row],[Tot]]</f>
        <v>250</v>
      </c>
      <c r="AM60" s="213"/>
      <c r="AN60" s="213"/>
      <c r="AO60" s="213"/>
      <c r="AP60" s="213"/>
      <c r="AQ60" s="213"/>
      <c r="AR60" s="213"/>
      <c r="AS60" s="213"/>
      <c r="AT60" s="213"/>
      <c r="AU60" s="213"/>
    </row>
    <row r="61" spans="2:47" x14ac:dyDescent="0.25">
      <c r="AM61" s="213"/>
      <c r="AN61" s="213"/>
      <c r="AO61" s="213"/>
      <c r="AP61" s="213"/>
      <c r="AQ61" s="213"/>
      <c r="AR61" s="213"/>
      <c r="AS61" s="213"/>
      <c r="AT61" s="213"/>
      <c r="AU61" s="213"/>
    </row>
    <row r="62" spans="2:47" x14ac:dyDescent="0.25">
      <c r="B62" s="9" t="s">
        <v>20</v>
      </c>
      <c r="C62" s="10" t="s">
        <v>21</v>
      </c>
      <c r="D62" s="29" t="s">
        <v>22</v>
      </c>
      <c r="E62" s="29" t="s">
        <v>23</v>
      </c>
      <c r="F62" s="29" t="s">
        <v>24</v>
      </c>
      <c r="G62" s="29" t="s">
        <v>25</v>
      </c>
      <c r="H62" s="29" t="s">
        <v>26</v>
      </c>
      <c r="I62" s="29" t="s">
        <v>27</v>
      </c>
      <c r="J62" s="29" t="s">
        <v>28</v>
      </c>
      <c r="K62" s="29" t="s">
        <v>29</v>
      </c>
      <c r="L62" s="29" t="s">
        <v>30</v>
      </c>
      <c r="M62" s="29" t="s">
        <v>72</v>
      </c>
      <c r="N62" s="29" t="s">
        <v>73</v>
      </c>
      <c r="O62" s="29" t="s">
        <v>74</v>
      </c>
      <c r="P62" s="29" t="s">
        <v>75</v>
      </c>
      <c r="Q62" s="29" t="s">
        <v>76</v>
      </c>
      <c r="R62" s="29" t="s">
        <v>77</v>
      </c>
      <c r="S62" s="29" t="s">
        <v>78</v>
      </c>
      <c r="T62" s="29" t="s">
        <v>79</v>
      </c>
      <c r="U62" s="29" t="s">
        <v>80</v>
      </c>
      <c r="V62" s="92" t="s">
        <v>39</v>
      </c>
      <c r="X62" s="37" t="s">
        <v>84</v>
      </c>
      <c r="AB62" s="184">
        <f>COUNTIFS(Tabell7141520[[1]:[18]],-1)</f>
        <v>1</v>
      </c>
      <c r="AD62" s="85" t="s">
        <v>34</v>
      </c>
      <c r="AE62" s="185">
        <f>AB62/AB69</f>
        <v>6.9444444444444441E-3</v>
      </c>
      <c r="AL62" s="84">
        <v>3</v>
      </c>
      <c r="AM62" s="213">
        <v>3</v>
      </c>
      <c r="AN62" s="213"/>
      <c r="AO62" s="213" t="s">
        <v>34</v>
      </c>
      <c r="AP62" s="214">
        <v>2.0833333333333332E-2</v>
      </c>
      <c r="AQ62" s="213"/>
      <c r="AR62" s="213"/>
      <c r="AS62" s="213"/>
      <c r="AT62" s="213"/>
      <c r="AU62" s="213"/>
    </row>
    <row r="63" spans="2:47" x14ac:dyDescent="0.25">
      <c r="B63" s="110" t="s">
        <v>8</v>
      </c>
      <c r="C63" s="111" t="s">
        <v>9</v>
      </c>
      <c r="D63" s="23">
        <v>0</v>
      </c>
      <c r="E63" s="23">
        <v>2</v>
      </c>
      <c r="F63" s="23">
        <v>0</v>
      </c>
      <c r="G63" s="23">
        <v>2</v>
      </c>
      <c r="H63" s="23">
        <v>1</v>
      </c>
      <c r="I63" s="23">
        <v>2</v>
      </c>
      <c r="J63" s="23">
        <v>2</v>
      </c>
      <c r="K63" s="23">
        <v>5</v>
      </c>
      <c r="L63" s="23">
        <v>1</v>
      </c>
      <c r="M63" s="23">
        <v>2</v>
      </c>
      <c r="N63" s="23">
        <v>2</v>
      </c>
      <c r="O63" s="23">
        <v>1</v>
      </c>
      <c r="P63" s="23">
        <v>0</v>
      </c>
      <c r="Q63" s="23">
        <v>3</v>
      </c>
      <c r="R63" s="23">
        <v>1</v>
      </c>
      <c r="S63" s="23">
        <v>1</v>
      </c>
      <c r="T63" s="23">
        <v>5</v>
      </c>
      <c r="U63" s="23">
        <v>2</v>
      </c>
      <c r="V63" s="93">
        <f t="shared" ref="V63:V72" si="5">SUM(D63:U63)</f>
        <v>32</v>
      </c>
      <c r="X63" s="38">
        <f>72+V63</f>
        <v>104</v>
      </c>
      <c r="AB63" s="184">
        <f>COUNTIFS(Tabell7141520[[1]:[18]],0)</f>
        <v>22</v>
      </c>
      <c r="AD63" s="85" t="s">
        <v>83</v>
      </c>
      <c r="AE63" s="185">
        <f>AB63/AB69</f>
        <v>0.15277777777777779</v>
      </c>
      <c r="AL63" s="84">
        <v>15</v>
      </c>
      <c r="AM63" s="213">
        <v>15</v>
      </c>
      <c r="AN63" s="213"/>
      <c r="AO63" s="213" t="s">
        <v>83</v>
      </c>
      <c r="AP63" s="214">
        <v>0.10416666666666667</v>
      </c>
      <c r="AQ63" s="213"/>
      <c r="AR63" s="213"/>
      <c r="AS63" s="213"/>
      <c r="AT63" s="213"/>
      <c r="AU63" s="213"/>
    </row>
    <row r="64" spans="2:47" x14ac:dyDescent="0.25">
      <c r="B64" s="110" t="s">
        <v>8</v>
      </c>
      <c r="C64" s="111" t="s">
        <v>9</v>
      </c>
      <c r="D64" s="23">
        <v>1</v>
      </c>
      <c r="E64" s="23">
        <v>0</v>
      </c>
      <c r="F64" s="23">
        <v>1</v>
      </c>
      <c r="G64" s="23">
        <v>1</v>
      </c>
      <c r="H64" s="23">
        <v>2</v>
      </c>
      <c r="I64" s="23">
        <v>2</v>
      </c>
      <c r="J64" s="23">
        <v>2</v>
      </c>
      <c r="K64" s="23">
        <v>3</v>
      </c>
      <c r="L64" s="23">
        <v>3</v>
      </c>
      <c r="M64" s="23">
        <v>1</v>
      </c>
      <c r="N64" s="23">
        <v>1</v>
      </c>
      <c r="O64" s="23">
        <v>2</v>
      </c>
      <c r="P64" s="23">
        <v>2</v>
      </c>
      <c r="Q64" s="23">
        <v>4</v>
      </c>
      <c r="R64" s="23">
        <v>2</v>
      </c>
      <c r="S64" s="23">
        <v>2</v>
      </c>
      <c r="T64" s="23">
        <v>1</v>
      </c>
      <c r="U64" s="23">
        <v>2</v>
      </c>
      <c r="V64" s="93">
        <f t="shared" si="5"/>
        <v>32</v>
      </c>
      <c r="X64" s="38">
        <f>70+V64</f>
        <v>102</v>
      </c>
      <c r="AB64" s="184">
        <f>COUNTIFS(Tabell7141520[[1]:[18]],1)</f>
        <v>51</v>
      </c>
      <c r="AD64" s="85" t="s">
        <v>131</v>
      </c>
      <c r="AE64" s="185">
        <f>AB64/AB69</f>
        <v>0.35416666666666669</v>
      </c>
      <c r="AL64" s="84">
        <v>56</v>
      </c>
      <c r="AM64" s="213">
        <v>56</v>
      </c>
      <c r="AN64" s="213"/>
      <c r="AO64" s="213" t="s">
        <v>131</v>
      </c>
      <c r="AP64" s="214">
        <v>0.3888888888888889</v>
      </c>
      <c r="AQ64" s="213"/>
      <c r="AR64" s="213"/>
      <c r="AS64" s="213"/>
      <c r="AT64" s="213"/>
      <c r="AU64" s="213"/>
    </row>
    <row r="65" spans="2:47" x14ac:dyDescent="0.25">
      <c r="B65" s="110" t="s">
        <v>8</v>
      </c>
      <c r="C65" s="111" t="s">
        <v>9</v>
      </c>
      <c r="D65" s="23">
        <v>2</v>
      </c>
      <c r="E65" s="23">
        <v>1</v>
      </c>
      <c r="F65" s="23">
        <v>0</v>
      </c>
      <c r="G65" s="23">
        <v>1</v>
      </c>
      <c r="H65" s="23">
        <v>1</v>
      </c>
      <c r="I65" s="23">
        <v>1</v>
      </c>
      <c r="J65" s="23">
        <v>1</v>
      </c>
      <c r="K65" s="23">
        <v>0</v>
      </c>
      <c r="L65" s="23">
        <v>1</v>
      </c>
      <c r="M65" s="23">
        <v>1</v>
      </c>
      <c r="N65" s="23">
        <v>0</v>
      </c>
      <c r="O65" s="23">
        <v>1</v>
      </c>
      <c r="P65" s="23">
        <v>3</v>
      </c>
      <c r="Q65" s="23">
        <v>4</v>
      </c>
      <c r="R65" s="23">
        <v>2</v>
      </c>
      <c r="S65" s="23">
        <v>2</v>
      </c>
      <c r="T65" s="23">
        <v>0</v>
      </c>
      <c r="U65" s="23">
        <v>1</v>
      </c>
      <c r="V65" s="93">
        <f t="shared" si="5"/>
        <v>22</v>
      </c>
      <c r="X65" s="38">
        <f>72+V65</f>
        <v>94</v>
      </c>
      <c r="AB65" s="184">
        <f>COUNTIFS(Tabell7141520[[1]:[18]],2)</f>
        <v>44</v>
      </c>
      <c r="AD65" s="85" t="s">
        <v>132</v>
      </c>
      <c r="AE65" s="185">
        <f>AB65/AB69</f>
        <v>0.30555555555555558</v>
      </c>
      <c r="AL65" s="84">
        <v>40</v>
      </c>
      <c r="AM65" s="213">
        <v>40</v>
      </c>
      <c r="AN65" s="213"/>
      <c r="AO65" s="213" t="s">
        <v>132</v>
      </c>
      <c r="AP65" s="214">
        <v>0.27777777777777779</v>
      </c>
      <c r="AQ65" s="213"/>
      <c r="AR65" s="213"/>
      <c r="AS65" s="213"/>
      <c r="AT65" s="213"/>
      <c r="AU65" s="213"/>
    </row>
    <row r="66" spans="2:47" x14ac:dyDescent="0.25">
      <c r="B66" s="110" t="s">
        <v>8</v>
      </c>
      <c r="C66" s="111" t="s">
        <v>9</v>
      </c>
      <c r="D66" s="23">
        <v>2</v>
      </c>
      <c r="E66" s="23">
        <v>2</v>
      </c>
      <c r="F66" s="23">
        <v>2</v>
      </c>
      <c r="G66" s="23">
        <v>2</v>
      </c>
      <c r="H66" s="23">
        <v>3</v>
      </c>
      <c r="I66" s="23">
        <v>2</v>
      </c>
      <c r="J66" s="23">
        <v>1</v>
      </c>
      <c r="K66" s="23">
        <v>1</v>
      </c>
      <c r="L66" s="23">
        <v>2</v>
      </c>
      <c r="M66" s="23">
        <v>4</v>
      </c>
      <c r="N66" s="23">
        <v>1</v>
      </c>
      <c r="O66" s="23">
        <v>5</v>
      </c>
      <c r="P66" s="23">
        <v>2</v>
      </c>
      <c r="Q66" s="23">
        <v>1</v>
      </c>
      <c r="R66" s="23">
        <v>1</v>
      </c>
      <c r="S66" s="23">
        <v>1</v>
      </c>
      <c r="T66" s="23">
        <v>1</v>
      </c>
      <c r="U66" s="23">
        <v>3</v>
      </c>
      <c r="V66" s="93">
        <f t="shared" si="5"/>
        <v>36</v>
      </c>
      <c r="X66" s="38">
        <f>72+V66</f>
        <v>108</v>
      </c>
      <c r="AB66" s="184">
        <f>COUNTIFS(Tabell7141520[[1]:[18]],3)</f>
        <v>16</v>
      </c>
      <c r="AD66" s="85" t="s">
        <v>133</v>
      </c>
      <c r="AE66" s="185">
        <f>AB66/AB69</f>
        <v>0.1111111111111111</v>
      </c>
      <c r="AL66" s="84">
        <v>14</v>
      </c>
      <c r="AM66" s="213">
        <v>14</v>
      </c>
      <c r="AN66" s="213"/>
      <c r="AO66" s="213" t="s">
        <v>133</v>
      </c>
      <c r="AP66" s="214">
        <v>9.7222222222222224E-2</v>
      </c>
      <c r="AQ66" s="213"/>
      <c r="AR66" s="213"/>
      <c r="AS66" s="213"/>
      <c r="AT66" s="213"/>
      <c r="AU66" s="213"/>
    </row>
    <row r="67" spans="2:47" x14ac:dyDescent="0.25">
      <c r="B67" s="110" t="s">
        <v>8</v>
      </c>
      <c r="C67" s="111" t="s">
        <v>9</v>
      </c>
      <c r="D67" s="23">
        <v>2</v>
      </c>
      <c r="E67" s="23">
        <v>1</v>
      </c>
      <c r="F67" s="23">
        <v>2</v>
      </c>
      <c r="G67" s="23">
        <v>1</v>
      </c>
      <c r="H67" s="23">
        <v>1</v>
      </c>
      <c r="I67" s="23">
        <v>0</v>
      </c>
      <c r="J67" s="23">
        <v>1</v>
      </c>
      <c r="K67" s="23">
        <v>1</v>
      </c>
      <c r="L67" s="23">
        <v>0</v>
      </c>
      <c r="M67" s="23">
        <v>0</v>
      </c>
      <c r="N67" s="23">
        <v>2</v>
      </c>
      <c r="O67" s="23">
        <v>0</v>
      </c>
      <c r="P67" s="23">
        <v>0</v>
      </c>
      <c r="Q67" s="23">
        <v>1</v>
      </c>
      <c r="R67" s="23">
        <v>2</v>
      </c>
      <c r="S67" s="23">
        <v>1</v>
      </c>
      <c r="T67" s="23">
        <v>2</v>
      </c>
      <c r="U67" s="23">
        <v>1</v>
      </c>
      <c r="V67" s="93">
        <f t="shared" si="5"/>
        <v>18</v>
      </c>
      <c r="X67" s="38">
        <f>71+V67</f>
        <v>89</v>
      </c>
      <c r="AB67" s="184">
        <f>COUNTIFS(Tabell7141520[[1]:[18]],4)</f>
        <v>7</v>
      </c>
      <c r="AD67" s="85" t="s">
        <v>134</v>
      </c>
      <c r="AE67" s="185">
        <f>AB67/AB69</f>
        <v>4.8611111111111112E-2</v>
      </c>
      <c r="AL67" s="84">
        <v>4</v>
      </c>
      <c r="AM67" s="213">
        <v>4</v>
      </c>
      <c r="AN67" s="213"/>
      <c r="AO67" s="213" t="s">
        <v>134</v>
      </c>
      <c r="AP67" s="214">
        <v>2.7777777777777776E-2</v>
      </c>
      <c r="AQ67" s="213"/>
      <c r="AR67" s="213"/>
      <c r="AS67" s="213"/>
      <c r="AT67" s="213"/>
      <c r="AU67" s="213"/>
    </row>
    <row r="68" spans="2:47" x14ac:dyDescent="0.25">
      <c r="B68" s="110" t="s">
        <v>8</v>
      </c>
      <c r="C68" s="111" t="s">
        <v>9</v>
      </c>
      <c r="D68" s="23">
        <v>4</v>
      </c>
      <c r="E68" s="23">
        <v>2</v>
      </c>
      <c r="F68" s="23">
        <v>1</v>
      </c>
      <c r="G68" s="23">
        <v>2</v>
      </c>
      <c r="H68" s="23">
        <v>1</v>
      </c>
      <c r="I68" s="23">
        <v>1</v>
      </c>
      <c r="J68" s="23">
        <v>0</v>
      </c>
      <c r="K68" s="23">
        <v>3</v>
      </c>
      <c r="L68" s="23">
        <v>4</v>
      </c>
      <c r="M68" s="23">
        <v>0</v>
      </c>
      <c r="N68" s="23">
        <v>3</v>
      </c>
      <c r="O68" s="23">
        <v>1</v>
      </c>
      <c r="P68" s="23">
        <v>1</v>
      </c>
      <c r="Q68" s="23">
        <v>3</v>
      </c>
      <c r="R68" s="23">
        <v>3</v>
      </c>
      <c r="S68" s="23">
        <v>2</v>
      </c>
      <c r="T68" s="23">
        <v>3</v>
      </c>
      <c r="U68" s="23">
        <v>0</v>
      </c>
      <c r="V68" s="93">
        <f t="shared" si="5"/>
        <v>34</v>
      </c>
      <c r="X68" s="38">
        <f>70+V68</f>
        <v>104</v>
      </c>
      <c r="AB68" s="184">
        <f>COUNTIFS(Tabell7141520[[1]:[18]],5)</f>
        <v>3</v>
      </c>
      <c r="AD68" s="85" t="s">
        <v>135</v>
      </c>
      <c r="AE68" s="185">
        <f>AB68/AB69</f>
        <v>2.0833333333333332E-2</v>
      </c>
      <c r="AL68" s="84">
        <v>12</v>
      </c>
      <c r="AM68" s="213">
        <v>12</v>
      </c>
      <c r="AN68" s="213"/>
      <c r="AO68" s="213" t="s">
        <v>135</v>
      </c>
      <c r="AP68" s="214">
        <v>8.3333333333333329E-2</v>
      </c>
      <c r="AQ68" s="213"/>
      <c r="AR68" s="213"/>
      <c r="AS68" s="213"/>
      <c r="AT68" s="213"/>
      <c r="AU68" s="213"/>
    </row>
    <row r="69" spans="2:47" x14ac:dyDescent="0.25">
      <c r="B69" s="110" t="s">
        <v>8</v>
      </c>
      <c r="C69" s="111" t="s">
        <v>9</v>
      </c>
      <c r="D69" s="23">
        <v>10</v>
      </c>
      <c r="E69" s="23">
        <v>10</v>
      </c>
      <c r="F69" s="23">
        <v>10</v>
      </c>
      <c r="G69" s="23">
        <v>10</v>
      </c>
      <c r="H69" s="23">
        <v>10</v>
      </c>
      <c r="I69" s="23">
        <v>10</v>
      </c>
      <c r="J69" s="23">
        <v>10</v>
      </c>
      <c r="K69" s="23">
        <v>10</v>
      </c>
      <c r="L69" s="23">
        <v>10</v>
      </c>
      <c r="M69" s="23">
        <v>10</v>
      </c>
      <c r="N69" s="23">
        <v>10</v>
      </c>
      <c r="O69" s="23">
        <v>10</v>
      </c>
      <c r="P69" s="23">
        <v>10</v>
      </c>
      <c r="Q69" s="23">
        <v>10</v>
      </c>
      <c r="R69" s="23">
        <v>10</v>
      </c>
      <c r="S69" s="23">
        <v>10</v>
      </c>
      <c r="T69" s="23">
        <v>10</v>
      </c>
      <c r="U69" s="23">
        <v>10</v>
      </c>
      <c r="V69" s="93">
        <f t="shared" si="5"/>
        <v>180</v>
      </c>
      <c r="X69" s="38">
        <f>72+V69</f>
        <v>252</v>
      </c>
      <c r="AB69" s="97">
        <f>SUM(AB62:AB68)</f>
        <v>144</v>
      </c>
      <c r="AL69" s="84">
        <v>144</v>
      </c>
      <c r="AM69" s="213">
        <v>144</v>
      </c>
      <c r="AN69" s="213"/>
      <c r="AO69" s="213"/>
      <c r="AP69" s="213"/>
      <c r="AQ69" s="213"/>
      <c r="AR69" s="213"/>
      <c r="AS69" s="213"/>
      <c r="AT69" s="213"/>
      <c r="AU69" s="213"/>
    </row>
    <row r="70" spans="2:47" x14ac:dyDescent="0.25">
      <c r="B70" s="110" t="s">
        <v>8</v>
      </c>
      <c r="C70" s="111" t="s">
        <v>9</v>
      </c>
      <c r="D70" s="23">
        <v>2</v>
      </c>
      <c r="E70" s="23">
        <v>0</v>
      </c>
      <c r="F70" s="23">
        <v>3</v>
      </c>
      <c r="G70" s="23">
        <v>2</v>
      </c>
      <c r="H70" s="23">
        <v>2</v>
      </c>
      <c r="I70" s="23">
        <v>1</v>
      </c>
      <c r="J70" s="23">
        <v>0</v>
      </c>
      <c r="K70" s="23">
        <v>1</v>
      </c>
      <c r="L70" s="23">
        <v>-1</v>
      </c>
      <c r="M70" s="23">
        <v>3</v>
      </c>
      <c r="N70" s="23">
        <v>1</v>
      </c>
      <c r="O70" s="23">
        <v>1</v>
      </c>
      <c r="P70" s="23">
        <v>0</v>
      </c>
      <c r="Q70" s="23">
        <v>4</v>
      </c>
      <c r="R70" s="23">
        <v>2</v>
      </c>
      <c r="S70" s="23">
        <v>2</v>
      </c>
      <c r="T70" s="23">
        <v>2</v>
      </c>
      <c r="U70" s="23">
        <v>0</v>
      </c>
      <c r="V70" s="93">
        <f t="shared" si="5"/>
        <v>25</v>
      </c>
      <c r="X70" s="38">
        <f>72+V70</f>
        <v>97</v>
      </c>
      <c r="AM70" s="213"/>
      <c r="AN70" s="213"/>
      <c r="AO70" s="213"/>
      <c r="AP70" s="213"/>
      <c r="AQ70" s="213"/>
      <c r="AR70" s="213"/>
      <c r="AS70" s="213"/>
      <c r="AT70" s="213"/>
      <c r="AU70" s="213"/>
    </row>
    <row r="71" spans="2:47" x14ac:dyDescent="0.25">
      <c r="B71" s="110" t="s">
        <v>8</v>
      </c>
      <c r="C71" s="111" t="s">
        <v>9</v>
      </c>
      <c r="D71" s="23">
        <v>1</v>
      </c>
      <c r="E71" s="23">
        <v>2</v>
      </c>
      <c r="F71" s="23">
        <v>1</v>
      </c>
      <c r="G71" s="23">
        <v>2</v>
      </c>
      <c r="H71" s="23">
        <v>2</v>
      </c>
      <c r="I71" s="23">
        <v>3</v>
      </c>
      <c r="J71" s="23">
        <v>0</v>
      </c>
      <c r="K71" s="23">
        <v>1</v>
      </c>
      <c r="L71" s="23">
        <v>3</v>
      </c>
      <c r="M71" s="23">
        <v>4</v>
      </c>
      <c r="N71" s="23">
        <v>0</v>
      </c>
      <c r="O71" s="23">
        <v>2</v>
      </c>
      <c r="P71" s="23">
        <v>1</v>
      </c>
      <c r="Q71" s="23">
        <v>1</v>
      </c>
      <c r="R71" s="23">
        <v>2</v>
      </c>
      <c r="S71" s="23">
        <v>1</v>
      </c>
      <c r="T71" s="23">
        <v>1</v>
      </c>
      <c r="U71" s="23">
        <v>3</v>
      </c>
      <c r="V71" s="93">
        <f t="shared" si="5"/>
        <v>30</v>
      </c>
      <c r="X71" s="39">
        <f>71+V71</f>
        <v>101</v>
      </c>
      <c r="AM71" s="213"/>
      <c r="AN71" s="213"/>
      <c r="AO71" s="213"/>
      <c r="AP71" s="213"/>
      <c r="AQ71" s="213"/>
      <c r="AR71" s="213"/>
      <c r="AS71" s="213"/>
      <c r="AT71" s="213"/>
      <c r="AU71" s="213"/>
    </row>
    <row r="72" spans="2:47" x14ac:dyDescent="0.25">
      <c r="B72" s="110" t="s">
        <v>8</v>
      </c>
      <c r="C72" s="111" t="s">
        <v>9</v>
      </c>
      <c r="D72" s="23">
        <v>10</v>
      </c>
      <c r="E72" s="23">
        <v>10</v>
      </c>
      <c r="F72" s="23">
        <v>10</v>
      </c>
      <c r="G72" s="23">
        <v>10</v>
      </c>
      <c r="H72" s="23">
        <v>10</v>
      </c>
      <c r="I72" s="23">
        <v>10</v>
      </c>
      <c r="J72" s="23">
        <v>10</v>
      </c>
      <c r="K72" s="23">
        <v>10</v>
      </c>
      <c r="L72" s="23">
        <v>10</v>
      </c>
      <c r="M72" s="23">
        <v>10</v>
      </c>
      <c r="N72" s="23">
        <v>10</v>
      </c>
      <c r="O72" s="23">
        <v>10</v>
      </c>
      <c r="P72" s="23">
        <v>10</v>
      </c>
      <c r="Q72" s="23">
        <v>10</v>
      </c>
      <c r="R72" s="23">
        <v>10</v>
      </c>
      <c r="S72" s="23">
        <v>10</v>
      </c>
      <c r="T72" s="23">
        <v>10</v>
      </c>
      <c r="U72" s="23">
        <v>10</v>
      </c>
      <c r="V72" s="94">
        <f t="shared" si="5"/>
        <v>180</v>
      </c>
      <c r="X72" s="39">
        <f>74+V72</f>
        <v>254</v>
      </c>
      <c r="AM72" s="213"/>
      <c r="AN72" s="213"/>
      <c r="AO72" s="213"/>
      <c r="AP72" s="213"/>
      <c r="AQ72" s="213"/>
      <c r="AR72" s="213"/>
      <c r="AS72" s="213"/>
      <c r="AT72" s="213"/>
      <c r="AU72" s="213"/>
    </row>
    <row r="73" spans="2:47" x14ac:dyDescent="0.25">
      <c r="AM73" s="213"/>
      <c r="AN73" s="213"/>
      <c r="AO73" s="213"/>
      <c r="AP73" s="213"/>
      <c r="AQ73" s="213"/>
      <c r="AR73" s="213"/>
      <c r="AS73" s="213"/>
      <c r="AT73" s="213"/>
      <c r="AU73" s="213"/>
    </row>
    <row r="74" spans="2:47" x14ac:dyDescent="0.25">
      <c r="B74" s="9" t="s">
        <v>20</v>
      </c>
      <c r="C74" s="10" t="s">
        <v>21</v>
      </c>
      <c r="D74" s="29" t="s">
        <v>22</v>
      </c>
      <c r="E74" s="29" t="s">
        <v>23</v>
      </c>
      <c r="F74" s="29" t="s">
        <v>24</v>
      </c>
      <c r="G74" s="29" t="s">
        <v>25</v>
      </c>
      <c r="H74" s="29" t="s">
        <v>26</v>
      </c>
      <c r="I74" s="29" t="s">
        <v>27</v>
      </c>
      <c r="J74" s="29" t="s">
        <v>28</v>
      </c>
      <c r="K74" s="29" t="s">
        <v>29</v>
      </c>
      <c r="L74" s="29" t="s">
        <v>30</v>
      </c>
      <c r="M74" s="29" t="s">
        <v>72</v>
      </c>
      <c r="N74" s="29" t="s">
        <v>73</v>
      </c>
      <c r="O74" s="29" t="s">
        <v>74</v>
      </c>
      <c r="P74" s="29" t="s">
        <v>75</v>
      </c>
      <c r="Q74" s="29" t="s">
        <v>76</v>
      </c>
      <c r="R74" s="29" t="s">
        <v>77</v>
      </c>
      <c r="S74" s="29" t="s">
        <v>78</v>
      </c>
      <c r="T74" s="29" t="s">
        <v>79</v>
      </c>
      <c r="U74" s="29" t="s">
        <v>80</v>
      </c>
      <c r="V74" s="92" t="s">
        <v>39</v>
      </c>
      <c r="X74" s="37" t="s">
        <v>84</v>
      </c>
      <c r="AB74" s="184">
        <f>COUNTIFS(Tabell714152021[[1]:[18]],-1)</f>
        <v>1</v>
      </c>
      <c r="AD74" s="85" t="s">
        <v>34</v>
      </c>
      <c r="AE74" s="185">
        <f>AB74/AB81</f>
        <v>6.1728395061728392E-3</v>
      </c>
      <c r="AL74" s="84">
        <v>1</v>
      </c>
      <c r="AM74" s="213">
        <v>1</v>
      </c>
      <c r="AN74" s="213"/>
      <c r="AO74" s="213" t="s">
        <v>34</v>
      </c>
      <c r="AP74" s="214">
        <v>1.1111111111111112E-2</v>
      </c>
      <c r="AQ74" s="213"/>
      <c r="AR74" s="213"/>
      <c r="AS74" s="213"/>
      <c r="AT74" s="213"/>
      <c r="AU74" s="213"/>
    </row>
    <row r="75" spans="2:47" x14ac:dyDescent="0.25">
      <c r="B75" s="110" t="s">
        <v>15</v>
      </c>
      <c r="C75" s="111" t="s">
        <v>16</v>
      </c>
      <c r="D75" s="23">
        <v>1</v>
      </c>
      <c r="E75" s="23">
        <v>0</v>
      </c>
      <c r="F75" s="23">
        <v>2</v>
      </c>
      <c r="G75" s="23">
        <v>2</v>
      </c>
      <c r="H75" s="23">
        <v>0</v>
      </c>
      <c r="I75" s="23">
        <v>5</v>
      </c>
      <c r="J75" s="23">
        <v>1</v>
      </c>
      <c r="K75" s="23">
        <v>5</v>
      </c>
      <c r="L75" s="23">
        <v>1</v>
      </c>
      <c r="M75" s="23">
        <v>2</v>
      </c>
      <c r="N75" s="23">
        <v>1</v>
      </c>
      <c r="O75" s="23">
        <v>3</v>
      </c>
      <c r="P75" s="23">
        <v>3</v>
      </c>
      <c r="Q75" s="23">
        <v>0</v>
      </c>
      <c r="R75" s="23">
        <v>2</v>
      </c>
      <c r="S75" s="23">
        <v>1</v>
      </c>
      <c r="T75" s="23">
        <v>2</v>
      </c>
      <c r="U75" s="23">
        <v>1</v>
      </c>
      <c r="V75" s="93">
        <f t="shared" ref="V75:V84" si="6">SUM(D75:U75)</f>
        <v>32</v>
      </c>
      <c r="X75" s="38">
        <f>72+V75</f>
        <v>104</v>
      </c>
      <c r="AB75" s="184">
        <f>COUNTIFS(Tabell714152021[[1]:[18]],0)</f>
        <v>16</v>
      </c>
      <c r="AD75" s="85" t="s">
        <v>83</v>
      </c>
      <c r="AE75" s="185">
        <f>AB75/AB81</f>
        <v>9.8765432098765427E-2</v>
      </c>
      <c r="AL75" s="84">
        <v>11</v>
      </c>
      <c r="AM75" s="213">
        <v>11</v>
      </c>
      <c r="AN75" s="213"/>
      <c r="AO75" s="213" t="s">
        <v>83</v>
      </c>
      <c r="AP75" s="214">
        <v>0.12222222222222222</v>
      </c>
      <c r="AQ75" s="213"/>
      <c r="AR75" s="213"/>
      <c r="AS75" s="213"/>
      <c r="AT75" s="213"/>
      <c r="AU75" s="213"/>
    </row>
    <row r="76" spans="2:47" x14ac:dyDescent="0.25">
      <c r="B76" s="110" t="s">
        <v>15</v>
      </c>
      <c r="C76" s="111" t="s">
        <v>16</v>
      </c>
      <c r="D76" s="23">
        <v>3</v>
      </c>
      <c r="E76" s="23">
        <v>2</v>
      </c>
      <c r="F76" s="23">
        <v>1</v>
      </c>
      <c r="G76" s="23">
        <v>5</v>
      </c>
      <c r="H76" s="23">
        <v>3</v>
      </c>
      <c r="I76" s="23">
        <v>0</v>
      </c>
      <c r="J76" s="23">
        <v>2</v>
      </c>
      <c r="K76" s="23">
        <v>1</v>
      </c>
      <c r="L76" s="23">
        <v>4</v>
      </c>
      <c r="M76" s="23">
        <v>1</v>
      </c>
      <c r="N76" s="23">
        <v>1</v>
      </c>
      <c r="O76" s="23">
        <v>3</v>
      </c>
      <c r="P76" s="23">
        <v>0</v>
      </c>
      <c r="Q76" s="23">
        <v>0</v>
      </c>
      <c r="R76" s="23">
        <v>1</v>
      </c>
      <c r="S76" s="23">
        <v>2</v>
      </c>
      <c r="T76" s="23">
        <v>2</v>
      </c>
      <c r="U76" s="23">
        <v>2</v>
      </c>
      <c r="V76" s="93">
        <f t="shared" si="6"/>
        <v>33</v>
      </c>
      <c r="X76" s="38">
        <f>70+V76</f>
        <v>103</v>
      </c>
      <c r="AB76" s="184">
        <f>COUNTIFS(Tabell714152021[[1]:[18]],1)</f>
        <v>38</v>
      </c>
      <c r="AD76" s="85" t="s">
        <v>131</v>
      </c>
      <c r="AE76" s="185">
        <f>AB76/AB81</f>
        <v>0.23456790123456789</v>
      </c>
      <c r="AL76" s="84">
        <v>32</v>
      </c>
      <c r="AM76" s="213">
        <v>32</v>
      </c>
      <c r="AN76" s="213"/>
      <c r="AO76" s="213" t="s">
        <v>131</v>
      </c>
      <c r="AP76" s="214">
        <v>0.35555555555555557</v>
      </c>
      <c r="AQ76" s="213"/>
      <c r="AR76" s="213"/>
      <c r="AS76" s="213"/>
      <c r="AT76" s="213"/>
      <c r="AU76" s="213"/>
    </row>
    <row r="77" spans="2:47" x14ac:dyDescent="0.25">
      <c r="B77" s="110" t="s">
        <v>15</v>
      </c>
      <c r="C77" s="111" t="s">
        <v>16</v>
      </c>
      <c r="D77" s="23">
        <v>4</v>
      </c>
      <c r="E77" s="23">
        <v>3</v>
      </c>
      <c r="F77" s="23">
        <v>4</v>
      </c>
      <c r="G77" s="23">
        <v>4</v>
      </c>
      <c r="H77" s="23">
        <v>4</v>
      </c>
      <c r="I77" s="23">
        <v>2</v>
      </c>
      <c r="J77" s="23">
        <v>1</v>
      </c>
      <c r="K77" s="23">
        <v>2</v>
      </c>
      <c r="L77" s="23">
        <v>5</v>
      </c>
      <c r="M77" s="23">
        <v>2</v>
      </c>
      <c r="N77" s="23">
        <v>5</v>
      </c>
      <c r="O77" s="23">
        <v>0</v>
      </c>
      <c r="P77" s="23">
        <v>2</v>
      </c>
      <c r="Q77" s="23">
        <v>2</v>
      </c>
      <c r="R77" s="23">
        <v>0</v>
      </c>
      <c r="S77" s="23">
        <v>4</v>
      </c>
      <c r="T77" s="23">
        <v>2</v>
      </c>
      <c r="U77" s="23">
        <v>0</v>
      </c>
      <c r="V77" s="93">
        <f t="shared" si="6"/>
        <v>46</v>
      </c>
      <c r="X77" s="38">
        <f>72+V77</f>
        <v>118</v>
      </c>
      <c r="AB77" s="184">
        <f>COUNTIFS(Tabell714152021[[1]:[18]],2)</f>
        <v>57</v>
      </c>
      <c r="AD77" s="85" t="s">
        <v>132</v>
      </c>
      <c r="AE77" s="185">
        <f>AB77/AB81</f>
        <v>0.35185185185185186</v>
      </c>
      <c r="AL77" s="84">
        <v>21</v>
      </c>
      <c r="AM77" s="213">
        <v>21</v>
      </c>
      <c r="AN77" s="213"/>
      <c r="AO77" s="213" t="s">
        <v>132</v>
      </c>
      <c r="AP77" s="214">
        <v>0.23333333333333334</v>
      </c>
      <c r="AQ77" s="213"/>
      <c r="AR77" s="213"/>
      <c r="AS77" s="213"/>
      <c r="AT77" s="213"/>
      <c r="AU77" s="213"/>
    </row>
    <row r="78" spans="2:47" x14ac:dyDescent="0.25">
      <c r="B78" s="110" t="s">
        <v>15</v>
      </c>
      <c r="C78" s="111" t="s">
        <v>16</v>
      </c>
      <c r="D78" s="23">
        <v>1</v>
      </c>
      <c r="E78" s="23">
        <v>3</v>
      </c>
      <c r="F78" s="23">
        <v>4</v>
      </c>
      <c r="G78" s="23">
        <v>3</v>
      </c>
      <c r="H78" s="23">
        <v>2</v>
      </c>
      <c r="I78" s="23">
        <v>3</v>
      </c>
      <c r="J78" s="23">
        <v>2</v>
      </c>
      <c r="K78" s="23">
        <v>1</v>
      </c>
      <c r="L78" s="23">
        <v>1</v>
      </c>
      <c r="M78" s="23">
        <v>3</v>
      </c>
      <c r="N78" s="23">
        <v>1</v>
      </c>
      <c r="O78" s="23">
        <v>4</v>
      </c>
      <c r="P78" s="23">
        <v>2</v>
      </c>
      <c r="Q78" s="23">
        <v>4</v>
      </c>
      <c r="R78" s="23">
        <v>2</v>
      </c>
      <c r="S78" s="23">
        <v>2</v>
      </c>
      <c r="T78" s="23">
        <v>2</v>
      </c>
      <c r="U78" s="23">
        <v>1</v>
      </c>
      <c r="V78" s="93">
        <f t="shared" si="6"/>
        <v>41</v>
      </c>
      <c r="X78" s="38">
        <f>72+V78</f>
        <v>113</v>
      </c>
      <c r="AB78" s="184">
        <f>COUNTIFS(Tabell714152021[[1]:[18]],3)</f>
        <v>23</v>
      </c>
      <c r="AD78" s="85" t="s">
        <v>133</v>
      </c>
      <c r="AE78" s="185">
        <f>AB78/AB81</f>
        <v>0.1419753086419753</v>
      </c>
      <c r="AL78" s="84">
        <v>20</v>
      </c>
      <c r="AM78" s="213">
        <v>20</v>
      </c>
      <c r="AN78" s="213"/>
      <c r="AO78" s="213" t="s">
        <v>133</v>
      </c>
      <c r="AP78" s="214">
        <v>0.22222222222222221</v>
      </c>
      <c r="AQ78" s="213"/>
      <c r="AR78" s="213"/>
      <c r="AS78" s="213"/>
      <c r="AT78" s="213"/>
      <c r="AU78" s="213"/>
    </row>
    <row r="79" spans="2:47" x14ac:dyDescent="0.25">
      <c r="B79" s="110" t="s">
        <v>15</v>
      </c>
      <c r="C79" s="111" t="s">
        <v>16</v>
      </c>
      <c r="D79" s="23">
        <v>2</v>
      </c>
      <c r="E79" s="23">
        <v>2</v>
      </c>
      <c r="F79" s="23">
        <v>4</v>
      </c>
      <c r="G79" s="23">
        <v>4</v>
      </c>
      <c r="H79" s="23">
        <v>3</v>
      </c>
      <c r="I79" s="23">
        <v>4</v>
      </c>
      <c r="J79" s="23">
        <v>1</v>
      </c>
      <c r="K79" s="23">
        <v>1</v>
      </c>
      <c r="L79" s="23">
        <v>2</v>
      </c>
      <c r="M79" s="23">
        <v>2</v>
      </c>
      <c r="N79" s="23">
        <v>2</v>
      </c>
      <c r="O79" s="23">
        <v>3</v>
      </c>
      <c r="P79" s="23">
        <v>1</v>
      </c>
      <c r="Q79" s="23">
        <v>2</v>
      </c>
      <c r="R79" s="23">
        <v>2</v>
      </c>
      <c r="S79" s="23">
        <v>0</v>
      </c>
      <c r="T79" s="23">
        <v>2</v>
      </c>
      <c r="U79" s="23">
        <v>5</v>
      </c>
      <c r="V79" s="93">
        <f t="shared" si="6"/>
        <v>42</v>
      </c>
      <c r="X79" s="38">
        <f>71+V79</f>
        <v>113</v>
      </c>
      <c r="AB79" s="184">
        <f>COUNTIFS(Tabell714152021[[1]:[18]],4)</f>
        <v>16</v>
      </c>
      <c r="AD79" s="85" t="s">
        <v>134</v>
      </c>
      <c r="AE79" s="185">
        <f>AB79/AB81</f>
        <v>9.8765432098765427E-2</v>
      </c>
      <c r="AL79" s="84">
        <v>1</v>
      </c>
      <c r="AM79" s="213">
        <v>1</v>
      </c>
      <c r="AN79" s="213"/>
      <c r="AO79" s="213" t="s">
        <v>134</v>
      </c>
      <c r="AP79" s="214">
        <v>1.1111111111111112E-2</v>
      </c>
      <c r="AQ79" s="213"/>
      <c r="AR79" s="213"/>
      <c r="AS79" s="213"/>
      <c r="AT79" s="213"/>
      <c r="AU79" s="213"/>
    </row>
    <row r="80" spans="2:47" x14ac:dyDescent="0.25">
      <c r="B80" s="110" t="s">
        <v>15</v>
      </c>
      <c r="C80" s="111" t="s">
        <v>16</v>
      </c>
      <c r="D80" s="23">
        <v>2</v>
      </c>
      <c r="E80" s="23">
        <v>2</v>
      </c>
      <c r="F80" s="23">
        <v>3</v>
      </c>
      <c r="G80" s="23">
        <v>1</v>
      </c>
      <c r="H80" s="23">
        <v>2</v>
      </c>
      <c r="I80" s="23">
        <v>1</v>
      </c>
      <c r="J80" s="23">
        <v>2</v>
      </c>
      <c r="K80" s="23">
        <v>2</v>
      </c>
      <c r="L80" s="23">
        <v>0</v>
      </c>
      <c r="M80" s="23">
        <v>1</v>
      </c>
      <c r="N80" s="23">
        <v>2</v>
      </c>
      <c r="O80" s="23">
        <v>3</v>
      </c>
      <c r="P80" s="23">
        <v>3</v>
      </c>
      <c r="Q80" s="23">
        <v>4</v>
      </c>
      <c r="R80" s="23">
        <v>2</v>
      </c>
      <c r="S80" s="23">
        <v>5</v>
      </c>
      <c r="T80" s="23">
        <v>2</v>
      </c>
      <c r="U80" s="23">
        <v>3</v>
      </c>
      <c r="V80" s="93">
        <f t="shared" si="6"/>
        <v>40</v>
      </c>
      <c r="X80" s="38">
        <f>70+V80</f>
        <v>110</v>
      </c>
      <c r="AB80" s="184">
        <f>COUNTIFS(Tabell714152021[[1]:[18]],5)</f>
        <v>11</v>
      </c>
      <c r="AD80" s="85" t="s">
        <v>135</v>
      </c>
      <c r="AE80" s="185">
        <f>AB80/AB81</f>
        <v>6.7901234567901231E-2</v>
      </c>
      <c r="AL80" s="84">
        <v>4</v>
      </c>
      <c r="AM80" s="213">
        <v>4</v>
      </c>
      <c r="AN80" s="213"/>
      <c r="AO80" s="213" t="s">
        <v>135</v>
      </c>
      <c r="AP80" s="214">
        <v>4.4444444444444446E-2</v>
      </c>
      <c r="AQ80" s="213"/>
      <c r="AR80" s="213"/>
      <c r="AS80" s="213"/>
      <c r="AT80" s="213"/>
      <c r="AU80" s="213"/>
    </row>
    <row r="81" spans="2:47" x14ac:dyDescent="0.25">
      <c r="B81" s="110" t="s">
        <v>15</v>
      </c>
      <c r="C81" s="111" t="s">
        <v>16</v>
      </c>
      <c r="D81" s="23">
        <v>1</v>
      </c>
      <c r="E81" s="23">
        <v>3</v>
      </c>
      <c r="F81" s="23">
        <v>2</v>
      </c>
      <c r="G81" s="23">
        <v>3</v>
      </c>
      <c r="H81" s="23">
        <v>2</v>
      </c>
      <c r="I81" s="23">
        <v>2</v>
      </c>
      <c r="J81" s="23">
        <v>4</v>
      </c>
      <c r="K81" s="23">
        <v>5</v>
      </c>
      <c r="L81" s="23">
        <v>2</v>
      </c>
      <c r="M81" s="23">
        <v>5</v>
      </c>
      <c r="N81" s="23">
        <v>0</v>
      </c>
      <c r="O81" s="23">
        <v>3</v>
      </c>
      <c r="P81" s="23">
        <v>2</v>
      </c>
      <c r="Q81" s="23">
        <v>1</v>
      </c>
      <c r="R81" s="23">
        <v>1</v>
      </c>
      <c r="S81" s="23">
        <v>4</v>
      </c>
      <c r="T81" s="23">
        <v>3</v>
      </c>
      <c r="U81" s="23">
        <v>2</v>
      </c>
      <c r="V81" s="93">
        <f t="shared" si="6"/>
        <v>45</v>
      </c>
      <c r="X81" s="38">
        <f>72+V81</f>
        <v>117</v>
      </c>
      <c r="AB81" s="97">
        <f>SUM(AB74:AB80)</f>
        <v>162</v>
      </c>
      <c r="AL81" s="84">
        <v>90</v>
      </c>
      <c r="AM81" s="213">
        <v>90</v>
      </c>
      <c r="AN81" s="213"/>
      <c r="AO81" s="213"/>
      <c r="AP81" s="213"/>
      <c r="AQ81" s="213"/>
      <c r="AR81" s="213"/>
      <c r="AS81" s="213"/>
      <c r="AT81" s="213"/>
      <c r="AU81" s="213"/>
    </row>
    <row r="82" spans="2:47" x14ac:dyDescent="0.25">
      <c r="B82" s="110" t="s">
        <v>15</v>
      </c>
      <c r="C82" s="111" t="s">
        <v>16</v>
      </c>
      <c r="D82" s="23">
        <v>1</v>
      </c>
      <c r="E82" s="23">
        <v>1</v>
      </c>
      <c r="F82" s="23">
        <v>1</v>
      </c>
      <c r="G82" s="23">
        <v>0</v>
      </c>
      <c r="H82" s="23">
        <v>0</v>
      </c>
      <c r="I82" s="23">
        <v>1</v>
      </c>
      <c r="J82" s="23">
        <v>2</v>
      </c>
      <c r="K82" s="23">
        <v>1</v>
      </c>
      <c r="L82" s="23">
        <v>4</v>
      </c>
      <c r="M82" s="23">
        <v>3</v>
      </c>
      <c r="N82" s="23">
        <v>2</v>
      </c>
      <c r="O82" s="23">
        <v>2</v>
      </c>
      <c r="P82" s="23">
        <v>2</v>
      </c>
      <c r="Q82" s="23">
        <v>2</v>
      </c>
      <c r="R82" s="23">
        <v>1</v>
      </c>
      <c r="S82" s="23">
        <v>0</v>
      </c>
      <c r="T82" s="23">
        <v>5</v>
      </c>
      <c r="U82" s="23">
        <v>1</v>
      </c>
      <c r="V82" s="93">
        <f t="shared" si="6"/>
        <v>29</v>
      </c>
      <c r="X82" s="38">
        <f>72+V82</f>
        <v>101</v>
      </c>
      <c r="AM82" s="213"/>
      <c r="AN82" s="213"/>
      <c r="AO82" s="213"/>
      <c r="AP82" s="213"/>
      <c r="AQ82" s="213"/>
      <c r="AR82" s="213"/>
      <c r="AS82" s="213"/>
      <c r="AT82" s="213"/>
      <c r="AU82" s="213"/>
    </row>
    <row r="83" spans="2:47" x14ac:dyDescent="0.25">
      <c r="B83" s="110" t="s">
        <v>15</v>
      </c>
      <c r="C83" s="111" t="s">
        <v>16</v>
      </c>
      <c r="D83" s="23">
        <v>2</v>
      </c>
      <c r="E83" s="23">
        <v>2</v>
      </c>
      <c r="F83" s="23">
        <v>3</v>
      </c>
      <c r="G83" s="23">
        <v>0</v>
      </c>
      <c r="H83" s="23">
        <v>1</v>
      </c>
      <c r="I83" s="23">
        <v>1</v>
      </c>
      <c r="J83" s="23">
        <v>2</v>
      </c>
      <c r="K83" s="23">
        <v>1</v>
      </c>
      <c r="L83" s="23">
        <v>3</v>
      </c>
      <c r="M83" s="23">
        <v>2</v>
      </c>
      <c r="N83" s="23">
        <v>2</v>
      </c>
      <c r="O83" s="23">
        <v>5</v>
      </c>
      <c r="P83" s="23">
        <v>1</v>
      </c>
      <c r="Q83" s="23">
        <v>2</v>
      </c>
      <c r="R83" s="23">
        <v>2</v>
      </c>
      <c r="S83" s="23">
        <v>-1</v>
      </c>
      <c r="T83" s="23">
        <v>1</v>
      </c>
      <c r="U83" s="23">
        <v>2</v>
      </c>
      <c r="V83" s="93">
        <f t="shared" si="6"/>
        <v>31</v>
      </c>
      <c r="X83" s="38">
        <f>72+V83</f>
        <v>103</v>
      </c>
      <c r="AM83" s="213"/>
      <c r="AN83" s="213"/>
      <c r="AO83" s="213"/>
      <c r="AP83" s="213"/>
      <c r="AQ83" s="213"/>
      <c r="AR83" s="213"/>
      <c r="AS83" s="213"/>
      <c r="AT83" s="213"/>
      <c r="AU83" s="213"/>
    </row>
    <row r="84" spans="2:47" x14ac:dyDescent="0.25">
      <c r="B84" s="110" t="s">
        <v>15</v>
      </c>
      <c r="C84" s="111" t="s">
        <v>16</v>
      </c>
      <c r="D84" s="23">
        <v>10</v>
      </c>
      <c r="E84" s="23">
        <v>10</v>
      </c>
      <c r="F84" s="23">
        <v>10</v>
      </c>
      <c r="G84" s="23">
        <v>10</v>
      </c>
      <c r="H84" s="23">
        <v>10</v>
      </c>
      <c r="I84" s="23">
        <v>10</v>
      </c>
      <c r="J84" s="23">
        <v>10</v>
      </c>
      <c r="K84" s="23">
        <v>10</v>
      </c>
      <c r="L84" s="23">
        <v>10</v>
      </c>
      <c r="M84" s="23">
        <v>10</v>
      </c>
      <c r="N84" s="23">
        <v>10</v>
      </c>
      <c r="O84" s="23">
        <v>10</v>
      </c>
      <c r="P84" s="23">
        <v>10</v>
      </c>
      <c r="Q84" s="23">
        <v>10</v>
      </c>
      <c r="R84" s="23">
        <v>10</v>
      </c>
      <c r="S84" s="23">
        <v>10</v>
      </c>
      <c r="T84" s="23">
        <v>10</v>
      </c>
      <c r="U84" s="23">
        <v>10</v>
      </c>
      <c r="V84" s="94">
        <f t="shared" si="6"/>
        <v>180</v>
      </c>
      <c r="X84" s="39">
        <f>71+V84</f>
        <v>251</v>
      </c>
      <c r="AM84" s="213"/>
      <c r="AN84" s="213"/>
      <c r="AO84" s="213"/>
      <c r="AP84" s="213"/>
      <c r="AQ84" s="213"/>
      <c r="AR84" s="213"/>
      <c r="AS84" s="213"/>
      <c r="AT84" s="213"/>
      <c r="AU84" s="213"/>
    </row>
    <row r="85" spans="2:47" x14ac:dyDescent="0.25">
      <c r="AM85" s="213"/>
      <c r="AN85" s="213"/>
      <c r="AO85" s="213"/>
      <c r="AP85" s="213"/>
      <c r="AQ85" s="213"/>
      <c r="AR85" s="213"/>
      <c r="AS85" s="213"/>
      <c r="AT85" s="213"/>
      <c r="AU85" s="213"/>
    </row>
    <row r="86" spans="2:47" x14ac:dyDescent="0.25">
      <c r="B86" s="9" t="s">
        <v>20</v>
      </c>
      <c r="C86" s="10" t="s">
        <v>21</v>
      </c>
      <c r="D86" s="29" t="s">
        <v>22</v>
      </c>
      <c r="E86" s="29" t="s">
        <v>23</v>
      </c>
      <c r="F86" s="29" t="s">
        <v>24</v>
      </c>
      <c r="G86" s="29" t="s">
        <v>25</v>
      </c>
      <c r="H86" s="29" t="s">
        <v>26</v>
      </c>
      <c r="I86" s="29" t="s">
        <v>27</v>
      </c>
      <c r="J86" s="29" t="s">
        <v>28</v>
      </c>
      <c r="K86" s="29" t="s">
        <v>29</v>
      </c>
      <c r="L86" s="29" t="s">
        <v>30</v>
      </c>
      <c r="M86" s="29" t="s">
        <v>72</v>
      </c>
      <c r="N86" s="29" t="s">
        <v>73</v>
      </c>
      <c r="O86" s="29" t="s">
        <v>74</v>
      </c>
      <c r="P86" s="29" t="s">
        <v>75</v>
      </c>
      <c r="Q86" s="29" t="s">
        <v>76</v>
      </c>
      <c r="R86" s="29" t="s">
        <v>77</v>
      </c>
      <c r="S86" s="29" t="s">
        <v>78</v>
      </c>
      <c r="T86" s="29" t="s">
        <v>79</v>
      </c>
      <c r="U86" s="29" t="s">
        <v>80</v>
      </c>
      <c r="V86" s="92" t="s">
        <v>39</v>
      </c>
      <c r="X86" s="37" t="s">
        <v>84</v>
      </c>
      <c r="AB86" s="184">
        <f>COUNTIFS(Tabell71415202134[[1]:[18]],-1)</f>
        <v>0</v>
      </c>
      <c r="AD86" s="85" t="s">
        <v>34</v>
      </c>
      <c r="AE86" s="185">
        <f>AB86/AB93</f>
        <v>0</v>
      </c>
      <c r="AL86" s="84">
        <v>2</v>
      </c>
      <c r="AM86" s="213">
        <v>2</v>
      </c>
      <c r="AN86" s="213"/>
      <c r="AO86" s="213" t="s">
        <v>34</v>
      </c>
      <c r="AP86" s="214">
        <v>1.3888888888888888E-2</v>
      </c>
      <c r="AQ86" s="213"/>
      <c r="AR86" s="213"/>
      <c r="AS86" s="213"/>
      <c r="AT86" s="213"/>
      <c r="AU86" s="213"/>
    </row>
    <row r="87" spans="2:47" x14ac:dyDescent="0.25">
      <c r="B87" s="110" t="s">
        <v>12</v>
      </c>
      <c r="C87" s="111" t="s">
        <v>13</v>
      </c>
      <c r="D87" s="23">
        <v>1</v>
      </c>
      <c r="E87" s="23">
        <v>1</v>
      </c>
      <c r="F87" s="23">
        <v>1</v>
      </c>
      <c r="G87" s="23">
        <v>1</v>
      </c>
      <c r="H87" s="23">
        <v>3</v>
      </c>
      <c r="I87" s="23">
        <v>2</v>
      </c>
      <c r="J87" s="23">
        <v>1</v>
      </c>
      <c r="K87" s="23">
        <v>2</v>
      </c>
      <c r="L87" s="23">
        <v>3</v>
      </c>
      <c r="M87" s="23">
        <v>2</v>
      </c>
      <c r="N87" s="23">
        <v>2</v>
      </c>
      <c r="O87" s="23">
        <v>4</v>
      </c>
      <c r="P87" s="23">
        <v>2</v>
      </c>
      <c r="Q87" s="23">
        <v>2</v>
      </c>
      <c r="R87" s="23">
        <v>2</v>
      </c>
      <c r="S87" s="23">
        <v>0</v>
      </c>
      <c r="T87" s="23">
        <v>2</v>
      </c>
      <c r="U87" s="23">
        <v>1</v>
      </c>
      <c r="V87" s="93">
        <f t="shared" ref="V87:V96" si="7">SUM(D87:U87)</f>
        <v>32</v>
      </c>
      <c r="X87" s="38">
        <f>72+V87</f>
        <v>104</v>
      </c>
      <c r="AB87" s="184">
        <f>COUNTIFS(Tabell71415202134[[1]:[18]],0)</f>
        <v>18</v>
      </c>
      <c r="AD87" s="85" t="s">
        <v>83</v>
      </c>
      <c r="AE87" s="185">
        <f>AB87/AB93</f>
        <v>0.1111111111111111</v>
      </c>
      <c r="AL87" s="84">
        <v>8</v>
      </c>
      <c r="AM87" s="213">
        <v>8</v>
      </c>
      <c r="AN87" s="213"/>
      <c r="AO87" s="213" t="s">
        <v>83</v>
      </c>
      <c r="AP87" s="214">
        <v>5.5555555555555552E-2</v>
      </c>
      <c r="AQ87" s="213"/>
      <c r="AR87" s="213"/>
      <c r="AS87" s="213"/>
      <c r="AT87" s="213"/>
      <c r="AU87" s="213"/>
    </row>
    <row r="88" spans="2:47" x14ac:dyDescent="0.25">
      <c r="B88" s="110" t="s">
        <v>12</v>
      </c>
      <c r="C88" s="111" t="s">
        <v>13</v>
      </c>
      <c r="D88" s="23">
        <v>3</v>
      </c>
      <c r="E88" s="23">
        <v>0</v>
      </c>
      <c r="F88" s="23">
        <v>5</v>
      </c>
      <c r="G88" s="23">
        <v>1</v>
      </c>
      <c r="H88" s="23">
        <v>2</v>
      </c>
      <c r="I88" s="23">
        <v>0</v>
      </c>
      <c r="J88" s="23">
        <v>2</v>
      </c>
      <c r="K88" s="23">
        <v>1</v>
      </c>
      <c r="L88" s="23">
        <v>3</v>
      </c>
      <c r="M88" s="23">
        <v>2</v>
      </c>
      <c r="N88" s="23">
        <v>2</v>
      </c>
      <c r="O88" s="23">
        <v>1</v>
      </c>
      <c r="P88" s="23">
        <v>0</v>
      </c>
      <c r="Q88" s="23">
        <v>4</v>
      </c>
      <c r="R88" s="23">
        <v>2</v>
      </c>
      <c r="S88" s="23">
        <v>1</v>
      </c>
      <c r="T88" s="23">
        <v>2</v>
      </c>
      <c r="U88" s="23">
        <v>0</v>
      </c>
      <c r="V88" s="93">
        <f t="shared" si="7"/>
        <v>31</v>
      </c>
      <c r="X88" s="38">
        <f>71+V88</f>
        <v>102</v>
      </c>
      <c r="AB88" s="184">
        <f>COUNTIFS(Tabell71415202134[[1]:[18]],1)</f>
        <v>54</v>
      </c>
      <c r="AD88" s="85" t="s">
        <v>131</v>
      </c>
      <c r="AE88" s="185">
        <f>AB88/AB93</f>
        <v>0.33333333333333331</v>
      </c>
      <c r="AL88" s="84">
        <v>37</v>
      </c>
      <c r="AM88" s="213">
        <v>37</v>
      </c>
      <c r="AN88" s="213"/>
      <c r="AO88" s="213" t="s">
        <v>131</v>
      </c>
      <c r="AP88" s="214">
        <v>0.25694444444444442</v>
      </c>
      <c r="AQ88" s="213"/>
      <c r="AR88" s="213"/>
      <c r="AS88" s="213"/>
      <c r="AT88" s="213"/>
      <c r="AU88" s="213"/>
    </row>
    <row r="89" spans="2:47" x14ac:dyDescent="0.25">
      <c r="B89" s="110" t="s">
        <v>12</v>
      </c>
      <c r="C89" s="111" t="s">
        <v>13</v>
      </c>
      <c r="D89" s="23">
        <v>1</v>
      </c>
      <c r="E89" s="23">
        <v>0</v>
      </c>
      <c r="F89" s="23">
        <v>4</v>
      </c>
      <c r="G89" s="23">
        <v>0</v>
      </c>
      <c r="H89" s="23">
        <v>4</v>
      </c>
      <c r="I89" s="23">
        <v>2</v>
      </c>
      <c r="J89" s="23">
        <v>1</v>
      </c>
      <c r="K89" s="23">
        <v>2</v>
      </c>
      <c r="L89" s="23">
        <v>4</v>
      </c>
      <c r="M89" s="23">
        <v>2</v>
      </c>
      <c r="N89" s="23">
        <v>2</v>
      </c>
      <c r="O89" s="23">
        <v>1</v>
      </c>
      <c r="P89" s="23">
        <v>0</v>
      </c>
      <c r="Q89" s="23">
        <v>1</v>
      </c>
      <c r="R89" s="23">
        <v>1</v>
      </c>
      <c r="S89" s="23">
        <v>2</v>
      </c>
      <c r="T89" s="23">
        <v>2</v>
      </c>
      <c r="U89" s="23">
        <v>3</v>
      </c>
      <c r="V89" s="93">
        <f t="shared" si="7"/>
        <v>32</v>
      </c>
      <c r="X89" s="38">
        <f>72+V89</f>
        <v>104</v>
      </c>
      <c r="AB89" s="184">
        <f>COUNTIFS(Tabell71415202134[[1]:[18]],2)</f>
        <v>50</v>
      </c>
      <c r="AD89" s="85" t="s">
        <v>132</v>
      </c>
      <c r="AE89" s="185">
        <f>AB89/AB93</f>
        <v>0.30864197530864196</v>
      </c>
      <c r="AL89" s="84">
        <v>54</v>
      </c>
      <c r="AM89" s="213">
        <v>54</v>
      </c>
      <c r="AN89" s="213"/>
      <c r="AO89" s="213" t="s">
        <v>132</v>
      </c>
      <c r="AP89" s="214">
        <v>0.375</v>
      </c>
      <c r="AQ89" s="213"/>
      <c r="AR89" s="213"/>
      <c r="AS89" s="213"/>
      <c r="AT89" s="213"/>
      <c r="AU89" s="213"/>
    </row>
    <row r="90" spans="2:47" x14ac:dyDescent="0.25">
      <c r="B90" s="110" t="s">
        <v>12</v>
      </c>
      <c r="C90" s="111" t="s">
        <v>13</v>
      </c>
      <c r="D90" s="23">
        <v>2</v>
      </c>
      <c r="E90" s="23">
        <v>1</v>
      </c>
      <c r="F90" s="23">
        <v>4</v>
      </c>
      <c r="G90" s="23">
        <v>3</v>
      </c>
      <c r="H90" s="23">
        <v>2</v>
      </c>
      <c r="I90" s="23">
        <v>0</v>
      </c>
      <c r="J90" s="23">
        <v>1</v>
      </c>
      <c r="K90" s="23">
        <v>1</v>
      </c>
      <c r="L90" s="23">
        <v>3</v>
      </c>
      <c r="M90" s="23">
        <v>3</v>
      </c>
      <c r="N90" s="23">
        <v>3</v>
      </c>
      <c r="O90" s="23">
        <v>3</v>
      </c>
      <c r="P90" s="23">
        <v>1</v>
      </c>
      <c r="Q90" s="23">
        <v>2</v>
      </c>
      <c r="R90" s="23">
        <v>1</v>
      </c>
      <c r="S90" s="23">
        <v>2</v>
      </c>
      <c r="T90" s="23">
        <v>2</v>
      </c>
      <c r="U90" s="23">
        <v>1</v>
      </c>
      <c r="V90" s="93">
        <f t="shared" si="7"/>
        <v>35</v>
      </c>
      <c r="X90" s="38">
        <f>72+V90</f>
        <v>107</v>
      </c>
      <c r="AB90" s="184">
        <f>COUNTIFS(Tabell71415202134[[1]:[18]],3)</f>
        <v>27</v>
      </c>
      <c r="AD90" s="85" t="s">
        <v>133</v>
      </c>
      <c r="AE90" s="185">
        <f>AB90/AB93</f>
        <v>0.16666666666666666</v>
      </c>
      <c r="AL90" s="84">
        <v>19</v>
      </c>
      <c r="AM90" s="213">
        <v>19</v>
      </c>
      <c r="AN90" s="213"/>
      <c r="AO90" s="213" t="s">
        <v>133</v>
      </c>
      <c r="AP90" s="214">
        <v>0.13194444444444445</v>
      </c>
      <c r="AQ90" s="213"/>
      <c r="AR90" s="213"/>
      <c r="AS90" s="213"/>
      <c r="AT90" s="213"/>
      <c r="AU90" s="213"/>
    </row>
    <row r="91" spans="2:47" x14ac:dyDescent="0.25">
      <c r="B91" s="110" t="s">
        <v>12</v>
      </c>
      <c r="C91" s="111" t="s">
        <v>13</v>
      </c>
      <c r="D91" s="23">
        <v>1</v>
      </c>
      <c r="E91" s="23">
        <v>2</v>
      </c>
      <c r="F91" s="23">
        <v>2</v>
      </c>
      <c r="G91" s="23">
        <v>0</v>
      </c>
      <c r="H91" s="23">
        <v>4</v>
      </c>
      <c r="I91" s="23">
        <v>4</v>
      </c>
      <c r="J91" s="23">
        <v>0</v>
      </c>
      <c r="K91" s="23">
        <v>3</v>
      </c>
      <c r="L91" s="23">
        <v>3</v>
      </c>
      <c r="M91" s="23">
        <v>3</v>
      </c>
      <c r="N91" s="23">
        <v>4</v>
      </c>
      <c r="O91" s="23">
        <v>1</v>
      </c>
      <c r="P91" s="23">
        <v>1</v>
      </c>
      <c r="Q91" s="23">
        <v>3</v>
      </c>
      <c r="R91" s="23">
        <v>2</v>
      </c>
      <c r="S91" s="23">
        <v>2</v>
      </c>
      <c r="T91" s="23">
        <v>1</v>
      </c>
      <c r="U91" s="23">
        <v>1</v>
      </c>
      <c r="V91" s="93">
        <f t="shared" si="7"/>
        <v>37</v>
      </c>
      <c r="X91" s="38">
        <f>72+V91</f>
        <v>109</v>
      </c>
      <c r="AB91" s="184">
        <f>COUNTIFS(Tabell71415202134[[1]:[18]],4)</f>
        <v>11</v>
      </c>
      <c r="AD91" s="85" t="s">
        <v>134</v>
      </c>
      <c r="AE91" s="185">
        <f>AB91/AB93</f>
        <v>6.7901234567901231E-2</v>
      </c>
      <c r="AL91" s="84">
        <v>12</v>
      </c>
      <c r="AM91" s="213">
        <v>12</v>
      </c>
      <c r="AN91" s="213"/>
      <c r="AO91" s="213" t="s">
        <v>134</v>
      </c>
      <c r="AP91" s="214">
        <v>8.3333333333333329E-2</v>
      </c>
      <c r="AQ91" s="213"/>
      <c r="AR91" s="213"/>
      <c r="AS91" s="213"/>
      <c r="AT91" s="213"/>
      <c r="AU91" s="213"/>
    </row>
    <row r="92" spans="2:47" x14ac:dyDescent="0.25">
      <c r="B92" s="110" t="s">
        <v>12</v>
      </c>
      <c r="C92" s="111" t="s">
        <v>13</v>
      </c>
      <c r="D92" s="23">
        <v>2</v>
      </c>
      <c r="E92" s="23">
        <v>0</v>
      </c>
      <c r="F92" s="23">
        <v>1</v>
      </c>
      <c r="G92" s="23">
        <v>1</v>
      </c>
      <c r="H92" s="23">
        <v>0</v>
      </c>
      <c r="I92" s="23">
        <v>1</v>
      </c>
      <c r="J92" s="23">
        <v>3</v>
      </c>
      <c r="K92" s="23">
        <v>0</v>
      </c>
      <c r="L92" s="23">
        <v>2</v>
      </c>
      <c r="M92" s="23">
        <v>1</v>
      </c>
      <c r="N92" s="23">
        <v>1</v>
      </c>
      <c r="O92" s="23">
        <v>1</v>
      </c>
      <c r="P92" s="23">
        <v>0</v>
      </c>
      <c r="Q92" s="23">
        <v>2</v>
      </c>
      <c r="R92" s="23">
        <v>1</v>
      </c>
      <c r="S92" s="23">
        <v>1</v>
      </c>
      <c r="T92" s="23">
        <v>4</v>
      </c>
      <c r="U92" s="23">
        <v>3</v>
      </c>
      <c r="V92" s="93">
        <f>SUM(D92:U92)</f>
        <v>24</v>
      </c>
      <c r="X92" s="38">
        <f>70+V92</f>
        <v>94</v>
      </c>
      <c r="AB92" s="184">
        <f>COUNTIFS(Tabell71415202134[[1]:[18]],5)</f>
        <v>2</v>
      </c>
      <c r="AD92" s="85" t="s">
        <v>135</v>
      </c>
      <c r="AE92" s="185">
        <f>AB92/AB93</f>
        <v>1.2345679012345678E-2</v>
      </c>
      <c r="AL92" s="84">
        <v>12</v>
      </c>
      <c r="AM92" s="213">
        <v>12</v>
      </c>
      <c r="AN92" s="213"/>
      <c r="AO92" s="213" t="s">
        <v>135</v>
      </c>
      <c r="AP92" s="214">
        <v>8.3333333333333329E-2</v>
      </c>
      <c r="AQ92" s="213"/>
      <c r="AR92" s="213"/>
      <c r="AS92" s="213"/>
      <c r="AT92" s="213"/>
      <c r="AU92" s="213"/>
    </row>
    <row r="93" spans="2:47" x14ac:dyDescent="0.25">
      <c r="B93" s="110" t="s">
        <v>12</v>
      </c>
      <c r="C93" s="111" t="s">
        <v>13</v>
      </c>
      <c r="D93" s="23">
        <v>2</v>
      </c>
      <c r="E93" s="23">
        <v>1</v>
      </c>
      <c r="F93" s="23">
        <v>1</v>
      </c>
      <c r="G93" s="23">
        <v>1</v>
      </c>
      <c r="H93" s="23">
        <v>2</v>
      </c>
      <c r="I93" s="23">
        <v>0</v>
      </c>
      <c r="J93" s="23">
        <v>1</v>
      </c>
      <c r="K93" s="23">
        <v>2</v>
      </c>
      <c r="L93" s="23">
        <v>1</v>
      </c>
      <c r="M93" s="23">
        <v>2</v>
      </c>
      <c r="N93" s="23">
        <v>1</v>
      </c>
      <c r="O93" s="23">
        <v>2</v>
      </c>
      <c r="P93" s="23">
        <v>1</v>
      </c>
      <c r="Q93" s="23">
        <v>4</v>
      </c>
      <c r="R93" s="23">
        <v>1</v>
      </c>
      <c r="S93" s="23">
        <v>2</v>
      </c>
      <c r="T93" s="23">
        <v>1</v>
      </c>
      <c r="U93" s="23">
        <v>1</v>
      </c>
      <c r="V93" s="93">
        <f>SUM(D93:U93)</f>
        <v>26</v>
      </c>
      <c r="X93" s="38">
        <f>72+V93</f>
        <v>98</v>
      </c>
      <c r="AB93" s="97">
        <f>SUM(AB86:AB92)</f>
        <v>162</v>
      </c>
      <c r="AL93" s="84">
        <v>144</v>
      </c>
      <c r="AM93" s="213">
        <v>144</v>
      </c>
      <c r="AN93" s="213"/>
      <c r="AO93" s="213"/>
      <c r="AP93" s="213"/>
      <c r="AQ93" s="213"/>
      <c r="AR93" s="213"/>
      <c r="AS93" s="213"/>
      <c r="AT93" s="213"/>
      <c r="AU93" s="213"/>
    </row>
    <row r="94" spans="2:47" x14ac:dyDescent="0.25">
      <c r="B94" s="110" t="s">
        <v>12</v>
      </c>
      <c r="C94" s="111" t="s">
        <v>13</v>
      </c>
      <c r="D94" s="23">
        <v>3</v>
      </c>
      <c r="E94" s="23">
        <v>2</v>
      </c>
      <c r="F94" s="23">
        <v>2</v>
      </c>
      <c r="G94" s="23">
        <v>1</v>
      </c>
      <c r="H94" s="23">
        <v>1</v>
      </c>
      <c r="I94" s="23">
        <v>1</v>
      </c>
      <c r="J94" s="23">
        <v>1</v>
      </c>
      <c r="K94" s="23">
        <v>2</v>
      </c>
      <c r="L94" s="23">
        <v>2</v>
      </c>
      <c r="M94" s="23">
        <v>1</v>
      </c>
      <c r="N94" s="23">
        <v>2</v>
      </c>
      <c r="O94" s="23">
        <v>1</v>
      </c>
      <c r="P94" s="23">
        <v>2</v>
      </c>
      <c r="Q94" s="23">
        <v>3</v>
      </c>
      <c r="R94" s="23">
        <v>3</v>
      </c>
      <c r="S94" s="23">
        <v>2</v>
      </c>
      <c r="T94" s="23">
        <v>3</v>
      </c>
      <c r="U94" s="23">
        <v>2</v>
      </c>
      <c r="V94" s="93">
        <f t="shared" si="7"/>
        <v>34</v>
      </c>
      <c r="X94" s="38">
        <f>72+V94</f>
        <v>106</v>
      </c>
      <c r="AM94" s="213"/>
      <c r="AN94" s="213"/>
      <c r="AO94" s="213"/>
      <c r="AP94" s="213"/>
      <c r="AQ94" s="213"/>
      <c r="AR94" s="213"/>
      <c r="AS94" s="213"/>
      <c r="AT94" s="213"/>
      <c r="AU94" s="213"/>
    </row>
    <row r="95" spans="2:47" x14ac:dyDescent="0.25">
      <c r="B95" s="110" t="s">
        <v>12</v>
      </c>
      <c r="C95" s="111" t="s">
        <v>13</v>
      </c>
      <c r="D95" s="23">
        <v>3</v>
      </c>
      <c r="E95" s="23">
        <v>3</v>
      </c>
      <c r="F95" s="23">
        <v>3</v>
      </c>
      <c r="G95" s="23">
        <v>1</v>
      </c>
      <c r="H95" s="23">
        <v>3</v>
      </c>
      <c r="I95" s="23">
        <v>2</v>
      </c>
      <c r="J95" s="23">
        <v>0</v>
      </c>
      <c r="K95" s="23">
        <v>1</v>
      </c>
      <c r="L95" s="23">
        <v>5</v>
      </c>
      <c r="M95" s="23">
        <v>1</v>
      </c>
      <c r="N95" s="23">
        <v>0</v>
      </c>
      <c r="O95" s="23">
        <v>3</v>
      </c>
      <c r="P95" s="23">
        <v>2</v>
      </c>
      <c r="Q95" s="23">
        <v>2</v>
      </c>
      <c r="R95" s="23">
        <v>2</v>
      </c>
      <c r="S95" s="23">
        <v>1</v>
      </c>
      <c r="T95" s="23">
        <v>3</v>
      </c>
      <c r="U95" s="23">
        <v>3</v>
      </c>
      <c r="V95" s="93">
        <f t="shared" si="7"/>
        <v>38</v>
      </c>
      <c r="X95" s="38">
        <f>72+V95</f>
        <v>110</v>
      </c>
      <c r="AM95" s="213"/>
      <c r="AN95" s="213"/>
      <c r="AO95" s="213"/>
      <c r="AP95" s="213"/>
      <c r="AQ95" s="213"/>
      <c r="AR95" s="213"/>
      <c r="AS95" s="213"/>
      <c r="AT95" s="213"/>
      <c r="AU95" s="213"/>
    </row>
    <row r="96" spans="2:47" x14ac:dyDescent="0.25">
      <c r="B96" s="110" t="s">
        <v>12</v>
      </c>
      <c r="C96" s="111" t="s">
        <v>13</v>
      </c>
      <c r="D96" s="23">
        <v>10</v>
      </c>
      <c r="E96" s="23">
        <v>10</v>
      </c>
      <c r="F96" s="23">
        <v>10</v>
      </c>
      <c r="G96" s="23">
        <v>10</v>
      </c>
      <c r="H96" s="23">
        <v>10</v>
      </c>
      <c r="I96" s="23">
        <v>10</v>
      </c>
      <c r="J96" s="23">
        <v>10</v>
      </c>
      <c r="K96" s="23">
        <v>10</v>
      </c>
      <c r="L96" s="23">
        <v>10</v>
      </c>
      <c r="M96" s="23">
        <v>10</v>
      </c>
      <c r="N96" s="23">
        <v>10</v>
      </c>
      <c r="O96" s="23">
        <v>10</v>
      </c>
      <c r="P96" s="23">
        <v>10</v>
      </c>
      <c r="Q96" s="23">
        <v>10</v>
      </c>
      <c r="R96" s="23">
        <v>10</v>
      </c>
      <c r="S96" s="23">
        <v>10</v>
      </c>
      <c r="T96" s="23">
        <v>10</v>
      </c>
      <c r="U96" s="23">
        <v>10</v>
      </c>
      <c r="V96" s="94">
        <f t="shared" si="7"/>
        <v>180</v>
      </c>
      <c r="X96" s="39">
        <f>71+V96</f>
        <v>251</v>
      </c>
      <c r="AM96" s="213"/>
      <c r="AN96" s="213"/>
      <c r="AO96" s="213"/>
      <c r="AP96" s="213"/>
      <c r="AQ96" s="213"/>
      <c r="AR96" s="213"/>
      <c r="AS96" s="213"/>
      <c r="AT96" s="213"/>
      <c r="AU96" s="213"/>
    </row>
    <row r="97" spans="2:47" x14ac:dyDescent="0.25">
      <c r="AM97" s="213"/>
      <c r="AN97" s="213"/>
      <c r="AO97" s="213"/>
      <c r="AP97" s="213"/>
      <c r="AQ97" s="213"/>
      <c r="AR97" s="213"/>
      <c r="AS97" s="213"/>
      <c r="AT97" s="213"/>
      <c r="AU97" s="213"/>
    </row>
    <row r="98" spans="2:47" x14ac:dyDescent="0.25">
      <c r="B98" s="9" t="s">
        <v>20</v>
      </c>
      <c r="C98" s="10" t="s">
        <v>21</v>
      </c>
      <c r="D98" s="29" t="s">
        <v>22</v>
      </c>
      <c r="E98" s="29" t="s">
        <v>23</v>
      </c>
      <c r="F98" s="29" t="s">
        <v>24</v>
      </c>
      <c r="G98" s="29" t="s">
        <v>25</v>
      </c>
      <c r="H98" s="29" t="s">
        <v>26</v>
      </c>
      <c r="I98" s="29" t="s">
        <v>27</v>
      </c>
      <c r="J98" s="29" t="s">
        <v>28</v>
      </c>
      <c r="K98" s="29" t="s">
        <v>29</v>
      </c>
      <c r="L98" s="29" t="s">
        <v>30</v>
      </c>
      <c r="M98" s="29" t="s">
        <v>72</v>
      </c>
      <c r="N98" s="29" t="s">
        <v>73</v>
      </c>
      <c r="O98" s="29" t="s">
        <v>74</v>
      </c>
      <c r="P98" s="29" t="s">
        <v>75</v>
      </c>
      <c r="Q98" s="29" t="s">
        <v>76</v>
      </c>
      <c r="R98" s="29" t="s">
        <v>77</v>
      </c>
      <c r="S98" s="29" t="s">
        <v>78</v>
      </c>
      <c r="T98" s="29" t="s">
        <v>79</v>
      </c>
      <c r="U98" s="29" t="s">
        <v>80</v>
      </c>
      <c r="V98" s="92" t="s">
        <v>39</v>
      </c>
      <c r="X98" s="37" t="s">
        <v>84</v>
      </c>
      <c r="AB98" s="184">
        <f>COUNTIFS(Tabell7141520213435[[1]:[18]],-1)</f>
        <v>4</v>
      </c>
      <c r="AD98" s="85" t="s">
        <v>34</v>
      </c>
      <c r="AE98" s="185">
        <f>AB98/AB105</f>
        <v>2.7972027972027972E-2</v>
      </c>
      <c r="AL98" s="84">
        <v>3</v>
      </c>
      <c r="AM98" s="213">
        <v>3</v>
      </c>
      <c r="AN98" s="213"/>
      <c r="AO98" s="213" t="s">
        <v>34</v>
      </c>
      <c r="AP98" s="214">
        <v>1.8518518518518517E-2</v>
      </c>
      <c r="AQ98" s="213"/>
      <c r="AR98" s="213"/>
      <c r="AS98" s="213"/>
      <c r="AT98" s="213"/>
      <c r="AU98" s="213"/>
    </row>
    <row r="99" spans="2:47" x14ac:dyDescent="0.25">
      <c r="B99" s="110" t="s">
        <v>0</v>
      </c>
      <c r="C99" s="111" t="s">
        <v>1</v>
      </c>
      <c r="D99" s="23">
        <v>2</v>
      </c>
      <c r="E99" s="23">
        <v>-1</v>
      </c>
      <c r="F99" s="23">
        <v>1</v>
      </c>
      <c r="G99" s="23">
        <v>0</v>
      </c>
      <c r="H99" s="23">
        <v>1</v>
      </c>
      <c r="I99" s="23">
        <v>3</v>
      </c>
      <c r="J99" s="23">
        <v>0</v>
      </c>
      <c r="K99" s="23">
        <v>1</v>
      </c>
      <c r="L99" s="23">
        <v>1</v>
      </c>
      <c r="M99" s="23">
        <v>1</v>
      </c>
      <c r="N99" s="23">
        <v>0</v>
      </c>
      <c r="O99" s="23">
        <v>2</v>
      </c>
      <c r="P99" s="23">
        <v>1</v>
      </c>
      <c r="Q99" s="23">
        <v>1</v>
      </c>
      <c r="R99" s="23">
        <v>1</v>
      </c>
      <c r="S99" s="23">
        <v>2</v>
      </c>
      <c r="T99" s="23">
        <v>3</v>
      </c>
      <c r="U99" s="23">
        <v>1</v>
      </c>
      <c r="V99" s="93">
        <f t="shared" ref="V99:V108" si="8">SUM(D99:U99)</f>
        <v>20</v>
      </c>
      <c r="X99" s="38">
        <f>72+V99</f>
        <v>92</v>
      </c>
      <c r="AB99" s="184">
        <f>COUNTIFS(Tabell7141520213435[[1]:[18]],0)</f>
        <v>31</v>
      </c>
      <c r="AD99" s="85" t="s">
        <v>83</v>
      </c>
      <c r="AE99" s="185">
        <f>AB99/AB105</f>
        <v>0.21678321678321677</v>
      </c>
      <c r="AL99" s="84">
        <v>36</v>
      </c>
      <c r="AM99" s="213">
        <v>36</v>
      </c>
      <c r="AN99" s="213"/>
      <c r="AO99" s="213" t="s">
        <v>83</v>
      </c>
      <c r="AP99" s="214">
        <v>0.22222222222222221</v>
      </c>
      <c r="AQ99" s="213"/>
      <c r="AR99" s="213"/>
      <c r="AS99" s="213"/>
      <c r="AT99" s="213"/>
      <c r="AU99" s="213"/>
    </row>
    <row r="100" spans="2:47" x14ac:dyDescent="0.25">
      <c r="B100" s="110" t="s">
        <v>0</v>
      </c>
      <c r="C100" s="111" t="s">
        <v>1</v>
      </c>
      <c r="D100" s="23">
        <v>3</v>
      </c>
      <c r="E100" s="23">
        <v>3</v>
      </c>
      <c r="F100" s="23">
        <v>3</v>
      </c>
      <c r="G100" s="23">
        <v>0</v>
      </c>
      <c r="H100" s="23">
        <v>1</v>
      </c>
      <c r="I100" s="23">
        <v>3</v>
      </c>
      <c r="J100" s="23">
        <v>1</v>
      </c>
      <c r="K100" s="23">
        <v>3</v>
      </c>
      <c r="L100" s="23">
        <v>1</v>
      </c>
      <c r="M100" s="23">
        <v>3</v>
      </c>
      <c r="N100" s="23">
        <v>2</v>
      </c>
      <c r="O100" s="23">
        <v>-1</v>
      </c>
      <c r="P100" s="23">
        <v>10</v>
      </c>
      <c r="Q100" s="23">
        <v>3</v>
      </c>
      <c r="R100" s="23">
        <v>0</v>
      </c>
      <c r="S100" s="23">
        <v>2</v>
      </c>
      <c r="T100" s="23">
        <v>2</v>
      </c>
      <c r="U100" s="23">
        <v>1</v>
      </c>
      <c r="V100" s="93">
        <v>5</v>
      </c>
      <c r="X100" s="38">
        <f>71+V100</f>
        <v>76</v>
      </c>
      <c r="AB100" s="184">
        <f>COUNTIFS(Tabell7141520213435[[1]:[18]],1)</f>
        <v>50</v>
      </c>
      <c r="AD100" s="85" t="s">
        <v>131</v>
      </c>
      <c r="AE100" s="185">
        <f>AB100/AB105</f>
        <v>0.34965034965034963</v>
      </c>
      <c r="AL100" s="84">
        <v>65</v>
      </c>
      <c r="AM100" s="213">
        <v>65</v>
      </c>
      <c r="AN100" s="213"/>
      <c r="AO100" s="213" t="s">
        <v>131</v>
      </c>
      <c r="AP100" s="214">
        <v>0.40123456790123457</v>
      </c>
      <c r="AQ100" s="213"/>
      <c r="AR100" s="213"/>
      <c r="AS100" s="213"/>
      <c r="AT100" s="213"/>
      <c r="AU100" s="213"/>
    </row>
    <row r="101" spans="2:47" x14ac:dyDescent="0.25">
      <c r="B101" s="110" t="s">
        <v>0</v>
      </c>
      <c r="C101" s="111" t="s">
        <v>1</v>
      </c>
      <c r="D101" s="23">
        <v>10</v>
      </c>
      <c r="E101" s="23">
        <v>10</v>
      </c>
      <c r="F101" s="23">
        <v>10</v>
      </c>
      <c r="G101" s="23">
        <v>10</v>
      </c>
      <c r="H101" s="23">
        <v>10</v>
      </c>
      <c r="I101" s="23">
        <v>10</v>
      </c>
      <c r="J101" s="23">
        <v>10</v>
      </c>
      <c r="K101" s="23">
        <v>10</v>
      </c>
      <c r="L101" s="23">
        <v>10</v>
      </c>
      <c r="M101" s="23">
        <v>10</v>
      </c>
      <c r="N101" s="23">
        <v>10</v>
      </c>
      <c r="O101" s="23">
        <v>10</v>
      </c>
      <c r="P101" s="23">
        <v>10</v>
      </c>
      <c r="Q101" s="23">
        <v>10</v>
      </c>
      <c r="R101" s="23">
        <v>10</v>
      </c>
      <c r="S101" s="23">
        <v>10</v>
      </c>
      <c r="T101" s="23">
        <v>10</v>
      </c>
      <c r="U101" s="23">
        <v>10</v>
      </c>
      <c r="V101" s="93">
        <f t="shared" si="8"/>
        <v>180</v>
      </c>
      <c r="X101" s="38">
        <f>72+V101</f>
        <v>252</v>
      </c>
      <c r="AB101" s="184">
        <f>COUNTIFS(Tabell7141520213435[[1]:[18]],2)</f>
        <v>35</v>
      </c>
      <c r="AD101" s="85" t="s">
        <v>132</v>
      </c>
      <c r="AE101" s="185">
        <f>AB101/AB105</f>
        <v>0.24475524475524477</v>
      </c>
      <c r="AL101" s="84">
        <v>40</v>
      </c>
      <c r="AM101" s="213">
        <v>40</v>
      </c>
      <c r="AN101" s="213"/>
      <c r="AO101" s="213" t="s">
        <v>132</v>
      </c>
      <c r="AP101" s="214">
        <v>0.24691358024691357</v>
      </c>
      <c r="AQ101" s="213"/>
      <c r="AR101" s="213"/>
      <c r="AS101" s="213"/>
      <c r="AT101" s="213"/>
      <c r="AU101" s="213"/>
    </row>
    <row r="102" spans="2:47" x14ac:dyDescent="0.25">
      <c r="B102" s="110" t="s">
        <v>0</v>
      </c>
      <c r="C102" s="111" t="s">
        <v>1</v>
      </c>
      <c r="D102" s="23">
        <v>1</v>
      </c>
      <c r="E102" s="23">
        <v>2</v>
      </c>
      <c r="F102" s="23">
        <v>3</v>
      </c>
      <c r="G102" s="23">
        <v>0</v>
      </c>
      <c r="H102" s="23">
        <v>1</v>
      </c>
      <c r="I102" s="23">
        <v>1</v>
      </c>
      <c r="J102" s="23">
        <v>0</v>
      </c>
      <c r="K102" s="23">
        <v>-1</v>
      </c>
      <c r="L102" s="23">
        <v>0</v>
      </c>
      <c r="M102" s="23">
        <v>3</v>
      </c>
      <c r="N102" s="23">
        <v>1</v>
      </c>
      <c r="O102" s="23">
        <v>2</v>
      </c>
      <c r="P102" s="23">
        <v>1</v>
      </c>
      <c r="Q102" s="23">
        <v>1</v>
      </c>
      <c r="R102" s="23">
        <v>0</v>
      </c>
      <c r="S102" s="23">
        <v>0</v>
      </c>
      <c r="T102" s="23">
        <v>2</v>
      </c>
      <c r="U102" s="23">
        <v>0</v>
      </c>
      <c r="V102" s="93">
        <f>SUM(D102:U102)</f>
        <v>17</v>
      </c>
      <c r="X102" s="38">
        <f>72+V102</f>
        <v>89</v>
      </c>
      <c r="AB102" s="184">
        <f>COUNTIFS(Tabell7141520213435[[1]:[18]],3)</f>
        <v>19</v>
      </c>
      <c r="AD102" s="85" t="s">
        <v>133</v>
      </c>
      <c r="AE102" s="185">
        <f>AB102/AB105</f>
        <v>0.13286713286713286</v>
      </c>
      <c r="AL102" s="84">
        <v>11</v>
      </c>
      <c r="AM102" s="213">
        <v>11</v>
      </c>
      <c r="AN102" s="213"/>
      <c r="AO102" s="213" t="s">
        <v>133</v>
      </c>
      <c r="AP102" s="214">
        <v>6.7901234567901231E-2</v>
      </c>
      <c r="AQ102" s="213"/>
      <c r="AR102" s="213"/>
      <c r="AS102" s="213"/>
      <c r="AT102" s="213"/>
      <c r="AU102" s="213"/>
    </row>
    <row r="103" spans="2:47" x14ac:dyDescent="0.25">
      <c r="B103" s="110" t="s">
        <v>0</v>
      </c>
      <c r="C103" s="111" t="s">
        <v>1</v>
      </c>
      <c r="D103" s="23">
        <v>0</v>
      </c>
      <c r="E103" s="23">
        <v>1</v>
      </c>
      <c r="F103" s="23">
        <v>2</v>
      </c>
      <c r="G103" s="23">
        <v>1</v>
      </c>
      <c r="H103" s="23">
        <v>1</v>
      </c>
      <c r="I103" s="23">
        <v>3</v>
      </c>
      <c r="J103" s="23">
        <v>0</v>
      </c>
      <c r="K103" s="23">
        <v>2</v>
      </c>
      <c r="L103" s="23">
        <v>1</v>
      </c>
      <c r="M103" s="23">
        <v>1</v>
      </c>
      <c r="N103" s="23">
        <v>2</v>
      </c>
      <c r="O103" s="23">
        <v>2</v>
      </c>
      <c r="P103" s="23">
        <v>1</v>
      </c>
      <c r="Q103" s="23">
        <v>4</v>
      </c>
      <c r="R103" s="23">
        <v>2</v>
      </c>
      <c r="S103" s="23">
        <v>1</v>
      </c>
      <c r="T103" s="23">
        <v>1</v>
      </c>
      <c r="U103" s="23">
        <v>3</v>
      </c>
      <c r="V103" s="93">
        <f t="shared" si="8"/>
        <v>28</v>
      </c>
      <c r="X103" s="38">
        <f>71+V103</f>
        <v>99</v>
      </c>
      <c r="AB103" s="184">
        <f>COUNTIFS(Tabell7141520213435[[1]:[18]],4)</f>
        <v>2</v>
      </c>
      <c r="AD103" s="85" t="s">
        <v>134</v>
      </c>
      <c r="AE103" s="185">
        <f>AB103/AB105</f>
        <v>1.3986013986013986E-2</v>
      </c>
      <c r="AL103" s="84">
        <v>5</v>
      </c>
      <c r="AM103" s="213">
        <v>5</v>
      </c>
      <c r="AN103" s="213"/>
      <c r="AO103" s="213" t="s">
        <v>134</v>
      </c>
      <c r="AP103" s="214">
        <v>3.0864197530864196E-2</v>
      </c>
      <c r="AQ103" s="213"/>
      <c r="AR103" s="213"/>
      <c r="AS103" s="213"/>
      <c r="AT103" s="213"/>
      <c r="AU103" s="213"/>
    </row>
    <row r="104" spans="2:47" x14ac:dyDescent="0.25">
      <c r="B104" s="110" t="s">
        <v>0</v>
      </c>
      <c r="C104" s="111" t="s">
        <v>1</v>
      </c>
      <c r="D104" s="23">
        <v>2</v>
      </c>
      <c r="E104" s="23">
        <v>3</v>
      </c>
      <c r="F104" s="23">
        <v>0</v>
      </c>
      <c r="G104" s="23">
        <v>2</v>
      </c>
      <c r="H104" s="23">
        <v>0</v>
      </c>
      <c r="I104" s="23">
        <v>0</v>
      </c>
      <c r="J104" s="23">
        <v>1</v>
      </c>
      <c r="K104" s="23">
        <v>1</v>
      </c>
      <c r="L104" s="23">
        <v>1</v>
      </c>
      <c r="M104" s="23">
        <v>1</v>
      </c>
      <c r="N104" s="23">
        <v>1</v>
      </c>
      <c r="O104" s="23">
        <v>0</v>
      </c>
      <c r="P104" s="23">
        <v>0</v>
      </c>
      <c r="Q104" s="23">
        <v>2</v>
      </c>
      <c r="R104" s="23">
        <v>3</v>
      </c>
      <c r="S104" s="23">
        <v>2</v>
      </c>
      <c r="T104" s="23">
        <v>2</v>
      </c>
      <c r="U104" s="23">
        <v>4</v>
      </c>
      <c r="V104" s="93">
        <f t="shared" si="8"/>
        <v>25</v>
      </c>
      <c r="X104" s="38">
        <f>70+V104</f>
        <v>95</v>
      </c>
      <c r="AB104" s="184">
        <f>COUNTIFS(Tabell7141520213435[[1]:[18]],5)</f>
        <v>2</v>
      </c>
      <c r="AD104" s="85" t="s">
        <v>135</v>
      </c>
      <c r="AE104" s="185">
        <f>AB104/AB105</f>
        <v>1.3986013986013986E-2</v>
      </c>
      <c r="AL104" s="84">
        <v>2</v>
      </c>
      <c r="AM104" s="213">
        <v>2</v>
      </c>
      <c r="AN104" s="213"/>
      <c r="AO104" s="213" t="s">
        <v>135</v>
      </c>
      <c r="AP104" s="214">
        <v>1.2345679012345678E-2</v>
      </c>
      <c r="AQ104" s="213"/>
      <c r="AR104" s="213"/>
      <c r="AS104" s="213"/>
      <c r="AT104" s="213"/>
      <c r="AU104" s="213"/>
    </row>
    <row r="105" spans="2:47" x14ac:dyDescent="0.25">
      <c r="B105" s="110" t="s">
        <v>0</v>
      </c>
      <c r="C105" s="111" t="s">
        <v>1</v>
      </c>
      <c r="D105" s="23">
        <v>2</v>
      </c>
      <c r="E105" s="23">
        <v>2</v>
      </c>
      <c r="F105" s="23">
        <v>2</v>
      </c>
      <c r="G105" s="23">
        <v>0</v>
      </c>
      <c r="H105" s="23">
        <v>0</v>
      </c>
      <c r="I105" s="23">
        <v>1</v>
      </c>
      <c r="J105" s="23">
        <v>1</v>
      </c>
      <c r="K105" s="23">
        <v>3</v>
      </c>
      <c r="L105" s="23">
        <v>1</v>
      </c>
      <c r="M105" s="23">
        <v>0</v>
      </c>
      <c r="N105" s="23">
        <v>2</v>
      </c>
      <c r="O105" s="23">
        <v>1</v>
      </c>
      <c r="P105" s="23">
        <v>-1</v>
      </c>
      <c r="Q105" s="23">
        <v>1</v>
      </c>
      <c r="R105" s="23">
        <v>0</v>
      </c>
      <c r="S105" s="23">
        <v>1</v>
      </c>
      <c r="T105" s="23">
        <v>0</v>
      </c>
      <c r="U105" s="23">
        <v>1</v>
      </c>
      <c r="V105" s="93">
        <f>SUM(D105:U105)</f>
        <v>17</v>
      </c>
      <c r="X105" s="38">
        <f>72+V105</f>
        <v>89</v>
      </c>
      <c r="AB105" s="97">
        <f>SUM(AB98:AB104)</f>
        <v>143</v>
      </c>
      <c r="AL105" s="84">
        <v>162</v>
      </c>
      <c r="AM105" s="213">
        <v>162</v>
      </c>
      <c r="AN105" s="213"/>
      <c r="AO105" s="213"/>
      <c r="AP105" s="213"/>
      <c r="AQ105" s="213"/>
      <c r="AR105" s="213"/>
      <c r="AS105" s="213"/>
      <c r="AT105" s="213"/>
      <c r="AU105" s="213"/>
    </row>
    <row r="106" spans="2:47" x14ac:dyDescent="0.25">
      <c r="B106" s="110" t="s">
        <v>0</v>
      </c>
      <c r="C106" s="111" t="s">
        <v>1</v>
      </c>
      <c r="D106" s="23">
        <v>3</v>
      </c>
      <c r="E106" s="23">
        <v>2</v>
      </c>
      <c r="F106" s="23">
        <v>2</v>
      </c>
      <c r="G106" s="23">
        <v>2</v>
      </c>
      <c r="H106" s="23">
        <v>5</v>
      </c>
      <c r="I106" s="23">
        <v>1</v>
      </c>
      <c r="J106" s="23">
        <v>1</v>
      </c>
      <c r="K106" s="23">
        <v>1</v>
      </c>
      <c r="L106" s="23">
        <v>2</v>
      </c>
      <c r="M106" s="23">
        <v>2</v>
      </c>
      <c r="N106" s="23">
        <v>0</v>
      </c>
      <c r="O106" s="23">
        <v>1</v>
      </c>
      <c r="P106" s="23">
        <v>0</v>
      </c>
      <c r="Q106" s="23">
        <v>1</v>
      </c>
      <c r="R106" s="23">
        <v>2</v>
      </c>
      <c r="S106" s="23">
        <v>0</v>
      </c>
      <c r="T106" s="23">
        <v>0</v>
      </c>
      <c r="U106" s="23">
        <v>1</v>
      </c>
      <c r="V106" s="93">
        <f t="shared" si="8"/>
        <v>26</v>
      </c>
      <c r="X106" s="38">
        <f>72+V106</f>
        <v>98</v>
      </c>
      <c r="AM106" s="213"/>
      <c r="AN106" s="213"/>
      <c r="AO106" s="213"/>
      <c r="AP106" s="213"/>
      <c r="AQ106" s="213"/>
      <c r="AR106" s="213"/>
      <c r="AS106" s="213"/>
      <c r="AT106" s="213"/>
      <c r="AU106" s="213"/>
    </row>
    <row r="107" spans="2:47" x14ac:dyDescent="0.25">
      <c r="B107" s="110" t="s">
        <v>0</v>
      </c>
      <c r="C107" s="111" t="s">
        <v>1</v>
      </c>
      <c r="D107" s="23">
        <v>2</v>
      </c>
      <c r="E107" s="23">
        <v>0</v>
      </c>
      <c r="F107" s="23">
        <v>3</v>
      </c>
      <c r="G107" s="23">
        <v>1</v>
      </c>
      <c r="H107" s="23">
        <v>2</v>
      </c>
      <c r="I107" s="23">
        <v>1</v>
      </c>
      <c r="J107" s="23">
        <v>0</v>
      </c>
      <c r="K107" s="23">
        <v>0</v>
      </c>
      <c r="L107" s="23">
        <v>1</v>
      </c>
      <c r="M107" s="23">
        <v>2</v>
      </c>
      <c r="N107" s="23">
        <v>1</v>
      </c>
      <c r="O107" s="23">
        <v>1</v>
      </c>
      <c r="P107" s="23">
        <v>2</v>
      </c>
      <c r="Q107" s="23">
        <v>3</v>
      </c>
      <c r="R107" s="23">
        <v>2</v>
      </c>
      <c r="S107" s="23">
        <v>0</v>
      </c>
      <c r="T107" s="23">
        <v>5</v>
      </c>
      <c r="U107" s="23">
        <v>2</v>
      </c>
      <c r="V107" s="93">
        <f t="shared" si="8"/>
        <v>28</v>
      </c>
      <c r="X107" s="38">
        <f>72+V107</f>
        <v>100</v>
      </c>
      <c r="AM107" s="213"/>
      <c r="AN107" s="213"/>
      <c r="AO107" s="213"/>
      <c r="AP107" s="213"/>
      <c r="AQ107" s="213"/>
      <c r="AR107" s="213"/>
      <c r="AS107" s="213"/>
      <c r="AT107" s="213"/>
      <c r="AU107" s="213"/>
    </row>
    <row r="108" spans="2:47" x14ac:dyDescent="0.25">
      <c r="B108" s="110" t="s">
        <v>0</v>
      </c>
      <c r="C108" s="111" t="s">
        <v>1</v>
      </c>
      <c r="D108" s="23">
        <v>10</v>
      </c>
      <c r="E108" s="23">
        <v>10</v>
      </c>
      <c r="F108" s="23">
        <v>10</v>
      </c>
      <c r="G108" s="23">
        <v>10</v>
      </c>
      <c r="H108" s="23">
        <v>10</v>
      </c>
      <c r="I108" s="23">
        <v>10</v>
      </c>
      <c r="J108" s="23">
        <v>10</v>
      </c>
      <c r="K108" s="23">
        <v>10</v>
      </c>
      <c r="L108" s="23">
        <v>10</v>
      </c>
      <c r="M108" s="23">
        <v>10</v>
      </c>
      <c r="N108" s="23">
        <v>10</v>
      </c>
      <c r="O108" s="23">
        <v>10</v>
      </c>
      <c r="P108" s="23">
        <v>10</v>
      </c>
      <c r="Q108" s="23">
        <v>10</v>
      </c>
      <c r="R108" s="23">
        <v>10</v>
      </c>
      <c r="S108" s="23">
        <v>10</v>
      </c>
      <c r="T108" s="23">
        <v>10</v>
      </c>
      <c r="U108" s="23">
        <v>10</v>
      </c>
      <c r="V108" s="94">
        <f t="shared" si="8"/>
        <v>180</v>
      </c>
      <c r="X108" s="39">
        <f>71+V108</f>
        <v>251</v>
      </c>
      <c r="AM108" s="213"/>
      <c r="AN108" s="213"/>
      <c r="AO108" s="213"/>
      <c r="AP108" s="213"/>
      <c r="AQ108" s="213"/>
      <c r="AR108" s="213"/>
      <c r="AS108" s="213"/>
      <c r="AT108" s="213"/>
      <c r="AU108" s="213"/>
    </row>
    <row r="109" spans="2:47" x14ac:dyDescent="0.25">
      <c r="AM109" s="213"/>
      <c r="AN109" s="213"/>
      <c r="AO109" s="213"/>
      <c r="AP109" s="213"/>
      <c r="AQ109" s="213"/>
      <c r="AR109" s="213"/>
      <c r="AS109" s="213"/>
      <c r="AT109" s="213"/>
      <c r="AU109" s="213"/>
    </row>
    <row r="110" spans="2:47" x14ac:dyDescent="0.25">
      <c r="B110" s="9" t="s">
        <v>20</v>
      </c>
      <c r="C110" s="10" t="s">
        <v>21</v>
      </c>
      <c r="D110" s="29" t="s">
        <v>22</v>
      </c>
      <c r="E110" s="29" t="s">
        <v>23</v>
      </c>
      <c r="F110" s="29" t="s">
        <v>24</v>
      </c>
      <c r="G110" s="29" t="s">
        <v>25</v>
      </c>
      <c r="H110" s="29" t="s">
        <v>26</v>
      </c>
      <c r="I110" s="29" t="s">
        <v>27</v>
      </c>
      <c r="J110" s="29" t="s">
        <v>28</v>
      </c>
      <c r="K110" s="29" t="s">
        <v>29</v>
      </c>
      <c r="L110" s="29" t="s">
        <v>30</v>
      </c>
      <c r="M110" s="29" t="s">
        <v>72</v>
      </c>
      <c r="N110" s="29" t="s">
        <v>73</v>
      </c>
      <c r="O110" s="29" t="s">
        <v>74</v>
      </c>
      <c r="P110" s="29" t="s">
        <v>75</v>
      </c>
      <c r="Q110" s="29" t="s">
        <v>76</v>
      </c>
      <c r="R110" s="29" t="s">
        <v>77</v>
      </c>
      <c r="S110" s="29" t="s">
        <v>78</v>
      </c>
      <c r="T110" s="29" t="s">
        <v>79</v>
      </c>
      <c r="U110" s="29" t="s">
        <v>80</v>
      </c>
      <c r="V110" s="92" t="s">
        <v>39</v>
      </c>
      <c r="X110" s="37" t="s">
        <v>84</v>
      </c>
      <c r="AB110" s="184">
        <f>COUNTIFS(Tabell714152021343536[[1]:[18]],-1)</f>
        <v>0</v>
      </c>
      <c r="AD110" s="85" t="s">
        <v>34</v>
      </c>
      <c r="AE110" s="185">
        <f>AB110/AB117</f>
        <v>0</v>
      </c>
      <c r="AL110" s="84">
        <v>1</v>
      </c>
      <c r="AM110" s="213">
        <v>1</v>
      </c>
      <c r="AN110" s="213"/>
      <c r="AO110" s="213" t="s">
        <v>34</v>
      </c>
      <c r="AP110" s="214">
        <v>6.9444444444444441E-3</v>
      </c>
      <c r="AQ110" s="213"/>
      <c r="AR110" s="213"/>
      <c r="AS110" s="213"/>
      <c r="AT110" s="213"/>
      <c r="AU110" s="213"/>
    </row>
    <row r="111" spans="2:47" x14ac:dyDescent="0.25">
      <c r="B111" s="110" t="s">
        <v>4</v>
      </c>
      <c r="C111" s="111" t="s">
        <v>5</v>
      </c>
      <c r="D111" s="23">
        <v>2</v>
      </c>
      <c r="E111" s="23">
        <v>1</v>
      </c>
      <c r="F111" s="23">
        <v>1</v>
      </c>
      <c r="G111" s="23">
        <v>1</v>
      </c>
      <c r="H111" s="23">
        <v>1</v>
      </c>
      <c r="I111" s="23">
        <v>1</v>
      </c>
      <c r="J111" s="23">
        <v>1</v>
      </c>
      <c r="K111" s="23">
        <v>3</v>
      </c>
      <c r="L111" s="23">
        <v>2</v>
      </c>
      <c r="M111" s="23">
        <v>1</v>
      </c>
      <c r="N111" s="23">
        <v>0</v>
      </c>
      <c r="O111" s="23">
        <v>2</v>
      </c>
      <c r="P111" s="23">
        <v>1</v>
      </c>
      <c r="Q111" s="23">
        <v>0</v>
      </c>
      <c r="R111" s="23">
        <v>1</v>
      </c>
      <c r="S111" s="23">
        <v>1</v>
      </c>
      <c r="T111" s="23">
        <v>2</v>
      </c>
      <c r="U111" s="23">
        <v>1</v>
      </c>
      <c r="V111" s="93">
        <f t="shared" ref="V111:V120" si="9">SUM(D111:U111)</f>
        <v>22</v>
      </c>
      <c r="X111" s="38">
        <f>72+V111</f>
        <v>94</v>
      </c>
      <c r="AB111" s="184">
        <f>COUNTIFS(Tabell714152021343536[[1]:[18]],0)</f>
        <v>17</v>
      </c>
      <c r="AD111" s="85" t="s">
        <v>83</v>
      </c>
      <c r="AE111" s="185">
        <f>AB111/AB117</f>
        <v>0.10493827160493827</v>
      </c>
      <c r="AL111" s="84">
        <v>24</v>
      </c>
      <c r="AM111" s="213">
        <v>24</v>
      </c>
      <c r="AN111" s="213"/>
      <c r="AO111" s="213" t="s">
        <v>83</v>
      </c>
      <c r="AP111" s="214">
        <v>0.16666666666666666</v>
      </c>
      <c r="AQ111" s="213"/>
      <c r="AR111" s="213"/>
      <c r="AS111" s="213"/>
      <c r="AT111" s="213"/>
      <c r="AU111" s="213"/>
    </row>
    <row r="112" spans="2:47" x14ac:dyDescent="0.25">
      <c r="B112" s="110" t="s">
        <v>4</v>
      </c>
      <c r="C112" s="111" t="s">
        <v>5</v>
      </c>
      <c r="D112" s="23">
        <v>3</v>
      </c>
      <c r="E112" s="23">
        <v>1</v>
      </c>
      <c r="F112" s="23">
        <v>2</v>
      </c>
      <c r="G112" s="23">
        <v>3</v>
      </c>
      <c r="H112" s="23">
        <v>1</v>
      </c>
      <c r="I112" s="23">
        <v>3</v>
      </c>
      <c r="J112" s="23">
        <v>3</v>
      </c>
      <c r="K112" s="23">
        <v>3</v>
      </c>
      <c r="L112" s="23">
        <v>2</v>
      </c>
      <c r="M112" s="23">
        <v>2</v>
      </c>
      <c r="N112" s="23">
        <v>2</v>
      </c>
      <c r="O112" s="23">
        <v>2</v>
      </c>
      <c r="P112" s="23">
        <v>2</v>
      </c>
      <c r="Q112" s="23">
        <v>2</v>
      </c>
      <c r="R112" s="23">
        <v>3</v>
      </c>
      <c r="S112" s="23">
        <v>2</v>
      </c>
      <c r="T112" s="23">
        <v>1</v>
      </c>
      <c r="U112" s="23">
        <v>2</v>
      </c>
      <c r="V112" s="93">
        <f t="shared" si="9"/>
        <v>39</v>
      </c>
      <c r="X112" s="38">
        <f>70+V112</f>
        <v>109</v>
      </c>
      <c r="AB112" s="184">
        <f>COUNTIFS(Tabell714152021343536[[1]:[18]],1)</f>
        <v>61</v>
      </c>
      <c r="AD112" s="85" t="s">
        <v>131</v>
      </c>
      <c r="AE112" s="185">
        <f>AB112/AB117</f>
        <v>0.37654320987654322</v>
      </c>
      <c r="AL112" s="84">
        <v>43</v>
      </c>
      <c r="AM112" s="213">
        <v>43</v>
      </c>
      <c r="AN112" s="213"/>
      <c r="AO112" s="213" t="s">
        <v>131</v>
      </c>
      <c r="AP112" s="214">
        <v>0.2986111111111111</v>
      </c>
      <c r="AQ112" s="213"/>
      <c r="AR112" s="213"/>
      <c r="AS112" s="213"/>
      <c r="AT112" s="213"/>
      <c r="AU112" s="213"/>
    </row>
    <row r="113" spans="2:47" x14ac:dyDescent="0.25">
      <c r="B113" s="110" t="s">
        <v>4</v>
      </c>
      <c r="C113" s="111" t="s">
        <v>5</v>
      </c>
      <c r="D113" s="23">
        <v>1</v>
      </c>
      <c r="E113" s="23">
        <v>1</v>
      </c>
      <c r="F113" s="23">
        <v>1</v>
      </c>
      <c r="G113" s="23">
        <v>1</v>
      </c>
      <c r="H113" s="23">
        <v>2</v>
      </c>
      <c r="I113" s="23">
        <v>2</v>
      </c>
      <c r="J113" s="23">
        <v>1</v>
      </c>
      <c r="K113" s="23">
        <v>1</v>
      </c>
      <c r="L113" s="23">
        <v>2</v>
      </c>
      <c r="M113" s="23">
        <v>1</v>
      </c>
      <c r="N113" s="23">
        <v>1</v>
      </c>
      <c r="O113" s="23">
        <v>1</v>
      </c>
      <c r="P113" s="23">
        <v>2</v>
      </c>
      <c r="Q113" s="23">
        <v>1</v>
      </c>
      <c r="R113" s="23">
        <v>1</v>
      </c>
      <c r="S113" s="23">
        <v>2</v>
      </c>
      <c r="T113" s="23">
        <v>2</v>
      </c>
      <c r="U113" s="23">
        <v>1</v>
      </c>
      <c r="V113" s="93">
        <f t="shared" si="9"/>
        <v>24</v>
      </c>
      <c r="X113" s="38">
        <f>72+V113</f>
        <v>96</v>
      </c>
      <c r="AB113" s="184">
        <f>COUNTIFS(Tabell714152021343536[[1]:[18]],2)</f>
        <v>54</v>
      </c>
      <c r="AD113" s="85" t="s">
        <v>132</v>
      </c>
      <c r="AE113" s="185">
        <f>AB113/AB117</f>
        <v>0.33333333333333331</v>
      </c>
      <c r="AL113" s="84">
        <v>39</v>
      </c>
      <c r="AM113" s="213">
        <v>39</v>
      </c>
      <c r="AN113" s="213"/>
      <c r="AO113" s="213" t="s">
        <v>132</v>
      </c>
      <c r="AP113" s="214">
        <v>0.27083333333333331</v>
      </c>
      <c r="AQ113" s="213"/>
      <c r="AR113" s="213"/>
      <c r="AS113" s="213"/>
      <c r="AT113" s="213"/>
      <c r="AU113" s="213"/>
    </row>
    <row r="114" spans="2:47" x14ac:dyDescent="0.25">
      <c r="B114" s="110" t="s">
        <v>4</v>
      </c>
      <c r="C114" s="111" t="s">
        <v>5</v>
      </c>
      <c r="D114" s="23">
        <v>2</v>
      </c>
      <c r="E114" s="23">
        <v>1</v>
      </c>
      <c r="F114" s="23">
        <v>1</v>
      </c>
      <c r="G114" s="23">
        <v>1</v>
      </c>
      <c r="H114" s="23">
        <v>0</v>
      </c>
      <c r="I114" s="23">
        <v>1</v>
      </c>
      <c r="J114" s="23">
        <v>1</v>
      </c>
      <c r="K114" s="23">
        <v>1</v>
      </c>
      <c r="L114" s="23">
        <v>1</v>
      </c>
      <c r="M114" s="23">
        <v>2</v>
      </c>
      <c r="N114" s="23">
        <v>1</v>
      </c>
      <c r="O114" s="23">
        <v>3</v>
      </c>
      <c r="P114" s="23">
        <v>2</v>
      </c>
      <c r="Q114" s="23">
        <v>3</v>
      </c>
      <c r="R114" s="23">
        <v>2</v>
      </c>
      <c r="S114" s="23">
        <v>2</v>
      </c>
      <c r="T114" s="23">
        <v>3</v>
      </c>
      <c r="U114" s="23">
        <v>1</v>
      </c>
      <c r="V114" s="93">
        <f t="shared" si="9"/>
        <v>28</v>
      </c>
      <c r="X114" s="38">
        <f>72+V114</f>
        <v>100</v>
      </c>
      <c r="AB114" s="184">
        <f>COUNTIFS(Tabell714152021343536[[1]:[18]],3)</f>
        <v>23</v>
      </c>
      <c r="AD114" s="85" t="s">
        <v>133</v>
      </c>
      <c r="AE114" s="185">
        <f>AB114/AB117</f>
        <v>0.1419753086419753</v>
      </c>
      <c r="AL114" s="84">
        <v>25</v>
      </c>
      <c r="AM114" s="213">
        <v>25</v>
      </c>
      <c r="AN114" s="213"/>
      <c r="AO114" s="213" t="s">
        <v>133</v>
      </c>
      <c r="AP114" s="214">
        <v>0.1736111111111111</v>
      </c>
      <c r="AQ114" s="213"/>
      <c r="AR114" s="213"/>
      <c r="AS114" s="213"/>
      <c r="AT114" s="213"/>
      <c r="AU114" s="213"/>
    </row>
    <row r="115" spans="2:47" x14ac:dyDescent="0.25">
      <c r="B115" s="110" t="s">
        <v>4</v>
      </c>
      <c r="C115" s="111" t="s">
        <v>5</v>
      </c>
      <c r="D115" s="23">
        <v>4</v>
      </c>
      <c r="E115" s="23">
        <v>1</v>
      </c>
      <c r="F115" s="23">
        <v>5</v>
      </c>
      <c r="G115" s="23">
        <v>2</v>
      </c>
      <c r="H115" s="23">
        <v>1</v>
      </c>
      <c r="I115" s="23">
        <v>1</v>
      </c>
      <c r="J115" s="23">
        <v>2</v>
      </c>
      <c r="K115" s="23">
        <v>1</v>
      </c>
      <c r="L115" s="23">
        <v>2</v>
      </c>
      <c r="M115" s="23">
        <v>2</v>
      </c>
      <c r="N115" s="23">
        <v>1</v>
      </c>
      <c r="O115" s="23">
        <v>1</v>
      </c>
      <c r="P115" s="23">
        <v>4</v>
      </c>
      <c r="Q115" s="23">
        <v>1</v>
      </c>
      <c r="R115" s="23">
        <v>2</v>
      </c>
      <c r="S115" s="23">
        <v>4</v>
      </c>
      <c r="T115" s="23">
        <v>0</v>
      </c>
      <c r="U115" s="23">
        <v>1</v>
      </c>
      <c r="V115" s="93">
        <f t="shared" si="9"/>
        <v>35</v>
      </c>
      <c r="X115" s="38">
        <f>71+V115</f>
        <v>106</v>
      </c>
      <c r="AB115" s="184">
        <f>COUNTIFS(Tabell714152021343536[[1]:[18]],4)</f>
        <v>5</v>
      </c>
      <c r="AD115" s="85" t="s">
        <v>134</v>
      </c>
      <c r="AE115" s="185">
        <f>AB115/AB117</f>
        <v>3.0864197530864196E-2</v>
      </c>
      <c r="AL115" s="84">
        <v>7</v>
      </c>
      <c r="AM115" s="213">
        <v>7</v>
      </c>
      <c r="AN115" s="213"/>
      <c r="AO115" s="213" t="s">
        <v>134</v>
      </c>
      <c r="AP115" s="214">
        <v>4.8611111111111112E-2</v>
      </c>
      <c r="AQ115" s="213"/>
      <c r="AR115" s="213"/>
      <c r="AS115" s="213"/>
      <c r="AT115" s="213"/>
      <c r="AU115" s="213"/>
    </row>
    <row r="116" spans="2:47" x14ac:dyDescent="0.25">
      <c r="B116" s="110" t="s">
        <v>4</v>
      </c>
      <c r="C116" s="111" t="s">
        <v>5</v>
      </c>
      <c r="D116" s="23">
        <v>0</v>
      </c>
      <c r="E116" s="23">
        <v>2</v>
      </c>
      <c r="F116" s="23">
        <v>2</v>
      </c>
      <c r="G116" s="23">
        <v>5</v>
      </c>
      <c r="H116" s="23">
        <v>1</v>
      </c>
      <c r="I116" s="23">
        <v>2</v>
      </c>
      <c r="J116" s="23">
        <v>2</v>
      </c>
      <c r="K116" s="23">
        <v>0</v>
      </c>
      <c r="L116" s="23">
        <v>1</v>
      </c>
      <c r="M116" s="23">
        <v>2</v>
      </c>
      <c r="N116" s="23">
        <v>0</v>
      </c>
      <c r="O116" s="23">
        <v>0</v>
      </c>
      <c r="P116" s="23">
        <v>1</v>
      </c>
      <c r="Q116" s="23">
        <v>1</v>
      </c>
      <c r="R116" s="23">
        <v>2</v>
      </c>
      <c r="S116" s="23">
        <v>2</v>
      </c>
      <c r="T116" s="23">
        <v>1</v>
      </c>
      <c r="U116" s="23">
        <v>0</v>
      </c>
      <c r="V116" s="93">
        <f>SUM(D116:U116)</f>
        <v>24</v>
      </c>
      <c r="X116" s="38">
        <f>70+V116</f>
        <v>94</v>
      </c>
      <c r="AB116" s="184">
        <f>COUNTIFS(Tabell714152021343536[[1]:[18]],5)</f>
        <v>2</v>
      </c>
      <c r="AD116" s="85" t="s">
        <v>135</v>
      </c>
      <c r="AE116" s="185">
        <f>AB116/AB117</f>
        <v>1.2345679012345678E-2</v>
      </c>
      <c r="AL116" s="84">
        <v>5</v>
      </c>
      <c r="AM116" s="213">
        <v>5</v>
      </c>
      <c r="AN116" s="213"/>
      <c r="AO116" s="213" t="s">
        <v>135</v>
      </c>
      <c r="AP116" s="214">
        <v>3.4722222222222224E-2</v>
      </c>
      <c r="AQ116" s="213"/>
      <c r="AR116" s="213"/>
      <c r="AS116" s="213"/>
      <c r="AT116" s="213"/>
      <c r="AU116" s="213"/>
    </row>
    <row r="117" spans="2:47" x14ac:dyDescent="0.25">
      <c r="B117" s="110" t="s">
        <v>4</v>
      </c>
      <c r="C117" s="111" t="s">
        <v>5</v>
      </c>
      <c r="D117" s="23">
        <v>1</v>
      </c>
      <c r="E117" s="23">
        <v>0</v>
      </c>
      <c r="F117" s="23">
        <v>2</v>
      </c>
      <c r="G117" s="23">
        <v>0</v>
      </c>
      <c r="H117" s="23">
        <v>1</v>
      </c>
      <c r="I117" s="23">
        <v>3</v>
      </c>
      <c r="J117" s="23">
        <v>1</v>
      </c>
      <c r="K117" s="23">
        <v>2</v>
      </c>
      <c r="L117" s="23">
        <v>2</v>
      </c>
      <c r="M117" s="23">
        <v>2</v>
      </c>
      <c r="N117" s="23">
        <v>1</v>
      </c>
      <c r="O117" s="23">
        <v>3</v>
      </c>
      <c r="P117" s="23">
        <v>0</v>
      </c>
      <c r="Q117" s="23">
        <v>2</v>
      </c>
      <c r="R117" s="23">
        <v>2</v>
      </c>
      <c r="S117" s="23">
        <v>3</v>
      </c>
      <c r="T117" s="23">
        <v>4</v>
      </c>
      <c r="U117" s="23">
        <v>1</v>
      </c>
      <c r="V117" s="93">
        <f>SUM(D117:U117)</f>
        <v>30</v>
      </c>
      <c r="X117" s="38">
        <f>72+V117</f>
        <v>102</v>
      </c>
      <c r="AB117" s="97">
        <f>SUM(AB110:AB116)</f>
        <v>162</v>
      </c>
      <c r="AL117" s="84">
        <v>144</v>
      </c>
      <c r="AM117" s="213">
        <v>144</v>
      </c>
      <c r="AN117" s="213"/>
      <c r="AO117" s="213"/>
      <c r="AP117" s="213"/>
      <c r="AQ117" s="213"/>
      <c r="AR117" s="213"/>
      <c r="AS117" s="213"/>
      <c r="AT117" s="213"/>
      <c r="AU117" s="213"/>
    </row>
    <row r="118" spans="2:47" x14ac:dyDescent="0.25">
      <c r="B118" s="110" t="s">
        <v>4</v>
      </c>
      <c r="C118" s="111" t="s">
        <v>5</v>
      </c>
      <c r="D118" s="23">
        <v>1</v>
      </c>
      <c r="E118" s="23">
        <v>1</v>
      </c>
      <c r="F118" s="23">
        <v>0</v>
      </c>
      <c r="G118" s="23">
        <v>0</v>
      </c>
      <c r="H118" s="23">
        <v>3</v>
      </c>
      <c r="I118" s="23">
        <v>3</v>
      </c>
      <c r="J118" s="23">
        <v>1</v>
      </c>
      <c r="K118" s="23">
        <v>0</v>
      </c>
      <c r="L118" s="23">
        <v>2</v>
      </c>
      <c r="M118" s="23">
        <v>3</v>
      </c>
      <c r="N118" s="23">
        <v>3</v>
      </c>
      <c r="O118" s="23">
        <v>2</v>
      </c>
      <c r="P118" s="23">
        <v>2</v>
      </c>
      <c r="Q118" s="23">
        <v>2</v>
      </c>
      <c r="R118" s="23">
        <v>2</v>
      </c>
      <c r="S118" s="23">
        <v>1</v>
      </c>
      <c r="T118" s="23">
        <v>4</v>
      </c>
      <c r="U118" s="23">
        <v>3</v>
      </c>
      <c r="V118" s="93">
        <f t="shared" si="9"/>
        <v>33</v>
      </c>
      <c r="X118" s="38">
        <f>72+V118</f>
        <v>105</v>
      </c>
      <c r="AM118" s="213"/>
      <c r="AN118" s="213"/>
      <c r="AO118" s="213"/>
      <c r="AP118" s="213"/>
      <c r="AQ118" s="213"/>
      <c r="AR118" s="213"/>
      <c r="AS118" s="213"/>
      <c r="AT118" s="213"/>
      <c r="AU118" s="213"/>
    </row>
    <row r="119" spans="2:47" x14ac:dyDescent="0.25">
      <c r="B119" s="110" t="s">
        <v>4</v>
      </c>
      <c r="C119" s="111" t="s">
        <v>5</v>
      </c>
      <c r="D119" s="23">
        <v>2</v>
      </c>
      <c r="E119" s="23">
        <v>3</v>
      </c>
      <c r="F119" s="23">
        <v>3</v>
      </c>
      <c r="G119" s="23">
        <v>1</v>
      </c>
      <c r="H119" s="23">
        <v>3</v>
      </c>
      <c r="I119" s="23">
        <v>2</v>
      </c>
      <c r="J119" s="23">
        <v>2</v>
      </c>
      <c r="K119" s="23">
        <v>0</v>
      </c>
      <c r="L119" s="23">
        <v>3</v>
      </c>
      <c r="M119" s="23">
        <v>2</v>
      </c>
      <c r="N119" s="23">
        <v>1</v>
      </c>
      <c r="O119" s="23">
        <v>1</v>
      </c>
      <c r="P119" s="23">
        <v>2</v>
      </c>
      <c r="Q119" s="23">
        <v>3</v>
      </c>
      <c r="R119" s="23">
        <v>1</v>
      </c>
      <c r="S119" s="23">
        <v>0</v>
      </c>
      <c r="T119" s="23">
        <v>2</v>
      </c>
      <c r="U119" s="23">
        <v>2</v>
      </c>
      <c r="V119" s="93">
        <f t="shared" si="9"/>
        <v>33</v>
      </c>
      <c r="X119" s="38">
        <f>72+V119</f>
        <v>105</v>
      </c>
      <c r="AM119" s="213"/>
      <c r="AN119" s="213"/>
      <c r="AO119" s="213"/>
      <c r="AP119" s="213"/>
      <c r="AQ119" s="213"/>
      <c r="AR119" s="213"/>
      <c r="AS119" s="213"/>
      <c r="AT119" s="213"/>
      <c r="AU119" s="213"/>
    </row>
    <row r="120" spans="2:47" x14ac:dyDescent="0.25">
      <c r="B120" s="110" t="s">
        <v>4</v>
      </c>
      <c r="C120" s="111" t="s">
        <v>5</v>
      </c>
      <c r="D120" s="23">
        <v>10</v>
      </c>
      <c r="E120" s="23">
        <v>10</v>
      </c>
      <c r="F120" s="23">
        <v>10</v>
      </c>
      <c r="G120" s="23">
        <v>10</v>
      </c>
      <c r="H120" s="23">
        <v>10</v>
      </c>
      <c r="I120" s="23">
        <v>10</v>
      </c>
      <c r="J120" s="23">
        <v>10</v>
      </c>
      <c r="K120" s="23">
        <v>10</v>
      </c>
      <c r="L120" s="23">
        <v>10</v>
      </c>
      <c r="M120" s="23">
        <v>10</v>
      </c>
      <c r="N120" s="23">
        <v>10</v>
      </c>
      <c r="O120" s="23">
        <v>10</v>
      </c>
      <c r="P120" s="23">
        <v>10</v>
      </c>
      <c r="Q120" s="23">
        <v>10</v>
      </c>
      <c r="R120" s="23">
        <v>10</v>
      </c>
      <c r="S120" s="23">
        <v>10</v>
      </c>
      <c r="T120" s="23">
        <v>10</v>
      </c>
      <c r="U120" s="23">
        <v>10</v>
      </c>
      <c r="V120" s="94">
        <f t="shared" si="9"/>
        <v>180</v>
      </c>
      <c r="X120" s="39">
        <f>74+V120</f>
        <v>254</v>
      </c>
      <c r="AG120" s="84" t="s">
        <v>91</v>
      </c>
      <c r="AM120" s="213"/>
      <c r="AN120" s="213"/>
      <c r="AO120" s="213"/>
      <c r="AP120" s="213"/>
      <c r="AQ120" s="213"/>
      <c r="AR120" s="213"/>
      <c r="AS120" s="213"/>
      <c r="AT120" s="213"/>
      <c r="AU120" s="213"/>
    </row>
    <row r="121" spans="2:47" x14ac:dyDescent="0.25">
      <c r="AM121" s="213"/>
      <c r="AN121" s="213"/>
      <c r="AO121" s="213"/>
      <c r="AP121" s="213"/>
      <c r="AQ121" s="213"/>
      <c r="AR121" s="213"/>
      <c r="AS121" s="213"/>
      <c r="AT121" s="213"/>
      <c r="AU121" s="213"/>
    </row>
    <row r="122" spans="2:47" x14ac:dyDescent="0.25">
      <c r="B122" s="9" t="s">
        <v>20</v>
      </c>
      <c r="C122" s="10" t="s">
        <v>21</v>
      </c>
      <c r="D122" s="29" t="s">
        <v>22</v>
      </c>
      <c r="E122" s="29" t="s">
        <v>23</v>
      </c>
      <c r="F122" s="29" t="s">
        <v>24</v>
      </c>
      <c r="G122" s="29" t="s">
        <v>25</v>
      </c>
      <c r="H122" s="29" t="s">
        <v>26</v>
      </c>
      <c r="I122" s="29" t="s">
        <v>27</v>
      </c>
      <c r="J122" s="29" t="s">
        <v>28</v>
      </c>
      <c r="K122" s="29" t="s">
        <v>29</v>
      </c>
      <c r="L122" s="29" t="s">
        <v>30</v>
      </c>
      <c r="M122" s="29" t="s">
        <v>72</v>
      </c>
      <c r="N122" s="29" t="s">
        <v>73</v>
      </c>
      <c r="O122" s="29" t="s">
        <v>74</v>
      </c>
      <c r="P122" s="29" t="s">
        <v>75</v>
      </c>
      <c r="Q122" s="29" t="s">
        <v>76</v>
      </c>
      <c r="R122" s="29" t="s">
        <v>77</v>
      </c>
      <c r="S122" s="29" t="s">
        <v>78</v>
      </c>
      <c r="T122" s="29" t="s">
        <v>79</v>
      </c>
      <c r="U122" s="29" t="s">
        <v>80</v>
      </c>
      <c r="V122" s="92" t="s">
        <v>39</v>
      </c>
      <c r="X122" s="37" t="s">
        <v>84</v>
      </c>
      <c r="AB122" s="184">
        <f>COUNTIFS(Tabell71415202134353637[[1]:[18]],-1)</f>
        <v>0</v>
      </c>
      <c r="AD122" s="85" t="s">
        <v>34</v>
      </c>
      <c r="AE122" s="185">
        <f>AB122/AB129</f>
        <v>0</v>
      </c>
      <c r="AL122" s="84">
        <v>0</v>
      </c>
      <c r="AM122" s="213">
        <v>0</v>
      </c>
      <c r="AN122" s="213"/>
      <c r="AO122" s="213" t="s">
        <v>34</v>
      </c>
      <c r="AP122" s="214">
        <v>0</v>
      </c>
      <c r="AQ122" s="213"/>
      <c r="AR122" s="213"/>
      <c r="AS122" s="213"/>
      <c r="AT122" s="213"/>
      <c r="AU122" s="213"/>
    </row>
    <row r="123" spans="2:47" x14ac:dyDescent="0.25">
      <c r="B123" s="110" t="s">
        <v>17</v>
      </c>
      <c r="C123" s="111" t="s">
        <v>18</v>
      </c>
      <c r="D123" s="23">
        <v>1</v>
      </c>
      <c r="E123" s="23">
        <v>0</v>
      </c>
      <c r="F123" s="23">
        <v>2</v>
      </c>
      <c r="G123" s="23">
        <v>1</v>
      </c>
      <c r="H123" s="23">
        <v>3</v>
      </c>
      <c r="I123" s="23">
        <v>3</v>
      </c>
      <c r="J123" s="23">
        <v>1</v>
      </c>
      <c r="K123" s="23">
        <v>2</v>
      </c>
      <c r="L123" s="23">
        <v>3</v>
      </c>
      <c r="M123" s="23">
        <v>4</v>
      </c>
      <c r="N123" s="23">
        <v>2</v>
      </c>
      <c r="O123" s="23">
        <v>0</v>
      </c>
      <c r="P123" s="23">
        <v>4</v>
      </c>
      <c r="Q123" s="23">
        <v>2</v>
      </c>
      <c r="R123" s="23">
        <v>0</v>
      </c>
      <c r="S123" s="23">
        <v>1</v>
      </c>
      <c r="T123" s="23">
        <v>3</v>
      </c>
      <c r="U123" s="23">
        <v>1</v>
      </c>
      <c r="V123" s="93">
        <f t="shared" ref="V123:V132" si="10">SUM(D123:U123)</f>
        <v>33</v>
      </c>
      <c r="X123" s="38">
        <f>72+V123</f>
        <v>105</v>
      </c>
      <c r="AB123" s="184">
        <f>COUNTIFS(Tabell71415202134353637[[1]:[18]],0)</f>
        <v>13</v>
      </c>
      <c r="AD123" s="85" t="s">
        <v>83</v>
      </c>
      <c r="AE123" s="185">
        <f>AB123/AB129</f>
        <v>8.0246913580246909E-2</v>
      </c>
      <c r="AL123" s="84">
        <v>11</v>
      </c>
      <c r="AM123" s="213">
        <v>11</v>
      </c>
      <c r="AN123" s="213"/>
      <c r="AO123" s="213" t="s">
        <v>83</v>
      </c>
      <c r="AP123" s="214">
        <v>0.15277777777777779</v>
      </c>
      <c r="AQ123" s="213"/>
      <c r="AR123" s="213"/>
      <c r="AS123" s="213"/>
      <c r="AT123" s="213"/>
      <c r="AU123" s="213"/>
    </row>
    <row r="124" spans="2:47" x14ac:dyDescent="0.25">
      <c r="B124" s="110" t="s">
        <v>17</v>
      </c>
      <c r="C124" s="111" t="s">
        <v>18</v>
      </c>
      <c r="D124" s="23">
        <v>4</v>
      </c>
      <c r="E124" s="23">
        <v>3</v>
      </c>
      <c r="F124" s="23">
        <v>3</v>
      </c>
      <c r="G124" s="23">
        <v>1</v>
      </c>
      <c r="H124" s="23">
        <v>2</v>
      </c>
      <c r="I124" s="23">
        <v>1</v>
      </c>
      <c r="J124" s="23">
        <v>2</v>
      </c>
      <c r="K124" s="23">
        <v>2</v>
      </c>
      <c r="L124" s="23">
        <v>4</v>
      </c>
      <c r="M124" s="23">
        <v>1</v>
      </c>
      <c r="N124" s="23">
        <v>2</v>
      </c>
      <c r="O124" s="23">
        <v>1</v>
      </c>
      <c r="P124" s="23">
        <v>4</v>
      </c>
      <c r="Q124" s="23">
        <v>4</v>
      </c>
      <c r="R124" s="23">
        <v>3</v>
      </c>
      <c r="S124" s="23">
        <v>4</v>
      </c>
      <c r="T124" s="23">
        <v>1</v>
      </c>
      <c r="U124" s="23">
        <v>3</v>
      </c>
      <c r="V124" s="93">
        <f t="shared" si="10"/>
        <v>45</v>
      </c>
      <c r="X124" s="38">
        <f>70+V124</f>
        <v>115</v>
      </c>
      <c r="AB124" s="184">
        <f>COUNTIFS(Tabell71415202134353637[[1]:[18]],1)</f>
        <v>49</v>
      </c>
      <c r="AD124" s="85" t="s">
        <v>131</v>
      </c>
      <c r="AE124" s="185">
        <f>AB124/AB129</f>
        <v>0.30246913580246915</v>
      </c>
      <c r="AL124" s="84">
        <v>18</v>
      </c>
      <c r="AM124" s="213">
        <v>18</v>
      </c>
      <c r="AN124" s="213"/>
      <c r="AO124" s="213" t="s">
        <v>131</v>
      </c>
      <c r="AP124" s="214">
        <v>0.25</v>
      </c>
      <c r="AQ124" s="213"/>
      <c r="AR124" s="213"/>
      <c r="AS124" s="213"/>
      <c r="AT124" s="213"/>
      <c r="AU124" s="213"/>
    </row>
    <row r="125" spans="2:47" x14ac:dyDescent="0.25">
      <c r="B125" s="110" t="s">
        <v>17</v>
      </c>
      <c r="C125" s="111" t="s">
        <v>18</v>
      </c>
      <c r="D125" s="23">
        <v>2</v>
      </c>
      <c r="E125" s="23">
        <v>1</v>
      </c>
      <c r="F125" s="23">
        <v>4</v>
      </c>
      <c r="G125" s="23">
        <v>3</v>
      </c>
      <c r="H125" s="23">
        <v>2</v>
      </c>
      <c r="I125" s="23">
        <v>2</v>
      </c>
      <c r="J125" s="23">
        <v>1</v>
      </c>
      <c r="K125" s="23">
        <v>0</v>
      </c>
      <c r="L125" s="23">
        <v>1</v>
      </c>
      <c r="M125" s="23">
        <v>2</v>
      </c>
      <c r="N125" s="23">
        <v>2</v>
      </c>
      <c r="O125" s="23">
        <v>3</v>
      </c>
      <c r="P125" s="23">
        <v>2</v>
      </c>
      <c r="Q125" s="23">
        <v>5</v>
      </c>
      <c r="R125" s="23">
        <v>2</v>
      </c>
      <c r="S125" s="23">
        <v>4</v>
      </c>
      <c r="T125" s="23">
        <v>2</v>
      </c>
      <c r="U125" s="23">
        <v>0</v>
      </c>
      <c r="V125" s="93">
        <f t="shared" si="10"/>
        <v>38</v>
      </c>
      <c r="X125" s="38">
        <f>72+V125</f>
        <v>110</v>
      </c>
      <c r="AB125" s="184">
        <f>COUNTIFS(Tabell71415202134353637[[1]:[18]],2)</f>
        <v>50</v>
      </c>
      <c r="AD125" s="85" t="s">
        <v>132</v>
      </c>
      <c r="AE125" s="185">
        <f>AB125/AB129</f>
        <v>0.30864197530864196</v>
      </c>
      <c r="AL125" s="84">
        <v>13</v>
      </c>
      <c r="AM125" s="213">
        <v>13</v>
      </c>
      <c r="AN125" s="213"/>
      <c r="AO125" s="213" t="s">
        <v>132</v>
      </c>
      <c r="AP125" s="214">
        <v>0.18055555555555555</v>
      </c>
      <c r="AQ125" s="213"/>
      <c r="AR125" s="213"/>
      <c r="AS125" s="213"/>
      <c r="AT125" s="213"/>
      <c r="AU125" s="213"/>
    </row>
    <row r="126" spans="2:47" x14ac:dyDescent="0.25">
      <c r="B126" s="110" t="s">
        <v>17</v>
      </c>
      <c r="C126" s="111" t="s">
        <v>18</v>
      </c>
      <c r="D126" s="23">
        <v>5</v>
      </c>
      <c r="E126" s="23">
        <v>1</v>
      </c>
      <c r="F126" s="23">
        <v>1</v>
      </c>
      <c r="G126" s="23">
        <v>5</v>
      </c>
      <c r="H126" s="23">
        <v>2</v>
      </c>
      <c r="I126" s="23">
        <v>0</v>
      </c>
      <c r="J126" s="23">
        <v>2</v>
      </c>
      <c r="K126" s="23">
        <v>2</v>
      </c>
      <c r="L126" s="23">
        <v>3</v>
      </c>
      <c r="M126" s="23">
        <v>3</v>
      </c>
      <c r="N126" s="23">
        <v>1</v>
      </c>
      <c r="O126" s="23">
        <v>3</v>
      </c>
      <c r="P126" s="23">
        <v>3</v>
      </c>
      <c r="Q126" s="23">
        <v>1</v>
      </c>
      <c r="R126" s="23">
        <v>1</v>
      </c>
      <c r="S126" s="23">
        <v>1</v>
      </c>
      <c r="T126" s="23">
        <v>5</v>
      </c>
      <c r="U126" s="23">
        <v>1</v>
      </c>
      <c r="V126" s="93">
        <f t="shared" si="10"/>
        <v>40</v>
      </c>
      <c r="X126" s="38">
        <f>71+V126</f>
        <v>111</v>
      </c>
      <c r="AB126" s="184">
        <f>COUNTIFS(Tabell71415202134353637[[1]:[18]],3)</f>
        <v>28</v>
      </c>
      <c r="AD126" s="85" t="s">
        <v>133</v>
      </c>
      <c r="AE126" s="185">
        <f>AB126/AB129</f>
        <v>0.1728395061728395</v>
      </c>
      <c r="AL126" s="84">
        <v>16</v>
      </c>
      <c r="AM126" s="213">
        <v>16</v>
      </c>
      <c r="AN126" s="213"/>
      <c r="AO126" s="213" t="s">
        <v>133</v>
      </c>
      <c r="AP126" s="214">
        <v>0.22222222222222221</v>
      </c>
      <c r="AQ126" s="213"/>
      <c r="AR126" s="213"/>
      <c r="AS126" s="213"/>
      <c r="AT126" s="213"/>
      <c r="AU126" s="213"/>
    </row>
    <row r="127" spans="2:47" x14ac:dyDescent="0.25">
      <c r="B127" s="110" t="s">
        <v>17</v>
      </c>
      <c r="C127" s="111" t="s">
        <v>18</v>
      </c>
      <c r="D127" s="23">
        <v>3</v>
      </c>
      <c r="E127" s="23">
        <v>1</v>
      </c>
      <c r="F127" s="23">
        <v>4</v>
      </c>
      <c r="G127" s="23">
        <v>1</v>
      </c>
      <c r="H127" s="23">
        <v>1</v>
      </c>
      <c r="I127" s="23">
        <v>0</v>
      </c>
      <c r="J127" s="23">
        <v>1</v>
      </c>
      <c r="K127" s="23">
        <v>2</v>
      </c>
      <c r="L127" s="23">
        <v>0</v>
      </c>
      <c r="M127" s="23">
        <v>4</v>
      </c>
      <c r="N127" s="23">
        <v>1</v>
      </c>
      <c r="O127" s="23">
        <v>2</v>
      </c>
      <c r="P127" s="23">
        <v>1</v>
      </c>
      <c r="Q127" s="23">
        <v>4</v>
      </c>
      <c r="R127" s="23">
        <v>2</v>
      </c>
      <c r="S127" s="23">
        <v>1</v>
      </c>
      <c r="T127" s="23">
        <v>1</v>
      </c>
      <c r="U127" s="23">
        <v>1</v>
      </c>
      <c r="V127" s="93">
        <f t="shared" si="10"/>
        <v>30</v>
      </c>
      <c r="X127" s="38">
        <f>71+V127</f>
        <v>101</v>
      </c>
      <c r="AB127" s="184">
        <f>COUNTIFS(Tabell71415202134353637[[1]:[18]],4)</f>
        <v>17</v>
      </c>
      <c r="AD127" s="85" t="s">
        <v>134</v>
      </c>
      <c r="AE127" s="185">
        <f>AB127/AB129</f>
        <v>0.10493827160493827</v>
      </c>
      <c r="AL127" s="84">
        <v>8</v>
      </c>
      <c r="AM127" s="213">
        <v>8</v>
      </c>
      <c r="AN127" s="213"/>
      <c r="AO127" s="213" t="s">
        <v>134</v>
      </c>
      <c r="AP127" s="214">
        <v>0.1111111111111111</v>
      </c>
      <c r="AQ127" s="213"/>
      <c r="AR127" s="213"/>
      <c r="AS127" s="213"/>
      <c r="AT127" s="213"/>
      <c r="AU127" s="213"/>
    </row>
    <row r="128" spans="2:47" x14ac:dyDescent="0.25">
      <c r="B128" s="110" t="s">
        <v>17</v>
      </c>
      <c r="C128" s="111" t="s">
        <v>18</v>
      </c>
      <c r="D128" s="23">
        <v>2</v>
      </c>
      <c r="E128" s="23">
        <v>3</v>
      </c>
      <c r="F128" s="23">
        <v>1</v>
      </c>
      <c r="G128" s="23">
        <v>2</v>
      </c>
      <c r="H128" s="23">
        <v>1</v>
      </c>
      <c r="I128" s="23">
        <v>0</v>
      </c>
      <c r="J128" s="23">
        <v>1</v>
      </c>
      <c r="K128" s="23">
        <v>2</v>
      </c>
      <c r="L128" s="23">
        <v>2</v>
      </c>
      <c r="M128" s="23">
        <v>2</v>
      </c>
      <c r="N128" s="23">
        <v>0</v>
      </c>
      <c r="O128" s="23">
        <v>0</v>
      </c>
      <c r="P128" s="23">
        <v>0</v>
      </c>
      <c r="Q128" s="23">
        <v>1</v>
      </c>
      <c r="R128" s="23">
        <v>1</v>
      </c>
      <c r="S128" s="23">
        <v>2</v>
      </c>
      <c r="T128" s="23">
        <v>1</v>
      </c>
      <c r="U128" s="23">
        <v>3</v>
      </c>
      <c r="V128" s="93">
        <f>SUM(D128:U128)</f>
        <v>24</v>
      </c>
      <c r="X128" s="38">
        <f>71+V128</f>
        <v>95</v>
      </c>
      <c r="AB128" s="184">
        <f>COUNTIFS(Tabell71415202134353637[[1]:[18]],5)</f>
        <v>5</v>
      </c>
      <c r="AD128" s="85" t="s">
        <v>135</v>
      </c>
      <c r="AE128" s="185">
        <f>AB128/AB129</f>
        <v>3.0864197530864196E-2</v>
      </c>
      <c r="AL128" s="84">
        <v>6</v>
      </c>
      <c r="AM128" s="213">
        <v>6</v>
      </c>
      <c r="AN128" s="213"/>
      <c r="AO128" s="213" t="s">
        <v>135</v>
      </c>
      <c r="AP128" s="214">
        <v>8.3333333333333329E-2</v>
      </c>
      <c r="AQ128" s="213"/>
      <c r="AR128" s="213"/>
      <c r="AS128" s="213"/>
      <c r="AT128" s="213"/>
      <c r="AU128" s="213"/>
    </row>
    <row r="129" spans="2:47" x14ac:dyDescent="0.25">
      <c r="B129" s="110" t="s">
        <v>17</v>
      </c>
      <c r="C129" s="111" t="s">
        <v>18</v>
      </c>
      <c r="D129" s="23">
        <v>1</v>
      </c>
      <c r="E129" s="23">
        <v>3</v>
      </c>
      <c r="F129" s="23">
        <v>2</v>
      </c>
      <c r="G129" s="23">
        <v>2</v>
      </c>
      <c r="H129" s="23">
        <v>1</v>
      </c>
      <c r="I129" s="23">
        <v>1</v>
      </c>
      <c r="J129" s="23">
        <v>1</v>
      </c>
      <c r="K129" s="23">
        <v>3</v>
      </c>
      <c r="L129" s="23">
        <v>4</v>
      </c>
      <c r="M129" s="23">
        <v>2</v>
      </c>
      <c r="N129" s="23">
        <v>2</v>
      </c>
      <c r="O129" s="23">
        <v>4</v>
      </c>
      <c r="P129" s="23">
        <v>3</v>
      </c>
      <c r="Q129" s="23">
        <v>1</v>
      </c>
      <c r="R129" s="23">
        <v>1</v>
      </c>
      <c r="S129" s="23">
        <v>1</v>
      </c>
      <c r="T129" s="23">
        <v>2</v>
      </c>
      <c r="U129" s="23">
        <v>2</v>
      </c>
      <c r="V129" s="93">
        <f t="shared" si="10"/>
        <v>36</v>
      </c>
      <c r="X129" s="38">
        <f>72+V129</f>
        <v>108</v>
      </c>
      <c r="AB129" s="97">
        <f>SUM(AB122:AB128)</f>
        <v>162</v>
      </c>
      <c r="AL129" s="84">
        <v>72</v>
      </c>
      <c r="AM129" s="213">
        <v>72</v>
      </c>
      <c r="AN129" s="213"/>
      <c r="AO129" s="213"/>
      <c r="AP129" s="213"/>
      <c r="AQ129" s="213"/>
      <c r="AR129" s="213"/>
      <c r="AS129" s="213"/>
      <c r="AT129" s="213"/>
      <c r="AU129" s="213"/>
    </row>
    <row r="130" spans="2:47" x14ac:dyDescent="0.25">
      <c r="B130" s="110" t="s">
        <v>17</v>
      </c>
      <c r="C130" s="111" t="s">
        <v>18</v>
      </c>
      <c r="D130" s="23">
        <v>1</v>
      </c>
      <c r="E130" s="23">
        <v>3</v>
      </c>
      <c r="F130" s="23">
        <v>2</v>
      </c>
      <c r="G130" s="23">
        <v>2</v>
      </c>
      <c r="H130" s="23">
        <v>1</v>
      </c>
      <c r="I130" s="23">
        <v>1</v>
      </c>
      <c r="J130" s="23">
        <v>3</v>
      </c>
      <c r="K130" s="23">
        <v>4</v>
      </c>
      <c r="L130" s="23">
        <v>2</v>
      </c>
      <c r="M130" s="23">
        <v>2</v>
      </c>
      <c r="N130" s="23">
        <v>2</v>
      </c>
      <c r="O130" s="23">
        <v>4</v>
      </c>
      <c r="P130" s="23">
        <v>3</v>
      </c>
      <c r="Q130" s="23">
        <v>1</v>
      </c>
      <c r="R130" s="23">
        <v>1</v>
      </c>
      <c r="S130" s="23">
        <v>1</v>
      </c>
      <c r="T130" s="23">
        <v>2</v>
      </c>
      <c r="U130" s="23">
        <v>2</v>
      </c>
      <c r="V130" s="93">
        <f t="shared" si="10"/>
        <v>37</v>
      </c>
      <c r="X130" s="38">
        <f>72+V130</f>
        <v>109</v>
      </c>
      <c r="AM130" s="213"/>
      <c r="AN130" s="213"/>
      <c r="AO130" s="213"/>
      <c r="AP130" s="213"/>
      <c r="AQ130" s="213"/>
      <c r="AR130" s="213"/>
      <c r="AS130" s="213"/>
      <c r="AT130" s="213"/>
      <c r="AU130" s="213"/>
    </row>
    <row r="131" spans="2:47" x14ac:dyDescent="0.25">
      <c r="B131" s="110" t="s">
        <v>17</v>
      </c>
      <c r="C131" s="111" t="s">
        <v>18</v>
      </c>
      <c r="D131" s="23">
        <v>3</v>
      </c>
      <c r="E131" s="23">
        <v>1</v>
      </c>
      <c r="F131" s="23">
        <v>3</v>
      </c>
      <c r="G131" s="23">
        <v>3</v>
      </c>
      <c r="H131" s="23">
        <v>5</v>
      </c>
      <c r="I131" s="23">
        <v>2</v>
      </c>
      <c r="J131" s="23">
        <v>2</v>
      </c>
      <c r="K131" s="23">
        <v>0</v>
      </c>
      <c r="L131" s="23">
        <v>4</v>
      </c>
      <c r="M131" s="23">
        <v>3</v>
      </c>
      <c r="N131" s="23">
        <v>2</v>
      </c>
      <c r="O131" s="23">
        <v>2</v>
      </c>
      <c r="P131" s="23">
        <v>2</v>
      </c>
      <c r="Q131" s="23">
        <v>2</v>
      </c>
      <c r="R131" s="23">
        <v>2</v>
      </c>
      <c r="S131" s="23">
        <v>2</v>
      </c>
      <c r="T131" s="23">
        <v>2</v>
      </c>
      <c r="U131" s="23">
        <v>3</v>
      </c>
      <c r="V131" s="93">
        <f t="shared" si="10"/>
        <v>43</v>
      </c>
      <c r="X131" s="38">
        <f>72+V131</f>
        <v>115</v>
      </c>
      <c r="AM131" s="213"/>
      <c r="AN131" s="213"/>
      <c r="AO131" s="213"/>
      <c r="AP131" s="213"/>
      <c r="AQ131" s="213"/>
      <c r="AR131" s="213"/>
      <c r="AS131" s="213"/>
      <c r="AT131" s="213"/>
      <c r="AU131" s="213"/>
    </row>
    <row r="132" spans="2:47" x14ac:dyDescent="0.25">
      <c r="B132" s="110" t="s">
        <v>17</v>
      </c>
      <c r="C132" s="111" t="s">
        <v>18</v>
      </c>
      <c r="D132" s="23">
        <v>10</v>
      </c>
      <c r="E132" s="23">
        <v>10</v>
      </c>
      <c r="F132" s="23">
        <v>10</v>
      </c>
      <c r="G132" s="23">
        <v>10</v>
      </c>
      <c r="H132" s="23">
        <v>10</v>
      </c>
      <c r="I132" s="23">
        <v>10</v>
      </c>
      <c r="J132" s="23">
        <v>10</v>
      </c>
      <c r="K132" s="23">
        <v>10</v>
      </c>
      <c r="L132" s="23">
        <v>10</v>
      </c>
      <c r="M132" s="23">
        <v>10</v>
      </c>
      <c r="N132" s="23">
        <v>10</v>
      </c>
      <c r="O132" s="23">
        <v>10</v>
      </c>
      <c r="P132" s="23">
        <v>10</v>
      </c>
      <c r="Q132" s="23">
        <v>10</v>
      </c>
      <c r="R132" s="23">
        <v>10</v>
      </c>
      <c r="S132" s="23">
        <v>10</v>
      </c>
      <c r="T132" s="23">
        <v>10</v>
      </c>
      <c r="U132" s="23">
        <v>10</v>
      </c>
      <c r="V132" s="94">
        <f t="shared" si="10"/>
        <v>180</v>
      </c>
      <c r="X132" s="39">
        <f>71+V132</f>
        <v>251</v>
      </c>
      <c r="AM132" s="213"/>
      <c r="AN132" s="213"/>
      <c r="AO132" s="213"/>
      <c r="AP132" s="213"/>
      <c r="AQ132" s="213"/>
      <c r="AR132" s="213"/>
      <c r="AS132" s="213"/>
      <c r="AT132" s="213"/>
      <c r="AU132" s="213"/>
    </row>
    <row r="133" spans="2:47" x14ac:dyDescent="0.25">
      <c r="AM133" s="213"/>
      <c r="AN133" s="213"/>
      <c r="AO133" s="213"/>
      <c r="AP133" s="213"/>
      <c r="AQ133" s="213"/>
      <c r="AR133" s="213"/>
      <c r="AS133" s="213"/>
      <c r="AT133" s="213"/>
      <c r="AU133" s="213"/>
    </row>
    <row r="134" spans="2:47" x14ac:dyDescent="0.25">
      <c r="B134" s="9" t="s">
        <v>20</v>
      </c>
      <c r="C134" s="10" t="s">
        <v>21</v>
      </c>
      <c r="D134" s="29" t="s">
        <v>22</v>
      </c>
      <c r="E134" s="29" t="s">
        <v>23</v>
      </c>
      <c r="F134" s="29" t="s">
        <v>24</v>
      </c>
      <c r="G134" s="29" t="s">
        <v>25</v>
      </c>
      <c r="H134" s="29" t="s">
        <v>26</v>
      </c>
      <c r="I134" s="29" t="s">
        <v>27</v>
      </c>
      <c r="J134" s="29" t="s">
        <v>28</v>
      </c>
      <c r="K134" s="29" t="s">
        <v>29</v>
      </c>
      <c r="L134" s="29" t="s">
        <v>30</v>
      </c>
      <c r="M134" s="29" t="s">
        <v>72</v>
      </c>
      <c r="N134" s="29" t="s">
        <v>73</v>
      </c>
      <c r="O134" s="29" t="s">
        <v>74</v>
      </c>
      <c r="P134" s="29" t="s">
        <v>75</v>
      </c>
      <c r="Q134" s="29" t="s">
        <v>76</v>
      </c>
      <c r="R134" s="29" t="s">
        <v>77</v>
      </c>
      <c r="S134" s="29" t="s">
        <v>78</v>
      </c>
      <c r="T134" s="29" t="s">
        <v>79</v>
      </c>
      <c r="U134" s="29" t="s">
        <v>80</v>
      </c>
      <c r="V134" s="92" t="s">
        <v>39</v>
      </c>
      <c r="W134" s="85"/>
      <c r="X134" s="37" t="s">
        <v>84</v>
      </c>
      <c r="AB134" s="184">
        <f>COUNTIFS(Tabell7141520213435363738[[1]:[18]],-1)</f>
        <v>0</v>
      </c>
      <c r="AD134" s="85" t="s">
        <v>34</v>
      </c>
      <c r="AE134" s="185">
        <f>AB134/AB141</f>
        <v>0</v>
      </c>
      <c r="AL134" s="84">
        <v>0</v>
      </c>
      <c r="AM134" s="213">
        <v>0</v>
      </c>
      <c r="AN134" s="213"/>
      <c r="AO134" s="213" t="s">
        <v>34</v>
      </c>
      <c r="AP134" s="214" t="e">
        <v>#DIV/0!</v>
      </c>
      <c r="AQ134" s="213"/>
      <c r="AR134" s="213"/>
      <c r="AS134" s="213"/>
      <c r="AT134" s="213"/>
      <c r="AU134" s="213"/>
    </row>
    <row r="135" spans="2:47" x14ac:dyDescent="0.25">
      <c r="B135" s="110" t="s">
        <v>8</v>
      </c>
      <c r="C135" s="111" t="s">
        <v>81</v>
      </c>
      <c r="D135" s="23">
        <v>4</v>
      </c>
      <c r="E135" s="23">
        <v>5</v>
      </c>
      <c r="F135" s="23">
        <v>2</v>
      </c>
      <c r="G135" s="23">
        <v>4</v>
      </c>
      <c r="H135" s="23">
        <v>1</v>
      </c>
      <c r="I135" s="23">
        <v>5</v>
      </c>
      <c r="J135" s="23">
        <v>1</v>
      </c>
      <c r="K135" s="23">
        <v>5</v>
      </c>
      <c r="L135" s="23">
        <v>5</v>
      </c>
      <c r="M135" s="23">
        <v>5</v>
      </c>
      <c r="N135" s="23">
        <v>5</v>
      </c>
      <c r="O135" s="23">
        <v>5</v>
      </c>
      <c r="P135" s="23">
        <v>5</v>
      </c>
      <c r="Q135" s="23">
        <v>1</v>
      </c>
      <c r="R135" s="23">
        <v>5</v>
      </c>
      <c r="S135" s="23">
        <v>1</v>
      </c>
      <c r="T135" s="23">
        <v>3</v>
      </c>
      <c r="U135" s="23">
        <v>3</v>
      </c>
      <c r="V135" s="93">
        <f t="shared" ref="V135:V144" si="11">SUM(D135:U135)</f>
        <v>65</v>
      </c>
      <c r="W135" s="85"/>
      <c r="X135" s="38">
        <f>72+V135</f>
        <v>137</v>
      </c>
      <c r="AB135" s="184">
        <f>COUNTIFS(D135:U144,0)</f>
        <v>7</v>
      </c>
      <c r="AD135" s="85" t="s">
        <v>83</v>
      </c>
      <c r="AE135" s="185">
        <f>AB135/AB141</f>
        <v>4.8611111111111112E-2</v>
      </c>
      <c r="AL135" s="84">
        <v>0</v>
      </c>
      <c r="AM135" s="213">
        <v>0</v>
      </c>
      <c r="AN135" s="213"/>
      <c r="AO135" s="213" t="s">
        <v>83</v>
      </c>
      <c r="AP135" s="214" t="e">
        <v>#DIV/0!</v>
      </c>
      <c r="AQ135" s="213"/>
      <c r="AR135" s="213"/>
      <c r="AS135" s="213"/>
      <c r="AT135" s="213"/>
      <c r="AU135" s="213"/>
    </row>
    <row r="136" spans="2:47" x14ac:dyDescent="0.25">
      <c r="B136" s="110" t="s">
        <v>8</v>
      </c>
      <c r="C136" s="111" t="s">
        <v>81</v>
      </c>
      <c r="D136" s="23">
        <v>4</v>
      </c>
      <c r="E136" s="23">
        <v>1</v>
      </c>
      <c r="F136" s="23">
        <v>1</v>
      </c>
      <c r="G136" s="23">
        <v>4</v>
      </c>
      <c r="H136" s="23">
        <v>2</v>
      </c>
      <c r="I136" s="23">
        <v>1</v>
      </c>
      <c r="J136" s="23">
        <v>2</v>
      </c>
      <c r="K136" s="23">
        <v>2</v>
      </c>
      <c r="L136" s="23">
        <v>2</v>
      </c>
      <c r="M136" s="23">
        <v>3</v>
      </c>
      <c r="N136" s="23">
        <v>1</v>
      </c>
      <c r="O136" s="23">
        <v>2</v>
      </c>
      <c r="P136" s="23">
        <v>3</v>
      </c>
      <c r="Q136" s="23">
        <v>2</v>
      </c>
      <c r="R136" s="23">
        <v>3</v>
      </c>
      <c r="S136" s="23">
        <v>3</v>
      </c>
      <c r="T136" s="23">
        <v>1</v>
      </c>
      <c r="U136" s="23">
        <v>3</v>
      </c>
      <c r="V136" s="93">
        <f t="shared" si="11"/>
        <v>40</v>
      </c>
      <c r="W136" s="85"/>
      <c r="X136" s="38">
        <f>72+V136</f>
        <v>112</v>
      </c>
      <c r="AB136" s="184">
        <f>COUNTIFS(Tabell7141520213435363738[[1]:[18]],1)</f>
        <v>33</v>
      </c>
      <c r="AD136" s="85" t="s">
        <v>131</v>
      </c>
      <c r="AE136" s="185">
        <f>AB136/AB141</f>
        <v>0.22916666666666666</v>
      </c>
      <c r="AL136" s="84">
        <v>0</v>
      </c>
      <c r="AM136" s="213">
        <v>0</v>
      </c>
      <c r="AN136" s="213"/>
      <c r="AO136" s="213" t="s">
        <v>131</v>
      </c>
      <c r="AP136" s="214" t="e">
        <v>#DIV/0!</v>
      </c>
      <c r="AQ136" s="213"/>
      <c r="AR136" s="213"/>
      <c r="AS136" s="213"/>
      <c r="AT136" s="213"/>
      <c r="AU136" s="213"/>
    </row>
    <row r="137" spans="2:47" x14ac:dyDescent="0.25">
      <c r="B137" s="110" t="s">
        <v>8</v>
      </c>
      <c r="C137" s="111" t="s">
        <v>81</v>
      </c>
      <c r="D137" s="23">
        <v>4</v>
      </c>
      <c r="E137" s="23">
        <v>2</v>
      </c>
      <c r="F137" s="23">
        <v>1</v>
      </c>
      <c r="G137" s="23">
        <v>1</v>
      </c>
      <c r="H137" s="23">
        <v>3</v>
      </c>
      <c r="I137" s="23">
        <v>3</v>
      </c>
      <c r="J137" s="23">
        <v>1</v>
      </c>
      <c r="K137" s="23">
        <v>2</v>
      </c>
      <c r="L137" s="23">
        <v>2</v>
      </c>
      <c r="M137" s="23">
        <v>4</v>
      </c>
      <c r="N137" s="23">
        <v>3</v>
      </c>
      <c r="O137" s="23">
        <v>3</v>
      </c>
      <c r="P137" s="23">
        <v>2</v>
      </c>
      <c r="Q137" s="23">
        <v>3</v>
      </c>
      <c r="R137" s="23">
        <v>2</v>
      </c>
      <c r="S137" s="23">
        <v>3</v>
      </c>
      <c r="T137" s="23">
        <v>1</v>
      </c>
      <c r="U137" s="23">
        <v>1</v>
      </c>
      <c r="V137" s="93">
        <f t="shared" si="11"/>
        <v>41</v>
      </c>
      <c r="W137" s="85"/>
      <c r="X137" s="38">
        <f>72+V137</f>
        <v>113</v>
      </c>
      <c r="AB137" s="184">
        <f>COUNTIFS(Tabell7141520213435363738[[1]:[18]],2)</f>
        <v>37</v>
      </c>
      <c r="AD137" s="85" t="s">
        <v>132</v>
      </c>
      <c r="AE137" s="185">
        <f>AB137/AB141</f>
        <v>0.25694444444444442</v>
      </c>
      <c r="AL137" s="84">
        <v>0</v>
      </c>
      <c r="AM137" s="213">
        <v>0</v>
      </c>
      <c r="AN137" s="213"/>
      <c r="AO137" s="213" t="s">
        <v>132</v>
      </c>
      <c r="AP137" s="214" t="e">
        <v>#DIV/0!</v>
      </c>
      <c r="AQ137" s="213"/>
      <c r="AR137" s="213"/>
      <c r="AS137" s="213"/>
      <c r="AT137" s="213"/>
      <c r="AU137" s="213"/>
    </row>
    <row r="138" spans="2:47" x14ac:dyDescent="0.25">
      <c r="B138" s="110" t="s">
        <v>8</v>
      </c>
      <c r="C138" s="111" t="s">
        <v>81</v>
      </c>
      <c r="D138" s="23">
        <v>5</v>
      </c>
      <c r="E138" s="23">
        <v>3</v>
      </c>
      <c r="F138" s="23">
        <v>5</v>
      </c>
      <c r="G138" s="23">
        <v>2</v>
      </c>
      <c r="H138" s="23">
        <v>1</v>
      </c>
      <c r="I138" s="23">
        <v>1</v>
      </c>
      <c r="J138" s="23">
        <v>1</v>
      </c>
      <c r="K138" s="23">
        <v>2</v>
      </c>
      <c r="L138" s="23">
        <v>1</v>
      </c>
      <c r="M138" s="23">
        <v>4</v>
      </c>
      <c r="N138" s="23">
        <v>2</v>
      </c>
      <c r="O138" s="23">
        <v>5</v>
      </c>
      <c r="P138" s="23">
        <v>1</v>
      </c>
      <c r="Q138" s="23">
        <v>4</v>
      </c>
      <c r="R138" s="23">
        <v>3</v>
      </c>
      <c r="S138" s="23">
        <v>2</v>
      </c>
      <c r="T138" s="23">
        <v>3</v>
      </c>
      <c r="U138" s="23">
        <v>3</v>
      </c>
      <c r="V138" s="93">
        <f t="shared" si="11"/>
        <v>48</v>
      </c>
      <c r="W138" s="85"/>
      <c r="X138" s="38">
        <f>71+V138</f>
        <v>119</v>
      </c>
      <c r="AB138" s="184">
        <f>COUNTIFS(Tabell7141520213435363738[[1]:[18]],3)</f>
        <v>33</v>
      </c>
      <c r="AD138" s="85" t="s">
        <v>133</v>
      </c>
      <c r="AE138" s="185">
        <f>AB138/AB141</f>
        <v>0.22916666666666666</v>
      </c>
      <c r="AL138" s="84">
        <v>0</v>
      </c>
      <c r="AM138" s="213">
        <v>0</v>
      </c>
      <c r="AN138" s="213"/>
      <c r="AO138" s="213" t="s">
        <v>133</v>
      </c>
      <c r="AP138" s="214" t="e">
        <v>#DIV/0!</v>
      </c>
      <c r="AQ138" s="213"/>
      <c r="AR138" s="213"/>
      <c r="AS138" s="213"/>
      <c r="AT138" s="213"/>
      <c r="AU138" s="213"/>
    </row>
    <row r="139" spans="2:47" x14ac:dyDescent="0.25">
      <c r="B139" s="110" t="s">
        <v>8</v>
      </c>
      <c r="C139" s="111" t="s">
        <v>81</v>
      </c>
      <c r="D139" s="23">
        <v>10</v>
      </c>
      <c r="E139" s="23">
        <v>10</v>
      </c>
      <c r="F139" s="23">
        <v>10</v>
      </c>
      <c r="G139" s="23">
        <v>10</v>
      </c>
      <c r="H139" s="23">
        <v>10</v>
      </c>
      <c r="I139" s="23">
        <v>10</v>
      </c>
      <c r="J139" s="23">
        <v>10</v>
      </c>
      <c r="K139" s="23">
        <v>10</v>
      </c>
      <c r="L139" s="23">
        <v>10</v>
      </c>
      <c r="M139" s="23">
        <v>10</v>
      </c>
      <c r="N139" s="23">
        <v>10</v>
      </c>
      <c r="O139" s="23">
        <v>10</v>
      </c>
      <c r="P139" s="23">
        <v>10</v>
      </c>
      <c r="Q139" s="23">
        <v>10</v>
      </c>
      <c r="R139" s="23">
        <v>10</v>
      </c>
      <c r="S139" s="23">
        <v>10</v>
      </c>
      <c r="T139" s="23">
        <v>10</v>
      </c>
      <c r="U139" s="23">
        <v>10</v>
      </c>
      <c r="V139" s="93">
        <f>SUM(D139:U139)</f>
        <v>180</v>
      </c>
      <c r="W139" s="85"/>
      <c r="X139" s="38">
        <f>71+V139</f>
        <v>251</v>
      </c>
      <c r="AB139" s="184">
        <f>COUNTIFS(Tabell7141520213435363738[[1]:[18]],4)</f>
        <v>14</v>
      </c>
      <c r="AD139" s="85" t="s">
        <v>134</v>
      </c>
      <c r="AE139" s="185">
        <f>AB139/AB141</f>
        <v>9.7222222222222224E-2</v>
      </c>
      <c r="AL139" s="84">
        <v>0</v>
      </c>
      <c r="AM139" s="213">
        <v>0</v>
      </c>
      <c r="AN139" s="213"/>
      <c r="AO139" s="213" t="s">
        <v>134</v>
      </c>
      <c r="AP139" s="214" t="e">
        <v>#DIV/0!</v>
      </c>
      <c r="AQ139" s="213"/>
      <c r="AR139" s="213"/>
      <c r="AS139" s="213"/>
      <c r="AT139" s="213"/>
      <c r="AU139" s="213"/>
    </row>
    <row r="140" spans="2:47" x14ac:dyDescent="0.25">
      <c r="B140" s="110" t="s">
        <v>8</v>
      </c>
      <c r="C140" s="111" t="s">
        <v>81</v>
      </c>
      <c r="D140" s="23">
        <v>0</v>
      </c>
      <c r="E140" s="23">
        <v>4</v>
      </c>
      <c r="F140" s="23">
        <v>0</v>
      </c>
      <c r="G140" s="23">
        <v>5</v>
      </c>
      <c r="H140" s="23">
        <v>1</v>
      </c>
      <c r="I140" s="23">
        <v>1</v>
      </c>
      <c r="J140" s="23">
        <v>2</v>
      </c>
      <c r="K140" s="23">
        <v>1</v>
      </c>
      <c r="L140" s="23">
        <v>5</v>
      </c>
      <c r="M140" s="23">
        <v>2</v>
      </c>
      <c r="N140" s="23">
        <v>2</v>
      </c>
      <c r="O140" s="23">
        <v>3</v>
      </c>
      <c r="P140" s="23">
        <v>5</v>
      </c>
      <c r="Q140" s="23">
        <v>2</v>
      </c>
      <c r="R140" s="23">
        <v>3</v>
      </c>
      <c r="S140" s="23">
        <v>3</v>
      </c>
      <c r="T140" s="23">
        <v>3</v>
      </c>
      <c r="U140" s="23">
        <v>2</v>
      </c>
      <c r="V140" s="93">
        <f t="shared" si="11"/>
        <v>44</v>
      </c>
      <c r="W140" s="85"/>
      <c r="X140" s="38">
        <f>70+V140</f>
        <v>114</v>
      </c>
      <c r="AB140" s="184">
        <f>COUNTIFS(Tabell7141520213435363738[[1]:[18]],5)</f>
        <v>20</v>
      </c>
      <c r="AD140" s="85" t="s">
        <v>135</v>
      </c>
      <c r="AE140" s="185">
        <f>AB140/AB141</f>
        <v>0.1388888888888889</v>
      </c>
      <c r="AL140" s="84">
        <v>0</v>
      </c>
      <c r="AM140" s="213">
        <v>0</v>
      </c>
      <c r="AN140" s="213"/>
      <c r="AO140" s="213" t="s">
        <v>135</v>
      </c>
      <c r="AP140" s="214" t="e">
        <v>#DIV/0!</v>
      </c>
      <c r="AQ140" s="213"/>
      <c r="AR140" s="213"/>
      <c r="AS140" s="213"/>
      <c r="AT140" s="213"/>
      <c r="AU140" s="213"/>
    </row>
    <row r="141" spans="2:47" x14ac:dyDescent="0.25">
      <c r="B141" s="110" t="s">
        <v>8</v>
      </c>
      <c r="C141" s="111" t="s">
        <v>81</v>
      </c>
      <c r="D141" s="23">
        <v>4</v>
      </c>
      <c r="E141" s="23">
        <v>0</v>
      </c>
      <c r="F141" s="23">
        <v>3</v>
      </c>
      <c r="G141" s="23">
        <v>0</v>
      </c>
      <c r="H141" s="23">
        <v>1</v>
      </c>
      <c r="I141" s="23">
        <v>1</v>
      </c>
      <c r="J141" s="23">
        <v>3</v>
      </c>
      <c r="K141" s="23">
        <v>3</v>
      </c>
      <c r="L141" s="23">
        <v>5</v>
      </c>
      <c r="M141" s="23">
        <v>2</v>
      </c>
      <c r="N141" s="23">
        <v>2</v>
      </c>
      <c r="O141" s="23">
        <v>2</v>
      </c>
      <c r="P141" s="23">
        <v>2</v>
      </c>
      <c r="Q141" s="23">
        <v>5</v>
      </c>
      <c r="R141" s="23">
        <v>1</v>
      </c>
      <c r="S141" s="23">
        <v>0</v>
      </c>
      <c r="T141" s="23">
        <v>1</v>
      </c>
      <c r="U141" s="23">
        <v>3</v>
      </c>
      <c r="V141" s="93">
        <f t="shared" si="11"/>
        <v>38</v>
      </c>
      <c r="W141" s="85"/>
      <c r="X141" s="38">
        <f>72+V141</f>
        <v>110</v>
      </c>
      <c r="AB141" s="97">
        <f>SUM(AB134:AB140)</f>
        <v>144</v>
      </c>
      <c r="AL141" s="84">
        <v>0</v>
      </c>
      <c r="AM141" s="213">
        <v>0</v>
      </c>
      <c r="AN141" s="213"/>
      <c r="AO141" s="213"/>
      <c r="AP141" s="213"/>
      <c r="AQ141" s="213"/>
      <c r="AR141" s="213"/>
      <c r="AS141" s="213"/>
      <c r="AT141" s="213"/>
      <c r="AU141" s="213"/>
    </row>
    <row r="142" spans="2:47" x14ac:dyDescent="0.25">
      <c r="B142" s="110" t="s">
        <v>8</v>
      </c>
      <c r="C142" s="111" t="s">
        <v>81</v>
      </c>
      <c r="D142" s="23">
        <v>3</v>
      </c>
      <c r="E142" s="23">
        <v>2</v>
      </c>
      <c r="F142" s="23">
        <v>3</v>
      </c>
      <c r="G142" s="23">
        <v>1</v>
      </c>
      <c r="H142" s="23">
        <v>3</v>
      </c>
      <c r="I142" s="23">
        <v>1</v>
      </c>
      <c r="J142" s="23">
        <v>2</v>
      </c>
      <c r="K142" s="23">
        <v>2</v>
      </c>
      <c r="L142" s="23">
        <v>2</v>
      </c>
      <c r="M142" s="23">
        <v>1</v>
      </c>
      <c r="N142" s="23">
        <v>1</v>
      </c>
      <c r="O142" s="23">
        <v>1</v>
      </c>
      <c r="P142" s="23">
        <v>0</v>
      </c>
      <c r="Q142" s="23">
        <v>2</v>
      </c>
      <c r="R142" s="23">
        <v>3</v>
      </c>
      <c r="S142" s="23">
        <v>1</v>
      </c>
      <c r="T142" s="23">
        <v>2</v>
      </c>
      <c r="U142" s="23">
        <v>4</v>
      </c>
      <c r="V142" s="93">
        <f t="shared" si="11"/>
        <v>34</v>
      </c>
      <c r="W142" s="85"/>
      <c r="X142" s="38">
        <f>72+V142</f>
        <v>106</v>
      </c>
      <c r="AM142" s="213"/>
      <c r="AN142" s="213"/>
      <c r="AO142" s="213"/>
      <c r="AP142" s="213"/>
      <c r="AQ142" s="213"/>
      <c r="AR142" s="213"/>
      <c r="AS142" s="213"/>
      <c r="AT142" s="213"/>
      <c r="AU142" s="213"/>
    </row>
    <row r="143" spans="2:47" x14ac:dyDescent="0.25">
      <c r="B143" s="110" t="s">
        <v>8</v>
      </c>
      <c r="C143" s="111" t="s">
        <v>81</v>
      </c>
      <c r="D143" s="23">
        <v>5</v>
      </c>
      <c r="E143" s="23">
        <v>2</v>
      </c>
      <c r="F143" s="23">
        <v>5</v>
      </c>
      <c r="G143" s="23">
        <v>2</v>
      </c>
      <c r="H143" s="23">
        <v>4</v>
      </c>
      <c r="I143" s="23">
        <v>2</v>
      </c>
      <c r="J143" s="23">
        <v>4</v>
      </c>
      <c r="K143" s="23">
        <v>3</v>
      </c>
      <c r="L143" s="23">
        <v>2</v>
      </c>
      <c r="M143" s="23">
        <v>3</v>
      </c>
      <c r="N143" s="23">
        <v>0</v>
      </c>
      <c r="O143" s="23">
        <v>2</v>
      </c>
      <c r="P143" s="23">
        <v>1</v>
      </c>
      <c r="Q143" s="23">
        <v>3</v>
      </c>
      <c r="R143" s="23">
        <v>2</v>
      </c>
      <c r="S143" s="23">
        <v>5</v>
      </c>
      <c r="T143" s="23">
        <v>4</v>
      </c>
      <c r="U143" s="23">
        <v>3</v>
      </c>
      <c r="V143" s="93">
        <f t="shared" si="11"/>
        <v>52</v>
      </c>
      <c r="W143" s="85"/>
      <c r="X143" s="38">
        <f>72+V143</f>
        <v>124</v>
      </c>
      <c r="AM143" s="213"/>
      <c r="AN143" s="213"/>
      <c r="AO143" s="213"/>
      <c r="AP143" s="213"/>
      <c r="AQ143" s="213"/>
      <c r="AR143" s="213"/>
      <c r="AS143" s="213"/>
      <c r="AT143" s="213"/>
      <c r="AU143" s="213"/>
    </row>
    <row r="144" spans="2:47" x14ac:dyDescent="0.25">
      <c r="B144" s="110" t="s">
        <v>8</v>
      </c>
      <c r="C144" s="111" t="s">
        <v>81</v>
      </c>
      <c r="D144" s="23">
        <v>10</v>
      </c>
      <c r="E144" s="23">
        <v>10</v>
      </c>
      <c r="F144" s="23">
        <v>10</v>
      </c>
      <c r="G144" s="23">
        <v>10</v>
      </c>
      <c r="H144" s="23">
        <v>10</v>
      </c>
      <c r="I144" s="23">
        <v>10</v>
      </c>
      <c r="J144" s="23">
        <v>10</v>
      </c>
      <c r="K144" s="23">
        <v>10</v>
      </c>
      <c r="L144" s="23">
        <v>10</v>
      </c>
      <c r="M144" s="23">
        <v>10</v>
      </c>
      <c r="N144" s="23">
        <v>10</v>
      </c>
      <c r="O144" s="23">
        <v>10</v>
      </c>
      <c r="P144" s="23">
        <v>10</v>
      </c>
      <c r="Q144" s="23">
        <v>10</v>
      </c>
      <c r="R144" s="23">
        <v>10</v>
      </c>
      <c r="S144" s="23">
        <v>10</v>
      </c>
      <c r="T144" s="23">
        <v>10</v>
      </c>
      <c r="U144" s="23">
        <v>10</v>
      </c>
      <c r="V144" s="94">
        <f t="shared" si="11"/>
        <v>180</v>
      </c>
      <c r="X144" s="39">
        <f>71+V144</f>
        <v>251</v>
      </c>
      <c r="AM144" s="213"/>
      <c r="AN144" s="213"/>
      <c r="AO144" s="213"/>
      <c r="AP144" s="213"/>
      <c r="AQ144" s="213"/>
      <c r="AR144" s="213"/>
      <c r="AS144" s="213"/>
      <c r="AT144" s="213"/>
      <c r="AU144" s="213"/>
    </row>
    <row r="145" spans="2:47" x14ac:dyDescent="0.25">
      <c r="W145" s="85"/>
      <c r="AM145" s="213"/>
      <c r="AN145" s="213"/>
      <c r="AO145" s="213"/>
      <c r="AP145" s="213"/>
      <c r="AQ145" s="213"/>
      <c r="AR145" s="213"/>
      <c r="AS145" s="213"/>
      <c r="AT145" s="213"/>
      <c r="AU145" s="213"/>
    </row>
    <row r="146" spans="2:47" x14ac:dyDescent="0.25">
      <c r="B146" s="9" t="s">
        <v>20</v>
      </c>
      <c r="C146" s="10" t="s">
        <v>21</v>
      </c>
      <c r="D146" s="29" t="s">
        <v>22</v>
      </c>
      <c r="E146" s="29" t="s">
        <v>23</v>
      </c>
      <c r="F146" s="29" t="s">
        <v>24</v>
      </c>
      <c r="G146" s="29" t="s">
        <v>25</v>
      </c>
      <c r="H146" s="29" t="s">
        <v>26</v>
      </c>
      <c r="I146" s="29" t="s">
        <v>27</v>
      </c>
      <c r="J146" s="29" t="s">
        <v>28</v>
      </c>
      <c r="K146" s="29" t="s">
        <v>29</v>
      </c>
      <c r="L146" s="29" t="s">
        <v>30</v>
      </c>
      <c r="M146" s="29" t="s">
        <v>72</v>
      </c>
      <c r="N146" s="29" t="s">
        <v>73</v>
      </c>
      <c r="O146" s="29" t="s">
        <v>74</v>
      </c>
      <c r="P146" s="29" t="s">
        <v>75</v>
      </c>
      <c r="Q146" s="29" t="s">
        <v>76</v>
      </c>
      <c r="R146" s="29" t="s">
        <v>77</v>
      </c>
      <c r="S146" s="29" t="s">
        <v>78</v>
      </c>
      <c r="T146" s="29" t="s">
        <v>79</v>
      </c>
      <c r="U146" s="29" t="s">
        <v>80</v>
      </c>
      <c r="V146" s="92" t="s">
        <v>39</v>
      </c>
      <c r="W146" s="85"/>
      <c r="X146" s="112" t="s">
        <v>84</v>
      </c>
      <c r="AB146" s="184">
        <f>COUNTIFS(Tabell714152021343536373839[[1]:[18]],-1)</f>
        <v>0</v>
      </c>
      <c r="AD146" s="85" t="s">
        <v>34</v>
      </c>
      <c r="AE146" s="185">
        <f>AB146/AB153</f>
        <v>0</v>
      </c>
      <c r="AL146" s="84">
        <v>0</v>
      </c>
      <c r="AM146" s="213">
        <v>0</v>
      </c>
      <c r="AN146" s="213"/>
      <c r="AO146" s="213" t="s">
        <v>34</v>
      </c>
      <c r="AP146" s="214" t="e">
        <v>#DIV/0!</v>
      </c>
      <c r="AQ146" s="213"/>
      <c r="AR146" s="213"/>
      <c r="AS146" s="213"/>
      <c r="AT146" s="213"/>
      <c r="AU146" s="213"/>
    </row>
    <row r="147" spans="2:47" x14ac:dyDescent="0.25">
      <c r="B147" s="110" t="s">
        <v>195</v>
      </c>
      <c r="C147" s="111" t="s">
        <v>13</v>
      </c>
      <c r="D147" s="23">
        <v>4</v>
      </c>
      <c r="E147" s="23">
        <v>2</v>
      </c>
      <c r="F147" s="23">
        <v>4</v>
      </c>
      <c r="G147" s="23">
        <v>2</v>
      </c>
      <c r="H147" s="23">
        <v>1</v>
      </c>
      <c r="I147" s="23">
        <v>3</v>
      </c>
      <c r="J147" s="23">
        <v>3</v>
      </c>
      <c r="K147" s="23">
        <v>1</v>
      </c>
      <c r="L147" s="23">
        <v>3</v>
      </c>
      <c r="M147" s="23">
        <v>3</v>
      </c>
      <c r="N147" s="23">
        <v>1</v>
      </c>
      <c r="O147" s="23">
        <v>2</v>
      </c>
      <c r="P147" s="23">
        <v>5</v>
      </c>
      <c r="Q147" s="23">
        <v>1</v>
      </c>
      <c r="R147" s="23">
        <v>2</v>
      </c>
      <c r="S147" s="23">
        <v>1</v>
      </c>
      <c r="T147" s="23">
        <v>5</v>
      </c>
      <c r="U147" s="23">
        <v>1</v>
      </c>
      <c r="V147" s="113">
        <f t="shared" ref="V147:V156" si="12">SUM(D147:U147)</f>
        <v>44</v>
      </c>
      <c r="W147" s="85"/>
      <c r="X147" s="114">
        <f>72+V147</f>
        <v>116</v>
      </c>
      <c r="AB147" s="184">
        <f>COUNTIFS(Tabell714152021343536373839[[1]:[18]],0)</f>
        <v>3</v>
      </c>
      <c r="AD147" s="85" t="s">
        <v>83</v>
      </c>
      <c r="AE147" s="185">
        <f>AB147/AB153</f>
        <v>1.8633540372670808E-2</v>
      </c>
      <c r="AL147" s="84">
        <v>0</v>
      </c>
      <c r="AM147" s="213">
        <v>0</v>
      </c>
      <c r="AN147" s="213"/>
      <c r="AO147" s="213" t="s">
        <v>83</v>
      </c>
      <c r="AP147" s="214" t="e">
        <v>#DIV/0!</v>
      </c>
      <c r="AQ147" s="213"/>
      <c r="AR147" s="213"/>
      <c r="AS147" s="213"/>
      <c r="AT147" s="213"/>
      <c r="AU147" s="213"/>
    </row>
    <row r="148" spans="2:47" x14ac:dyDescent="0.25">
      <c r="B148" s="110" t="s">
        <v>195</v>
      </c>
      <c r="C148" s="111" t="s">
        <v>13</v>
      </c>
      <c r="D148" s="23">
        <v>5</v>
      </c>
      <c r="E148" s="23">
        <v>0</v>
      </c>
      <c r="F148" s="23">
        <v>4</v>
      </c>
      <c r="G148" s="23">
        <v>5</v>
      </c>
      <c r="H148" s="23">
        <v>2</v>
      </c>
      <c r="I148" s="23">
        <v>2</v>
      </c>
      <c r="J148" s="23">
        <v>4</v>
      </c>
      <c r="K148" s="23">
        <v>1</v>
      </c>
      <c r="L148" s="23">
        <v>2</v>
      </c>
      <c r="M148" s="23">
        <v>2</v>
      </c>
      <c r="N148" s="23">
        <v>2</v>
      </c>
      <c r="O148" s="23">
        <v>5</v>
      </c>
      <c r="P148" s="23">
        <v>2</v>
      </c>
      <c r="Q148" s="23">
        <v>3</v>
      </c>
      <c r="R148" s="23">
        <v>3</v>
      </c>
      <c r="S148" s="23">
        <v>4</v>
      </c>
      <c r="T148" s="23">
        <v>4</v>
      </c>
      <c r="U148" s="23">
        <v>1</v>
      </c>
      <c r="V148" s="113">
        <f t="shared" si="12"/>
        <v>51</v>
      </c>
      <c r="W148" s="85"/>
      <c r="X148" s="114">
        <f>71+V148</f>
        <v>122</v>
      </c>
      <c r="AB148" s="184">
        <f>COUNTIFS(Tabell714152021343536373839[[1]:[18]],1)</f>
        <v>32</v>
      </c>
      <c r="AD148" s="85" t="s">
        <v>131</v>
      </c>
      <c r="AE148" s="185">
        <f>AB148/AB153</f>
        <v>0.19875776397515527</v>
      </c>
      <c r="AL148" s="84">
        <v>0</v>
      </c>
      <c r="AM148" s="213">
        <v>0</v>
      </c>
      <c r="AN148" s="213"/>
      <c r="AO148" s="213" t="s">
        <v>131</v>
      </c>
      <c r="AP148" s="214" t="e">
        <v>#DIV/0!</v>
      </c>
      <c r="AQ148" s="213"/>
      <c r="AR148" s="213"/>
      <c r="AS148" s="213"/>
      <c r="AT148" s="213"/>
      <c r="AU148" s="213"/>
    </row>
    <row r="149" spans="2:47" x14ac:dyDescent="0.25">
      <c r="B149" s="110" t="s">
        <v>195</v>
      </c>
      <c r="C149" s="111" t="s">
        <v>13</v>
      </c>
      <c r="D149" s="23">
        <v>3</v>
      </c>
      <c r="E149" s="23">
        <v>1</v>
      </c>
      <c r="F149" s="23">
        <v>3</v>
      </c>
      <c r="G149" s="23">
        <v>2</v>
      </c>
      <c r="H149" s="23">
        <v>3</v>
      </c>
      <c r="I149" s="23">
        <v>2</v>
      </c>
      <c r="J149" s="23">
        <v>2</v>
      </c>
      <c r="K149" s="23">
        <v>3</v>
      </c>
      <c r="L149" s="23">
        <v>1</v>
      </c>
      <c r="M149" s="23">
        <v>5</v>
      </c>
      <c r="N149" s="23">
        <v>3</v>
      </c>
      <c r="O149" s="23">
        <v>1</v>
      </c>
      <c r="P149" s="23">
        <v>1</v>
      </c>
      <c r="Q149" s="23">
        <v>7</v>
      </c>
      <c r="R149" s="23">
        <v>1</v>
      </c>
      <c r="S149" s="23">
        <v>3</v>
      </c>
      <c r="T149" s="23">
        <v>2</v>
      </c>
      <c r="U149" s="23">
        <v>1</v>
      </c>
      <c r="V149" s="113">
        <f t="shared" si="12"/>
        <v>44</v>
      </c>
      <c r="W149" s="85"/>
      <c r="X149" s="114">
        <f>72+V149</f>
        <v>116</v>
      </c>
      <c r="AB149" s="184">
        <f>COUNTIFS(Tabell714152021343536373839[[1]:[18]],2)</f>
        <v>45</v>
      </c>
      <c r="AD149" s="85" t="s">
        <v>132</v>
      </c>
      <c r="AE149" s="185">
        <f>AB149/AB153</f>
        <v>0.27950310559006208</v>
      </c>
      <c r="AL149" s="84">
        <v>0</v>
      </c>
      <c r="AM149" s="213">
        <v>0</v>
      </c>
      <c r="AN149" s="213"/>
      <c r="AO149" s="213" t="s">
        <v>132</v>
      </c>
      <c r="AP149" s="214" t="e">
        <v>#DIV/0!</v>
      </c>
      <c r="AQ149" s="213"/>
      <c r="AR149" s="213"/>
      <c r="AS149" s="213"/>
      <c r="AT149" s="213"/>
      <c r="AU149" s="213"/>
    </row>
    <row r="150" spans="2:47" x14ac:dyDescent="0.25">
      <c r="B150" s="110" t="s">
        <v>195</v>
      </c>
      <c r="C150" s="111" t="s">
        <v>13</v>
      </c>
      <c r="D150" s="23">
        <v>1</v>
      </c>
      <c r="E150" s="23">
        <v>3</v>
      </c>
      <c r="F150" s="23">
        <v>2</v>
      </c>
      <c r="G150" s="23">
        <v>4</v>
      </c>
      <c r="H150" s="23">
        <v>5</v>
      </c>
      <c r="I150" s="23">
        <v>0</v>
      </c>
      <c r="J150" s="23">
        <v>1</v>
      </c>
      <c r="K150" s="23">
        <v>5</v>
      </c>
      <c r="L150" s="23">
        <v>4</v>
      </c>
      <c r="M150" s="23">
        <v>2</v>
      </c>
      <c r="N150" s="23">
        <v>1</v>
      </c>
      <c r="O150" s="23">
        <v>2</v>
      </c>
      <c r="P150" s="23">
        <v>1</v>
      </c>
      <c r="Q150" s="23">
        <v>4</v>
      </c>
      <c r="R150" s="23">
        <v>2</v>
      </c>
      <c r="S150" s="23">
        <v>4</v>
      </c>
      <c r="T150" s="23">
        <v>2</v>
      </c>
      <c r="U150" s="23">
        <v>4</v>
      </c>
      <c r="V150" s="113">
        <f t="shared" si="12"/>
        <v>47</v>
      </c>
      <c r="W150" s="85"/>
      <c r="X150" s="114">
        <f>72+V150</f>
        <v>119</v>
      </c>
      <c r="AB150" s="184">
        <f>COUNTIFS(Tabell714152021343536373839[[1]:[18]],3)</f>
        <v>38</v>
      </c>
      <c r="AD150" s="85" t="s">
        <v>133</v>
      </c>
      <c r="AE150" s="185">
        <f>AB150/AB153</f>
        <v>0.2360248447204969</v>
      </c>
      <c r="AL150" s="84">
        <v>0</v>
      </c>
      <c r="AM150" s="213">
        <v>0</v>
      </c>
      <c r="AN150" s="213"/>
      <c r="AO150" s="213" t="s">
        <v>133</v>
      </c>
      <c r="AP150" s="214" t="e">
        <v>#DIV/0!</v>
      </c>
      <c r="AQ150" s="213"/>
      <c r="AR150" s="213"/>
      <c r="AS150" s="213"/>
      <c r="AT150" s="213"/>
      <c r="AU150" s="213"/>
    </row>
    <row r="151" spans="2:47" x14ac:dyDescent="0.25">
      <c r="B151" s="110" t="s">
        <v>195</v>
      </c>
      <c r="C151" s="111" t="s">
        <v>13</v>
      </c>
      <c r="D151" s="23">
        <v>3</v>
      </c>
      <c r="E151" s="23">
        <v>2</v>
      </c>
      <c r="F151" s="23">
        <v>4</v>
      </c>
      <c r="G151" s="23">
        <v>1</v>
      </c>
      <c r="H151" s="23">
        <v>5</v>
      </c>
      <c r="I151" s="23">
        <v>3</v>
      </c>
      <c r="J151" s="23">
        <v>2</v>
      </c>
      <c r="K151" s="23">
        <v>2</v>
      </c>
      <c r="L151" s="23">
        <v>3</v>
      </c>
      <c r="M151" s="23">
        <v>1</v>
      </c>
      <c r="N151" s="23">
        <v>2</v>
      </c>
      <c r="O151" s="23">
        <v>3</v>
      </c>
      <c r="P151" s="23">
        <v>2</v>
      </c>
      <c r="Q151" s="23">
        <v>2</v>
      </c>
      <c r="R151" s="23">
        <v>1</v>
      </c>
      <c r="S151" s="23">
        <v>5</v>
      </c>
      <c r="T151" s="23">
        <v>1</v>
      </c>
      <c r="U151" s="23">
        <v>2</v>
      </c>
      <c r="V151" s="113">
        <f t="shared" si="12"/>
        <v>44</v>
      </c>
      <c r="W151" s="85"/>
      <c r="X151" s="114">
        <f>70+V151</f>
        <v>114</v>
      </c>
      <c r="AB151" s="184">
        <f>COUNTIFS(Tabell714152021343536373839[[1]:[18]],4)</f>
        <v>18</v>
      </c>
      <c r="AD151" s="85" t="s">
        <v>134</v>
      </c>
      <c r="AE151" s="185">
        <f>AB151/AB153</f>
        <v>0.11180124223602485</v>
      </c>
      <c r="AL151" s="84">
        <v>0</v>
      </c>
      <c r="AM151" s="213">
        <v>0</v>
      </c>
      <c r="AN151" s="213"/>
      <c r="AO151" s="213" t="s">
        <v>134</v>
      </c>
      <c r="AP151" s="214" t="e">
        <v>#DIV/0!</v>
      </c>
      <c r="AQ151" s="213"/>
      <c r="AR151" s="213"/>
      <c r="AS151" s="213"/>
      <c r="AT151" s="213"/>
      <c r="AU151" s="213"/>
    </row>
    <row r="152" spans="2:47" x14ac:dyDescent="0.25">
      <c r="B152" s="110" t="s">
        <v>195</v>
      </c>
      <c r="C152" s="111" t="s">
        <v>13</v>
      </c>
      <c r="D152" s="23">
        <v>2</v>
      </c>
      <c r="E152" s="23">
        <v>3</v>
      </c>
      <c r="F152" s="23">
        <v>1</v>
      </c>
      <c r="G152" s="23">
        <v>4</v>
      </c>
      <c r="H152" s="23">
        <v>2</v>
      </c>
      <c r="I152" s="23">
        <v>2</v>
      </c>
      <c r="J152" s="23">
        <v>2</v>
      </c>
      <c r="K152" s="23">
        <v>2</v>
      </c>
      <c r="L152" s="23">
        <v>3</v>
      </c>
      <c r="M152" s="23">
        <v>1</v>
      </c>
      <c r="N152" s="23">
        <v>4</v>
      </c>
      <c r="O152" s="23">
        <v>3</v>
      </c>
      <c r="P152" s="23">
        <v>1</v>
      </c>
      <c r="Q152" s="23">
        <v>2</v>
      </c>
      <c r="R152" s="23">
        <v>3</v>
      </c>
      <c r="S152" s="23">
        <v>3</v>
      </c>
      <c r="T152" s="23">
        <v>4</v>
      </c>
      <c r="U152" s="23">
        <v>1</v>
      </c>
      <c r="V152" s="113">
        <f t="shared" si="12"/>
        <v>43</v>
      </c>
      <c r="W152" s="85"/>
      <c r="X152" s="114">
        <f>72+V152</f>
        <v>115</v>
      </c>
      <c r="AB152" s="184">
        <f>COUNTIFS(Tabell714152021343536373839[[1]:[18]],5)</f>
        <v>25</v>
      </c>
      <c r="AD152" s="85" t="s">
        <v>135</v>
      </c>
      <c r="AE152" s="185">
        <f>AB152/AB153</f>
        <v>0.15527950310559005</v>
      </c>
      <c r="AL152" s="84">
        <v>0</v>
      </c>
      <c r="AM152" s="213">
        <v>0</v>
      </c>
      <c r="AN152" s="213"/>
      <c r="AO152" s="213" t="s">
        <v>135</v>
      </c>
      <c r="AP152" s="214" t="e">
        <v>#DIV/0!</v>
      </c>
      <c r="AQ152" s="213"/>
      <c r="AR152" s="213"/>
      <c r="AS152" s="213"/>
      <c r="AT152" s="213"/>
      <c r="AU152" s="213"/>
    </row>
    <row r="153" spans="2:47" x14ac:dyDescent="0.25">
      <c r="B153" s="110" t="s">
        <v>195</v>
      </c>
      <c r="C153" s="111" t="s">
        <v>13</v>
      </c>
      <c r="D153" s="23">
        <v>3</v>
      </c>
      <c r="E153" s="23">
        <v>2</v>
      </c>
      <c r="F153" s="23">
        <v>3</v>
      </c>
      <c r="G153" s="23">
        <v>3</v>
      </c>
      <c r="H153" s="23">
        <v>5</v>
      </c>
      <c r="I153" s="23">
        <v>1</v>
      </c>
      <c r="J153" s="23">
        <v>2</v>
      </c>
      <c r="K153" s="23">
        <v>3</v>
      </c>
      <c r="L153" s="23">
        <v>2</v>
      </c>
      <c r="M153" s="23">
        <v>3</v>
      </c>
      <c r="N153" s="23">
        <v>5</v>
      </c>
      <c r="O153" s="23">
        <v>3</v>
      </c>
      <c r="P153" s="23">
        <v>2</v>
      </c>
      <c r="Q153" s="23">
        <v>5</v>
      </c>
      <c r="R153" s="23">
        <v>2</v>
      </c>
      <c r="S153" s="23">
        <v>4</v>
      </c>
      <c r="T153" s="23">
        <v>5</v>
      </c>
      <c r="U153" s="23">
        <v>5</v>
      </c>
      <c r="V153" s="113">
        <f t="shared" si="12"/>
        <v>58</v>
      </c>
      <c r="W153" s="85"/>
      <c r="X153" s="114">
        <f>72+V153</f>
        <v>130</v>
      </c>
      <c r="AB153" s="97">
        <f>SUM(AB146:AB152)</f>
        <v>161</v>
      </c>
      <c r="AL153" s="84">
        <v>0</v>
      </c>
      <c r="AM153" s="213">
        <v>0</v>
      </c>
      <c r="AN153" s="213"/>
      <c r="AO153" s="213"/>
      <c r="AP153" s="213"/>
      <c r="AQ153" s="213"/>
      <c r="AR153" s="213"/>
      <c r="AS153" s="213"/>
      <c r="AT153" s="213"/>
      <c r="AU153" s="213"/>
    </row>
    <row r="154" spans="2:47" x14ac:dyDescent="0.25">
      <c r="B154" s="110" t="s">
        <v>195</v>
      </c>
      <c r="C154" s="111" t="s">
        <v>13</v>
      </c>
      <c r="D154" s="23">
        <v>2</v>
      </c>
      <c r="E154" s="23">
        <v>2</v>
      </c>
      <c r="F154" s="23">
        <v>3</v>
      </c>
      <c r="G154" s="23">
        <v>3</v>
      </c>
      <c r="H154" s="23">
        <v>3</v>
      </c>
      <c r="I154" s="23">
        <v>2</v>
      </c>
      <c r="J154" s="23">
        <v>3</v>
      </c>
      <c r="K154" s="23">
        <v>1</v>
      </c>
      <c r="L154" s="23">
        <v>5</v>
      </c>
      <c r="M154" s="23">
        <v>5</v>
      </c>
      <c r="N154" s="23">
        <v>2</v>
      </c>
      <c r="O154" s="23">
        <v>1</v>
      </c>
      <c r="P154" s="23">
        <v>5</v>
      </c>
      <c r="Q154" s="23">
        <v>5</v>
      </c>
      <c r="R154" s="23">
        <v>2</v>
      </c>
      <c r="S154" s="23">
        <v>1</v>
      </c>
      <c r="T154" s="23">
        <v>2</v>
      </c>
      <c r="U154" s="23">
        <v>5</v>
      </c>
      <c r="V154" s="113">
        <f t="shared" si="12"/>
        <v>52</v>
      </c>
      <c r="W154" s="85"/>
      <c r="X154" s="114">
        <f>70+V154</f>
        <v>122</v>
      </c>
      <c r="AM154" s="213"/>
      <c r="AN154" s="213"/>
      <c r="AO154" s="213"/>
      <c r="AP154" s="213"/>
      <c r="AQ154" s="213"/>
      <c r="AR154" s="213"/>
      <c r="AS154" s="213"/>
      <c r="AT154" s="213"/>
      <c r="AU154" s="213"/>
    </row>
    <row r="155" spans="2:47" x14ac:dyDescent="0.25">
      <c r="B155" s="110" t="s">
        <v>195</v>
      </c>
      <c r="C155" s="111" t="s">
        <v>13</v>
      </c>
      <c r="D155" s="23">
        <v>3</v>
      </c>
      <c r="E155" s="23">
        <v>1</v>
      </c>
      <c r="F155" s="23">
        <v>5</v>
      </c>
      <c r="G155" s="23">
        <v>5</v>
      </c>
      <c r="H155" s="23">
        <v>5</v>
      </c>
      <c r="I155" s="23">
        <v>2</v>
      </c>
      <c r="J155" s="23">
        <v>3</v>
      </c>
      <c r="K155" s="23">
        <v>3</v>
      </c>
      <c r="L155" s="23">
        <v>4</v>
      </c>
      <c r="M155" s="23">
        <v>2</v>
      </c>
      <c r="N155" s="23">
        <v>3</v>
      </c>
      <c r="O155" s="23">
        <v>5</v>
      </c>
      <c r="P155" s="23">
        <v>3</v>
      </c>
      <c r="Q155" s="23">
        <v>5</v>
      </c>
      <c r="R155" s="23">
        <v>0</v>
      </c>
      <c r="S155" s="23">
        <v>3</v>
      </c>
      <c r="T155" s="23">
        <v>4</v>
      </c>
      <c r="U155" s="23">
        <v>1</v>
      </c>
      <c r="V155" s="113">
        <f t="shared" si="12"/>
        <v>57</v>
      </c>
      <c r="X155" s="114">
        <f>74+V155</f>
        <v>131</v>
      </c>
      <c r="AM155" s="213"/>
      <c r="AN155" s="213"/>
      <c r="AO155" s="213"/>
      <c r="AP155" s="213"/>
      <c r="AQ155" s="213"/>
      <c r="AR155" s="213"/>
      <c r="AS155" s="213"/>
      <c r="AT155" s="213"/>
      <c r="AU155" s="213"/>
    </row>
    <row r="156" spans="2:47" x14ac:dyDescent="0.25">
      <c r="B156" s="110" t="s">
        <v>195</v>
      </c>
      <c r="C156" s="111" t="s">
        <v>13</v>
      </c>
      <c r="D156" s="23">
        <v>10</v>
      </c>
      <c r="E156" s="23">
        <v>10</v>
      </c>
      <c r="F156" s="23">
        <v>10</v>
      </c>
      <c r="G156" s="23">
        <v>10</v>
      </c>
      <c r="H156" s="23">
        <v>10</v>
      </c>
      <c r="I156" s="23">
        <v>10</v>
      </c>
      <c r="J156" s="23">
        <v>10</v>
      </c>
      <c r="K156" s="23">
        <v>10</v>
      </c>
      <c r="L156" s="23">
        <v>10</v>
      </c>
      <c r="M156" s="23">
        <v>10</v>
      </c>
      <c r="N156" s="23">
        <v>10</v>
      </c>
      <c r="O156" s="23">
        <v>10</v>
      </c>
      <c r="P156" s="23">
        <v>10</v>
      </c>
      <c r="Q156" s="23">
        <v>10</v>
      </c>
      <c r="R156" s="23">
        <v>10</v>
      </c>
      <c r="S156" s="23">
        <v>10</v>
      </c>
      <c r="T156" s="23">
        <v>10</v>
      </c>
      <c r="U156" s="23">
        <v>10</v>
      </c>
      <c r="V156" s="115">
        <f t="shared" si="12"/>
        <v>180</v>
      </c>
      <c r="W156" s="85"/>
      <c r="X156" s="116">
        <f>74+V156</f>
        <v>254</v>
      </c>
      <c r="AM156" s="213"/>
      <c r="AN156" s="213"/>
      <c r="AO156" s="213"/>
      <c r="AP156" s="213"/>
      <c r="AQ156" s="213"/>
      <c r="AR156" s="213"/>
      <c r="AS156" s="213"/>
      <c r="AT156" s="213"/>
      <c r="AU156" s="213"/>
    </row>
    <row r="157" spans="2:47" x14ac:dyDescent="0.25">
      <c r="W157" s="85"/>
      <c r="AM157" s="213"/>
      <c r="AN157" s="213"/>
      <c r="AO157" s="213"/>
      <c r="AP157" s="213"/>
      <c r="AQ157" s="213"/>
      <c r="AR157" s="213"/>
      <c r="AS157" s="213"/>
      <c r="AT157" s="213"/>
      <c r="AU157" s="213"/>
    </row>
    <row r="158" spans="2:47" x14ac:dyDescent="0.25">
      <c r="B158" s="9" t="s">
        <v>20</v>
      </c>
      <c r="C158" s="10" t="s">
        <v>21</v>
      </c>
      <c r="D158" s="29" t="s">
        <v>22</v>
      </c>
      <c r="E158" s="29" t="s">
        <v>23</v>
      </c>
      <c r="F158" s="29" t="s">
        <v>24</v>
      </c>
      <c r="G158" s="29" t="s">
        <v>25</v>
      </c>
      <c r="H158" s="29" t="s">
        <v>26</v>
      </c>
      <c r="I158" s="29" t="s">
        <v>27</v>
      </c>
      <c r="J158" s="29" t="s">
        <v>28</v>
      </c>
      <c r="K158" s="29" t="s">
        <v>29</v>
      </c>
      <c r="L158" s="29" t="s">
        <v>30</v>
      </c>
      <c r="M158" s="29" t="s">
        <v>72</v>
      </c>
      <c r="N158" s="29" t="s">
        <v>73</v>
      </c>
      <c r="O158" s="29" t="s">
        <v>74</v>
      </c>
      <c r="P158" s="29" t="s">
        <v>75</v>
      </c>
      <c r="Q158" s="29" t="s">
        <v>76</v>
      </c>
      <c r="R158" s="29" t="s">
        <v>77</v>
      </c>
      <c r="S158" s="29" t="s">
        <v>78</v>
      </c>
      <c r="T158" s="29" t="s">
        <v>79</v>
      </c>
      <c r="U158" s="29" t="s">
        <v>80</v>
      </c>
      <c r="V158" s="92" t="s">
        <v>39</v>
      </c>
      <c r="W158" s="85"/>
      <c r="X158" s="112" t="s">
        <v>84</v>
      </c>
      <c r="AB158" s="184">
        <f>COUNTIFS(Tabell71415202134353637383940[[1]:[18]],-1)</f>
        <v>4</v>
      </c>
      <c r="AD158" s="85" t="s">
        <v>34</v>
      </c>
      <c r="AE158" s="185">
        <f>AB158/AB165</f>
        <v>2.4691358024691357E-2</v>
      </c>
      <c r="AL158" s="84">
        <v>6</v>
      </c>
      <c r="AM158" s="213">
        <v>6</v>
      </c>
      <c r="AN158" s="213"/>
      <c r="AO158" s="213" t="s">
        <v>34</v>
      </c>
      <c r="AP158" s="214">
        <v>3.7037037037037035E-2</v>
      </c>
      <c r="AQ158" s="213"/>
      <c r="AR158" s="213"/>
      <c r="AS158" s="213"/>
      <c r="AT158" s="213"/>
      <c r="AU158" s="213"/>
    </row>
    <row r="159" spans="2:47" x14ac:dyDescent="0.25">
      <c r="B159" s="110" t="s">
        <v>2</v>
      </c>
      <c r="C159" s="111" t="s">
        <v>3</v>
      </c>
      <c r="D159" s="23">
        <v>2</v>
      </c>
      <c r="E159" s="23">
        <v>2</v>
      </c>
      <c r="F159" s="23">
        <v>0</v>
      </c>
      <c r="G159" s="23">
        <v>0</v>
      </c>
      <c r="H159" s="23">
        <v>0</v>
      </c>
      <c r="I159" s="23">
        <v>2</v>
      </c>
      <c r="J159" s="23">
        <v>0</v>
      </c>
      <c r="K159" s="23">
        <v>1</v>
      </c>
      <c r="L159" s="23">
        <v>2</v>
      </c>
      <c r="M159" s="23">
        <v>1</v>
      </c>
      <c r="N159" s="23">
        <v>1</v>
      </c>
      <c r="O159" s="23">
        <v>2</v>
      </c>
      <c r="P159" s="23">
        <v>2</v>
      </c>
      <c r="Q159" s="23">
        <v>0</v>
      </c>
      <c r="R159" s="23">
        <v>2</v>
      </c>
      <c r="S159" s="23">
        <v>0</v>
      </c>
      <c r="T159" s="23">
        <v>1</v>
      </c>
      <c r="U159" s="23">
        <v>-1</v>
      </c>
      <c r="V159" s="113">
        <f t="shared" ref="V159:V168" si="13">SUM(D159:U159)</f>
        <v>17</v>
      </c>
      <c r="W159" s="85"/>
      <c r="X159" s="114">
        <f>72+V159</f>
        <v>89</v>
      </c>
      <c r="AB159" s="184">
        <f>COUNTIFS(Tabell71415202134353637383940[[1]:[18]],0)</f>
        <v>44</v>
      </c>
      <c r="AD159" s="85" t="s">
        <v>83</v>
      </c>
      <c r="AE159" s="185">
        <f>AB159/AB165</f>
        <v>0.27160493827160492</v>
      </c>
      <c r="AL159" s="84">
        <v>51</v>
      </c>
      <c r="AM159" s="213">
        <v>51</v>
      </c>
      <c r="AN159" s="213"/>
      <c r="AO159" s="213" t="s">
        <v>83</v>
      </c>
      <c r="AP159" s="214">
        <v>0.31481481481481483</v>
      </c>
      <c r="AQ159" s="213"/>
      <c r="AR159" s="213"/>
      <c r="AS159" s="213"/>
      <c r="AT159" s="213"/>
      <c r="AU159" s="213"/>
    </row>
    <row r="160" spans="2:47" x14ac:dyDescent="0.25">
      <c r="B160" s="110" t="s">
        <v>2</v>
      </c>
      <c r="C160" s="111" t="s">
        <v>3</v>
      </c>
      <c r="D160" s="23">
        <v>3</v>
      </c>
      <c r="E160" s="23">
        <v>0</v>
      </c>
      <c r="F160" s="23">
        <v>1</v>
      </c>
      <c r="G160" s="23">
        <v>1</v>
      </c>
      <c r="H160" s="23">
        <v>1</v>
      </c>
      <c r="I160" s="23">
        <v>2</v>
      </c>
      <c r="J160" s="23">
        <v>1</v>
      </c>
      <c r="K160" s="23">
        <v>1</v>
      </c>
      <c r="L160" s="23">
        <v>1</v>
      </c>
      <c r="M160" s="23">
        <v>1</v>
      </c>
      <c r="N160" s="23">
        <v>1</v>
      </c>
      <c r="O160" s="23">
        <v>1</v>
      </c>
      <c r="P160" s="23">
        <v>2</v>
      </c>
      <c r="Q160" s="23">
        <v>1</v>
      </c>
      <c r="R160" s="23">
        <v>2</v>
      </c>
      <c r="S160" s="23">
        <v>1</v>
      </c>
      <c r="T160" s="23">
        <v>1</v>
      </c>
      <c r="U160" s="23">
        <v>2</v>
      </c>
      <c r="V160" s="113">
        <f t="shared" si="13"/>
        <v>23</v>
      </c>
      <c r="W160" s="85"/>
      <c r="X160" s="114">
        <f>70+V160</f>
        <v>93</v>
      </c>
      <c r="AB160" s="184">
        <f>COUNTIFS(Tabell71415202134353637383940[[1]:[18]],1)</f>
        <v>73</v>
      </c>
      <c r="AD160" s="85" t="s">
        <v>131</v>
      </c>
      <c r="AE160" s="185">
        <f>AB160/AB165</f>
        <v>0.45061728395061729</v>
      </c>
      <c r="AL160" s="84">
        <v>65</v>
      </c>
      <c r="AM160" s="213">
        <v>65</v>
      </c>
      <c r="AN160" s="213"/>
      <c r="AO160" s="213" t="s">
        <v>131</v>
      </c>
      <c r="AP160" s="214">
        <v>0.40123456790123457</v>
      </c>
      <c r="AQ160" s="213"/>
      <c r="AR160" s="213"/>
      <c r="AS160" s="213"/>
      <c r="AT160" s="213"/>
      <c r="AU160" s="213"/>
    </row>
    <row r="161" spans="2:47" x14ac:dyDescent="0.25">
      <c r="B161" s="110" t="s">
        <v>2</v>
      </c>
      <c r="C161" s="111" t="s">
        <v>3</v>
      </c>
      <c r="D161" s="23">
        <v>1</v>
      </c>
      <c r="E161" s="23">
        <v>-1</v>
      </c>
      <c r="F161" s="23">
        <v>1</v>
      </c>
      <c r="G161" s="23">
        <v>1</v>
      </c>
      <c r="H161" s="23">
        <v>0</v>
      </c>
      <c r="I161" s="23">
        <v>1</v>
      </c>
      <c r="J161" s="23">
        <v>0</v>
      </c>
      <c r="K161" s="23">
        <v>1</v>
      </c>
      <c r="L161" s="23">
        <v>1</v>
      </c>
      <c r="M161" s="23">
        <v>1</v>
      </c>
      <c r="N161" s="23">
        <v>1</v>
      </c>
      <c r="O161" s="23">
        <v>0</v>
      </c>
      <c r="P161" s="23">
        <v>1</v>
      </c>
      <c r="Q161" s="23">
        <v>1</v>
      </c>
      <c r="R161" s="23">
        <v>0</v>
      </c>
      <c r="S161" s="23">
        <v>0</v>
      </c>
      <c r="T161" s="23">
        <v>0</v>
      </c>
      <c r="U161" s="23">
        <v>0</v>
      </c>
      <c r="V161" s="113">
        <f t="shared" si="13"/>
        <v>9</v>
      </c>
      <c r="W161" s="85"/>
      <c r="X161" s="114">
        <f t="shared" ref="X161:X167" si="14">70+V161</f>
        <v>79</v>
      </c>
      <c r="AB161" s="184">
        <f>COUNTIFS(Tabell71415202134353637383940[[1]:[18]],2)</f>
        <v>35</v>
      </c>
      <c r="AD161" s="85" t="s">
        <v>132</v>
      </c>
      <c r="AE161" s="185">
        <f>AB161/AB165</f>
        <v>0.21604938271604937</v>
      </c>
      <c r="AL161" s="84">
        <v>32</v>
      </c>
      <c r="AM161" s="213">
        <v>32</v>
      </c>
      <c r="AN161" s="213"/>
      <c r="AO161" s="213" t="s">
        <v>132</v>
      </c>
      <c r="AP161" s="214">
        <v>0.19753086419753085</v>
      </c>
      <c r="AQ161" s="213"/>
      <c r="AR161" s="213"/>
      <c r="AS161" s="213"/>
      <c r="AT161" s="213"/>
      <c r="AU161" s="213"/>
    </row>
    <row r="162" spans="2:47" x14ac:dyDescent="0.25">
      <c r="B162" s="110" t="s">
        <v>2</v>
      </c>
      <c r="C162" s="111" t="s">
        <v>3</v>
      </c>
      <c r="D162" s="23">
        <v>2</v>
      </c>
      <c r="E162" s="23">
        <v>0</v>
      </c>
      <c r="F162" s="23">
        <v>1</v>
      </c>
      <c r="G162" s="23">
        <v>0</v>
      </c>
      <c r="H162" s="23">
        <v>3</v>
      </c>
      <c r="I162" s="23">
        <v>0</v>
      </c>
      <c r="J162" s="23">
        <v>1</v>
      </c>
      <c r="K162" s="23">
        <v>2</v>
      </c>
      <c r="L162" s="23">
        <v>0</v>
      </c>
      <c r="M162" s="23">
        <v>1</v>
      </c>
      <c r="N162" s="23">
        <v>0</v>
      </c>
      <c r="O162" s="23">
        <v>1</v>
      </c>
      <c r="P162" s="23">
        <v>0</v>
      </c>
      <c r="Q162" s="23">
        <v>1</v>
      </c>
      <c r="R162" s="23">
        <v>1</v>
      </c>
      <c r="S162" s="23">
        <v>1</v>
      </c>
      <c r="T162" s="23">
        <v>1</v>
      </c>
      <c r="U162" s="23">
        <v>0</v>
      </c>
      <c r="V162" s="113">
        <f t="shared" si="13"/>
        <v>15</v>
      </c>
      <c r="W162" s="85"/>
      <c r="X162" s="114">
        <f>71+V162</f>
        <v>86</v>
      </c>
      <c r="AB162" s="184">
        <f>COUNTIFS(Tabell71415202134353637383940[[1]:[18]],3)</f>
        <v>4</v>
      </c>
      <c r="AD162" s="85" t="s">
        <v>133</v>
      </c>
      <c r="AE162" s="185">
        <f>AB162/AB165</f>
        <v>2.4691358024691357E-2</v>
      </c>
      <c r="AL162" s="84">
        <v>5</v>
      </c>
      <c r="AM162" s="213">
        <v>5</v>
      </c>
      <c r="AN162" s="213"/>
      <c r="AO162" s="213" t="s">
        <v>133</v>
      </c>
      <c r="AP162" s="214">
        <v>3.0864197530864196E-2</v>
      </c>
      <c r="AQ162" s="213"/>
      <c r="AR162" s="213"/>
      <c r="AS162" s="213"/>
      <c r="AT162" s="213"/>
      <c r="AU162" s="213"/>
    </row>
    <row r="163" spans="2:47" x14ac:dyDescent="0.25">
      <c r="B163" s="110" t="s">
        <v>2</v>
      </c>
      <c r="C163" s="111" t="s">
        <v>3</v>
      </c>
      <c r="D163" s="23">
        <v>4</v>
      </c>
      <c r="E163" s="23">
        <v>0</v>
      </c>
      <c r="F163" s="23">
        <v>1</v>
      </c>
      <c r="G163" s="23">
        <v>1</v>
      </c>
      <c r="H163" s="23">
        <v>2</v>
      </c>
      <c r="I163" s="23">
        <v>0</v>
      </c>
      <c r="J163" s="23">
        <v>1</v>
      </c>
      <c r="K163" s="23">
        <v>2</v>
      </c>
      <c r="L163" s="23">
        <v>1</v>
      </c>
      <c r="M163" s="23">
        <v>-1</v>
      </c>
      <c r="N163" s="23">
        <v>1</v>
      </c>
      <c r="O163" s="23">
        <v>1</v>
      </c>
      <c r="P163" s="23">
        <v>1</v>
      </c>
      <c r="Q163" s="23">
        <v>1</v>
      </c>
      <c r="R163" s="23">
        <v>1</v>
      </c>
      <c r="S163" s="23">
        <v>0</v>
      </c>
      <c r="T163" s="23">
        <v>2</v>
      </c>
      <c r="U163" s="23">
        <v>0</v>
      </c>
      <c r="V163" s="113">
        <f>SUM(D163:U163)</f>
        <v>18</v>
      </c>
      <c r="W163" s="85"/>
      <c r="X163" s="114">
        <f>71+V163</f>
        <v>89</v>
      </c>
      <c r="AB163" s="184">
        <f>COUNTIFS(Tabell71415202134353637383940[[1]:[18]],4)</f>
        <v>2</v>
      </c>
      <c r="AD163" s="85" t="s">
        <v>134</v>
      </c>
      <c r="AE163" s="185">
        <f>AB163/AB165</f>
        <v>1.2345679012345678E-2</v>
      </c>
      <c r="AL163" s="84">
        <v>2</v>
      </c>
      <c r="AM163" s="213">
        <v>2</v>
      </c>
      <c r="AN163" s="213"/>
      <c r="AO163" s="213" t="s">
        <v>134</v>
      </c>
      <c r="AP163" s="214">
        <v>1.2345679012345678E-2</v>
      </c>
      <c r="AQ163" s="213"/>
      <c r="AR163" s="213"/>
      <c r="AS163" s="213"/>
      <c r="AT163" s="213"/>
      <c r="AU163" s="213"/>
    </row>
    <row r="164" spans="2:47" x14ac:dyDescent="0.25">
      <c r="B164" s="110" t="s">
        <v>2</v>
      </c>
      <c r="C164" s="111" t="s">
        <v>3</v>
      </c>
      <c r="D164" s="23">
        <v>1</v>
      </c>
      <c r="E164" s="23">
        <v>1</v>
      </c>
      <c r="F164" s="23">
        <v>0</v>
      </c>
      <c r="G164" s="23">
        <v>1</v>
      </c>
      <c r="H164" s="23">
        <v>1</v>
      </c>
      <c r="I164" s="23">
        <v>1</v>
      </c>
      <c r="J164" s="23">
        <v>2</v>
      </c>
      <c r="K164" s="23">
        <v>3</v>
      </c>
      <c r="L164" s="23">
        <v>1</v>
      </c>
      <c r="M164" s="23">
        <v>1</v>
      </c>
      <c r="N164" s="23">
        <v>1</v>
      </c>
      <c r="O164" s="23">
        <v>1</v>
      </c>
      <c r="P164" s="23">
        <v>1</v>
      </c>
      <c r="Q164" s="23">
        <v>1</v>
      </c>
      <c r="R164" s="23">
        <v>2</v>
      </c>
      <c r="S164" s="23">
        <v>1</v>
      </c>
      <c r="T164" s="23">
        <v>1</v>
      </c>
      <c r="U164" s="23">
        <v>2</v>
      </c>
      <c r="V164" s="113">
        <f t="shared" si="13"/>
        <v>22</v>
      </c>
      <c r="W164" s="85"/>
      <c r="X164" s="114">
        <f t="shared" si="14"/>
        <v>92</v>
      </c>
      <c r="AB164" s="184">
        <f>COUNTIFS(Tabell71415202134353637383940[[1]:[18]],5)</f>
        <v>0</v>
      </c>
      <c r="AD164" s="85" t="s">
        <v>135</v>
      </c>
      <c r="AE164" s="185">
        <f>AB164/AB165</f>
        <v>0</v>
      </c>
      <c r="AL164" s="84">
        <v>1</v>
      </c>
      <c r="AM164" s="213">
        <v>1</v>
      </c>
      <c r="AN164" s="213"/>
      <c r="AO164" s="213" t="s">
        <v>135</v>
      </c>
      <c r="AP164" s="214">
        <v>6.1728395061728392E-3</v>
      </c>
      <c r="AQ164" s="213"/>
      <c r="AR164" s="213"/>
      <c r="AS164" s="213"/>
      <c r="AT164" s="213"/>
      <c r="AU164" s="213"/>
    </row>
    <row r="165" spans="2:47" x14ac:dyDescent="0.25">
      <c r="B165" s="110" t="s">
        <v>2</v>
      </c>
      <c r="C165" s="111" t="s">
        <v>3</v>
      </c>
      <c r="D165" s="23">
        <v>0</v>
      </c>
      <c r="E165" s="23">
        <v>2</v>
      </c>
      <c r="F165" s="23">
        <v>0</v>
      </c>
      <c r="G165" s="23">
        <v>2</v>
      </c>
      <c r="H165" s="23">
        <v>2</v>
      </c>
      <c r="I165" s="23">
        <v>0</v>
      </c>
      <c r="J165" s="23">
        <v>1</v>
      </c>
      <c r="K165" s="23">
        <v>1</v>
      </c>
      <c r="L165" s="23">
        <v>2</v>
      </c>
      <c r="M165" s="23">
        <v>0</v>
      </c>
      <c r="N165" s="23">
        <v>1</v>
      </c>
      <c r="O165" s="23">
        <v>2</v>
      </c>
      <c r="P165" s="23">
        <v>1</v>
      </c>
      <c r="Q165" s="23">
        <v>2</v>
      </c>
      <c r="R165" s="23">
        <v>0</v>
      </c>
      <c r="S165" s="23">
        <v>3</v>
      </c>
      <c r="T165" s="23">
        <v>1</v>
      </c>
      <c r="U165" s="23">
        <v>1</v>
      </c>
      <c r="V165" s="113">
        <f>SUM(D165:U165)</f>
        <v>21</v>
      </c>
      <c r="W165" s="85"/>
      <c r="X165" s="114">
        <f>72+V165</f>
        <v>93</v>
      </c>
      <c r="AB165" s="97">
        <f>SUM(AB158:AB164)</f>
        <v>162</v>
      </c>
      <c r="AL165" s="84">
        <v>162</v>
      </c>
      <c r="AM165" s="213">
        <v>162</v>
      </c>
      <c r="AN165" s="213"/>
      <c r="AO165" s="213"/>
      <c r="AP165" s="213"/>
      <c r="AQ165" s="213"/>
      <c r="AR165" s="213"/>
      <c r="AS165" s="213"/>
      <c r="AT165" s="213"/>
      <c r="AU165" s="213"/>
    </row>
    <row r="166" spans="2:47" x14ac:dyDescent="0.25">
      <c r="B166" s="110" t="s">
        <v>2</v>
      </c>
      <c r="C166" s="111" t="s">
        <v>3</v>
      </c>
      <c r="D166" s="23">
        <v>1</v>
      </c>
      <c r="E166" s="23">
        <v>-1</v>
      </c>
      <c r="F166" s="23">
        <v>1</v>
      </c>
      <c r="G166" s="23">
        <v>1</v>
      </c>
      <c r="H166" s="23">
        <v>0</v>
      </c>
      <c r="I166" s="23">
        <v>2</v>
      </c>
      <c r="J166" s="23">
        <v>1</v>
      </c>
      <c r="K166" s="23">
        <v>2</v>
      </c>
      <c r="L166" s="23">
        <v>2</v>
      </c>
      <c r="M166" s="23">
        <v>1</v>
      </c>
      <c r="N166" s="23">
        <v>0</v>
      </c>
      <c r="O166" s="23">
        <v>0</v>
      </c>
      <c r="P166" s="23">
        <v>0</v>
      </c>
      <c r="Q166" s="23">
        <v>1</v>
      </c>
      <c r="R166" s="23">
        <v>2</v>
      </c>
      <c r="S166" s="23">
        <v>1</v>
      </c>
      <c r="T166" s="23">
        <v>0</v>
      </c>
      <c r="U166" s="23">
        <v>2</v>
      </c>
      <c r="V166" s="113">
        <f t="shared" si="13"/>
        <v>16</v>
      </c>
      <c r="X166" s="114">
        <f>72+V166</f>
        <v>88</v>
      </c>
      <c r="AM166" s="213"/>
      <c r="AN166" s="213"/>
      <c r="AO166" s="213"/>
      <c r="AP166" s="213"/>
      <c r="AQ166" s="213"/>
      <c r="AR166" s="213"/>
      <c r="AS166" s="213"/>
      <c r="AT166" s="213"/>
      <c r="AU166" s="213"/>
    </row>
    <row r="167" spans="2:47" x14ac:dyDescent="0.25">
      <c r="B167" s="110" t="s">
        <v>2</v>
      </c>
      <c r="C167" s="111" t="s">
        <v>3</v>
      </c>
      <c r="D167" s="23">
        <v>1</v>
      </c>
      <c r="E167" s="23">
        <v>0</v>
      </c>
      <c r="F167" s="23">
        <v>4</v>
      </c>
      <c r="G167" s="23">
        <v>2</v>
      </c>
      <c r="H167" s="23">
        <v>1</v>
      </c>
      <c r="I167" s="23">
        <v>0</v>
      </c>
      <c r="J167" s="23">
        <v>1</v>
      </c>
      <c r="K167" s="23">
        <v>0</v>
      </c>
      <c r="L167" s="23">
        <v>2</v>
      </c>
      <c r="M167" s="23">
        <v>2</v>
      </c>
      <c r="N167" s="23">
        <v>0</v>
      </c>
      <c r="O167" s="23">
        <v>2</v>
      </c>
      <c r="P167" s="23">
        <v>0</v>
      </c>
      <c r="Q167" s="23">
        <v>2</v>
      </c>
      <c r="R167" s="23">
        <v>0</v>
      </c>
      <c r="S167" s="23">
        <v>0</v>
      </c>
      <c r="T167" s="23">
        <v>0</v>
      </c>
      <c r="U167" s="23">
        <v>1</v>
      </c>
      <c r="V167" s="113">
        <f t="shared" si="13"/>
        <v>18</v>
      </c>
      <c r="W167" s="85"/>
      <c r="X167" s="114">
        <f t="shared" si="14"/>
        <v>88</v>
      </c>
      <c r="AM167" s="213"/>
      <c r="AN167" s="213"/>
      <c r="AO167" s="213"/>
      <c r="AP167" s="213"/>
      <c r="AQ167" s="213"/>
      <c r="AR167" s="213"/>
      <c r="AS167" s="213"/>
      <c r="AT167" s="213"/>
      <c r="AU167" s="213"/>
    </row>
    <row r="168" spans="2:47" x14ac:dyDescent="0.25">
      <c r="B168" s="110" t="s">
        <v>2</v>
      </c>
      <c r="C168" s="111" t="s">
        <v>3</v>
      </c>
      <c r="D168" s="23">
        <v>10</v>
      </c>
      <c r="E168" s="23">
        <v>10</v>
      </c>
      <c r="F168" s="23">
        <v>10</v>
      </c>
      <c r="G168" s="23">
        <v>10</v>
      </c>
      <c r="H168" s="23">
        <v>10</v>
      </c>
      <c r="I168" s="23">
        <v>10</v>
      </c>
      <c r="J168" s="23">
        <v>10</v>
      </c>
      <c r="K168" s="23">
        <v>10</v>
      </c>
      <c r="L168" s="23">
        <v>10</v>
      </c>
      <c r="M168" s="23">
        <v>10</v>
      </c>
      <c r="N168" s="23">
        <v>10</v>
      </c>
      <c r="O168" s="23">
        <v>10</v>
      </c>
      <c r="P168" s="23">
        <v>10</v>
      </c>
      <c r="Q168" s="23">
        <v>10</v>
      </c>
      <c r="R168" s="23">
        <v>10</v>
      </c>
      <c r="S168" s="23">
        <v>10</v>
      </c>
      <c r="T168" s="23">
        <v>10</v>
      </c>
      <c r="U168" s="23">
        <v>10</v>
      </c>
      <c r="V168" s="115">
        <f t="shared" si="13"/>
        <v>180</v>
      </c>
      <c r="W168" s="85"/>
      <c r="X168" s="116">
        <f>71+V168</f>
        <v>251</v>
      </c>
      <c r="AM168" s="213"/>
      <c r="AN168" s="213"/>
      <c r="AO168" s="213"/>
      <c r="AP168" s="213"/>
      <c r="AQ168" s="213"/>
      <c r="AR168" s="213"/>
      <c r="AS168" s="213"/>
      <c r="AT168" s="213"/>
      <c r="AU168" s="213"/>
    </row>
    <row r="169" spans="2:47" x14ac:dyDescent="0.25">
      <c r="W169" s="85"/>
      <c r="AM169" s="213"/>
      <c r="AN169" s="213"/>
      <c r="AO169" s="213"/>
      <c r="AP169" s="213"/>
      <c r="AQ169" s="213"/>
      <c r="AR169" s="213"/>
      <c r="AS169" s="213"/>
      <c r="AT169" s="213"/>
      <c r="AU169" s="213"/>
    </row>
    <row r="170" spans="2:47" x14ac:dyDescent="0.25">
      <c r="B170" s="9" t="s">
        <v>20</v>
      </c>
      <c r="C170" s="10" t="s">
        <v>21</v>
      </c>
      <c r="D170" s="29" t="s">
        <v>22</v>
      </c>
      <c r="E170" s="29" t="s">
        <v>23</v>
      </c>
      <c r="F170" s="29" t="s">
        <v>24</v>
      </c>
      <c r="G170" s="29" t="s">
        <v>25</v>
      </c>
      <c r="H170" s="29" t="s">
        <v>26</v>
      </c>
      <c r="I170" s="29" t="s">
        <v>27</v>
      </c>
      <c r="J170" s="29" t="s">
        <v>28</v>
      </c>
      <c r="K170" s="29" t="s">
        <v>29</v>
      </c>
      <c r="L170" s="29" t="s">
        <v>30</v>
      </c>
      <c r="M170" s="29" t="s">
        <v>72</v>
      </c>
      <c r="N170" s="29" t="s">
        <v>73</v>
      </c>
      <c r="O170" s="29" t="s">
        <v>74</v>
      </c>
      <c r="P170" s="29" t="s">
        <v>75</v>
      </c>
      <c r="Q170" s="29" t="s">
        <v>76</v>
      </c>
      <c r="R170" s="29" t="s">
        <v>77</v>
      </c>
      <c r="S170" s="29" t="s">
        <v>78</v>
      </c>
      <c r="T170" s="29" t="s">
        <v>79</v>
      </c>
      <c r="U170" s="29" t="s">
        <v>80</v>
      </c>
      <c r="V170" s="92" t="s">
        <v>39</v>
      </c>
      <c r="W170" s="85"/>
      <c r="X170" s="112" t="s">
        <v>84</v>
      </c>
      <c r="AB170" s="184">
        <f>COUNTIFS(Tabell7141520213435363738394041[[1]:[18]],-1)</f>
        <v>0</v>
      </c>
      <c r="AD170" s="85" t="s">
        <v>34</v>
      </c>
      <c r="AE170" s="185">
        <f>AB170/AB177</f>
        <v>0</v>
      </c>
      <c r="AL170" s="84">
        <v>1</v>
      </c>
      <c r="AM170" s="213">
        <v>1</v>
      </c>
      <c r="AN170" s="213"/>
      <c r="AO170" s="213" t="s">
        <v>34</v>
      </c>
      <c r="AP170" s="214">
        <v>9.2592592592592587E-3</v>
      </c>
      <c r="AQ170" s="213"/>
      <c r="AR170" s="213"/>
      <c r="AS170" s="213"/>
      <c r="AT170" s="213"/>
      <c r="AU170" s="213"/>
    </row>
    <row r="171" spans="2:47" x14ac:dyDescent="0.25">
      <c r="B171" s="110" t="s">
        <v>104</v>
      </c>
      <c r="C171" s="111" t="s">
        <v>105</v>
      </c>
      <c r="D171" s="23">
        <v>10</v>
      </c>
      <c r="E171" s="23">
        <v>10</v>
      </c>
      <c r="F171" s="23">
        <v>10</v>
      </c>
      <c r="G171" s="23">
        <v>10</v>
      </c>
      <c r="H171" s="23">
        <v>10</v>
      </c>
      <c r="I171" s="23">
        <v>10</v>
      </c>
      <c r="J171" s="23">
        <v>10</v>
      </c>
      <c r="K171" s="23">
        <v>10</v>
      </c>
      <c r="L171" s="23">
        <v>10</v>
      </c>
      <c r="M171" s="23">
        <v>10</v>
      </c>
      <c r="N171" s="23">
        <v>10</v>
      </c>
      <c r="O171" s="23">
        <v>10</v>
      </c>
      <c r="P171" s="23">
        <v>10</v>
      </c>
      <c r="Q171" s="23">
        <v>10</v>
      </c>
      <c r="R171" s="23">
        <v>10</v>
      </c>
      <c r="S171" s="23">
        <v>10</v>
      </c>
      <c r="T171" s="23">
        <v>10</v>
      </c>
      <c r="U171" s="23">
        <v>10</v>
      </c>
      <c r="V171" s="113">
        <f t="shared" ref="V171:V179" si="15">SUM(D171:U171)</f>
        <v>180</v>
      </c>
      <c r="W171" s="85"/>
      <c r="X171" s="114">
        <f>72+V171</f>
        <v>252</v>
      </c>
      <c r="AB171" s="184">
        <f>COUNTIFS(Tabell7141520213435363738394041[[1]:[18]],0)</f>
        <v>9</v>
      </c>
      <c r="AD171" s="85" t="s">
        <v>83</v>
      </c>
      <c r="AE171" s="185">
        <f>AB171/AB177</f>
        <v>0.125</v>
      </c>
      <c r="AL171" s="84">
        <v>12</v>
      </c>
      <c r="AM171" s="213">
        <v>12</v>
      </c>
      <c r="AN171" s="213"/>
      <c r="AO171" s="213" t="s">
        <v>83</v>
      </c>
      <c r="AP171" s="214">
        <v>0.1111111111111111</v>
      </c>
      <c r="AQ171" s="213"/>
      <c r="AR171" s="213"/>
      <c r="AS171" s="213"/>
      <c r="AT171" s="213"/>
      <c r="AU171" s="213"/>
    </row>
    <row r="172" spans="2:47" x14ac:dyDescent="0.25">
      <c r="B172" s="110" t="s">
        <v>104</v>
      </c>
      <c r="C172" s="111" t="s">
        <v>105</v>
      </c>
      <c r="D172" s="23">
        <v>3</v>
      </c>
      <c r="E172" s="23">
        <v>2</v>
      </c>
      <c r="F172" s="23">
        <v>0</v>
      </c>
      <c r="G172" s="23">
        <v>5</v>
      </c>
      <c r="H172" s="23">
        <v>0</v>
      </c>
      <c r="I172" s="23">
        <v>2</v>
      </c>
      <c r="J172" s="23">
        <v>3</v>
      </c>
      <c r="K172" s="23">
        <v>4</v>
      </c>
      <c r="L172" s="23">
        <v>3</v>
      </c>
      <c r="M172" s="23">
        <v>2</v>
      </c>
      <c r="N172" s="23">
        <v>2</v>
      </c>
      <c r="O172" s="23">
        <v>0</v>
      </c>
      <c r="P172" s="23">
        <v>3</v>
      </c>
      <c r="Q172" s="23">
        <v>2</v>
      </c>
      <c r="R172" s="23">
        <v>3</v>
      </c>
      <c r="S172" s="23">
        <v>3</v>
      </c>
      <c r="T172" s="23">
        <v>1</v>
      </c>
      <c r="U172" s="23">
        <v>2</v>
      </c>
      <c r="V172" s="113">
        <f t="shared" si="15"/>
        <v>40</v>
      </c>
      <c r="W172" s="85"/>
      <c r="X172" s="114">
        <f>71+V172</f>
        <v>111</v>
      </c>
      <c r="AB172" s="184">
        <f>COUNTIFS(Tabell7141520213435363738394041[[1]:[18]],1)</f>
        <v>18</v>
      </c>
      <c r="AD172" s="85" t="s">
        <v>131</v>
      </c>
      <c r="AE172" s="185">
        <f>AB172/AB177</f>
        <v>0.25</v>
      </c>
      <c r="AL172" s="84">
        <v>29</v>
      </c>
      <c r="AM172" s="213">
        <v>29</v>
      </c>
      <c r="AN172" s="213"/>
      <c r="AO172" s="213" t="s">
        <v>131</v>
      </c>
      <c r="AP172" s="214">
        <v>0.26851851851851855</v>
      </c>
      <c r="AQ172" s="213"/>
      <c r="AR172" s="213"/>
      <c r="AS172" s="213"/>
      <c r="AT172" s="213"/>
      <c r="AU172" s="213"/>
    </row>
    <row r="173" spans="2:47" x14ac:dyDescent="0.25">
      <c r="B173" s="110" t="s">
        <v>104</v>
      </c>
      <c r="C173" s="111" t="s">
        <v>105</v>
      </c>
      <c r="D173" s="23">
        <v>1</v>
      </c>
      <c r="E173" s="23">
        <v>0</v>
      </c>
      <c r="F173" s="23">
        <v>0</v>
      </c>
      <c r="G173" s="23">
        <v>2</v>
      </c>
      <c r="H173" s="23">
        <v>4</v>
      </c>
      <c r="I173" s="23">
        <v>0</v>
      </c>
      <c r="J173" s="23">
        <v>1</v>
      </c>
      <c r="K173" s="23">
        <v>0</v>
      </c>
      <c r="L173" s="23">
        <v>3</v>
      </c>
      <c r="M173" s="23">
        <v>2</v>
      </c>
      <c r="N173" s="23">
        <v>1</v>
      </c>
      <c r="O173" s="23">
        <v>1</v>
      </c>
      <c r="P173" s="23">
        <v>1</v>
      </c>
      <c r="Q173" s="23">
        <v>1</v>
      </c>
      <c r="R173" s="23">
        <v>1</v>
      </c>
      <c r="S173" s="23">
        <v>1</v>
      </c>
      <c r="T173" s="23">
        <v>1</v>
      </c>
      <c r="U173" s="23">
        <v>1</v>
      </c>
      <c r="V173" s="113">
        <f t="shared" si="15"/>
        <v>21</v>
      </c>
      <c r="W173" s="85"/>
      <c r="X173" s="114">
        <f>70+V173</f>
        <v>91</v>
      </c>
      <c r="AB173" s="184">
        <f>COUNTIFS(Tabell7141520213435363738394041[[1]:[18]],2)</f>
        <v>20</v>
      </c>
      <c r="AD173" s="85" t="s">
        <v>132</v>
      </c>
      <c r="AE173" s="185">
        <f>AB173/AB177</f>
        <v>0.27777777777777779</v>
      </c>
      <c r="AL173" s="84">
        <v>31</v>
      </c>
      <c r="AM173" s="213">
        <v>31</v>
      </c>
      <c r="AN173" s="213"/>
      <c r="AO173" s="213" t="s">
        <v>132</v>
      </c>
      <c r="AP173" s="214">
        <v>0.28703703703703703</v>
      </c>
      <c r="AQ173" s="213"/>
      <c r="AR173" s="213"/>
      <c r="AS173" s="213"/>
      <c r="AT173" s="213"/>
      <c r="AU173" s="213"/>
    </row>
    <row r="174" spans="2:47" x14ac:dyDescent="0.25">
      <c r="B174" s="110" t="s">
        <v>104</v>
      </c>
      <c r="C174" s="111" t="s">
        <v>105</v>
      </c>
      <c r="D174" s="23">
        <v>1</v>
      </c>
      <c r="E174" s="23">
        <v>1</v>
      </c>
      <c r="F174" s="23">
        <v>4</v>
      </c>
      <c r="G174" s="23">
        <v>3</v>
      </c>
      <c r="H174" s="23">
        <v>2</v>
      </c>
      <c r="I174" s="23">
        <v>1</v>
      </c>
      <c r="J174" s="23">
        <v>0</v>
      </c>
      <c r="K174" s="23">
        <v>3</v>
      </c>
      <c r="L174" s="23">
        <v>5</v>
      </c>
      <c r="M174" s="23">
        <v>2</v>
      </c>
      <c r="N174" s="23">
        <v>2</v>
      </c>
      <c r="O174" s="23">
        <v>3</v>
      </c>
      <c r="P174" s="23">
        <v>3</v>
      </c>
      <c r="Q174" s="23">
        <v>4</v>
      </c>
      <c r="R174" s="23">
        <v>1</v>
      </c>
      <c r="S174" s="23">
        <v>3</v>
      </c>
      <c r="T174" s="23">
        <v>4</v>
      </c>
      <c r="U174" s="23">
        <v>0</v>
      </c>
      <c r="V174" s="113">
        <f t="shared" si="15"/>
        <v>42</v>
      </c>
      <c r="W174" s="85"/>
      <c r="X174" s="114">
        <f>72+V174</f>
        <v>114</v>
      </c>
      <c r="AB174" s="184">
        <f>COUNTIFS(Tabell7141520213435363738394041[[1]:[18]],3)</f>
        <v>15</v>
      </c>
      <c r="AD174" s="85" t="s">
        <v>133</v>
      </c>
      <c r="AE174" s="185">
        <f>AB174/AB177</f>
        <v>0.20833333333333334</v>
      </c>
      <c r="AL174" s="84">
        <v>20</v>
      </c>
      <c r="AM174" s="213">
        <v>20</v>
      </c>
      <c r="AN174" s="213"/>
      <c r="AO174" s="213" t="s">
        <v>133</v>
      </c>
      <c r="AP174" s="214">
        <v>0.18518518518518517</v>
      </c>
      <c r="AQ174" s="213"/>
      <c r="AR174" s="213"/>
      <c r="AS174" s="213"/>
      <c r="AT174" s="213"/>
      <c r="AU174" s="213"/>
    </row>
    <row r="175" spans="2:47" x14ac:dyDescent="0.25">
      <c r="B175" s="110" t="s">
        <v>104</v>
      </c>
      <c r="C175" s="111" t="s">
        <v>105</v>
      </c>
      <c r="D175" s="23">
        <v>4</v>
      </c>
      <c r="E175" s="23">
        <v>2</v>
      </c>
      <c r="F175" s="23">
        <v>5</v>
      </c>
      <c r="G175" s="23">
        <v>2</v>
      </c>
      <c r="H175" s="23">
        <v>2</v>
      </c>
      <c r="I175" s="23">
        <v>3</v>
      </c>
      <c r="J175" s="23">
        <v>1</v>
      </c>
      <c r="K175" s="23">
        <v>2</v>
      </c>
      <c r="L175" s="23">
        <v>4</v>
      </c>
      <c r="M175" s="23">
        <v>1</v>
      </c>
      <c r="N175" s="23">
        <v>2</v>
      </c>
      <c r="O175" s="23">
        <v>3</v>
      </c>
      <c r="P175" s="23">
        <v>3</v>
      </c>
      <c r="Q175" s="23">
        <v>2</v>
      </c>
      <c r="R175" s="23">
        <v>1</v>
      </c>
      <c r="S175" s="23">
        <v>2</v>
      </c>
      <c r="T175" s="23">
        <v>2</v>
      </c>
      <c r="U175" s="23">
        <v>2</v>
      </c>
      <c r="V175" s="113">
        <f t="shared" si="15"/>
        <v>43</v>
      </c>
      <c r="W175" s="85"/>
      <c r="X175" s="114">
        <f>71+V175</f>
        <v>114</v>
      </c>
      <c r="AB175" s="184">
        <f>COUNTIFS(Tabell7141520213435363738394041[[1]:[18]],4)</f>
        <v>7</v>
      </c>
      <c r="AD175" s="85" t="s">
        <v>134</v>
      </c>
      <c r="AE175" s="185">
        <f>AB175/AB177</f>
        <v>9.7222222222222224E-2</v>
      </c>
      <c r="AL175" s="84">
        <v>6</v>
      </c>
      <c r="AM175" s="213">
        <v>6</v>
      </c>
      <c r="AN175" s="213"/>
      <c r="AO175" s="213" t="s">
        <v>134</v>
      </c>
      <c r="AP175" s="214">
        <v>5.5555555555555552E-2</v>
      </c>
      <c r="AQ175" s="213"/>
      <c r="AR175" s="213"/>
      <c r="AS175" s="213"/>
      <c r="AT175" s="213"/>
      <c r="AU175" s="213"/>
    </row>
    <row r="176" spans="2:47" x14ac:dyDescent="0.25">
      <c r="B176" s="110" t="s">
        <v>104</v>
      </c>
      <c r="C176" s="111" t="s">
        <v>105</v>
      </c>
      <c r="D176" s="23">
        <v>10</v>
      </c>
      <c r="E176" s="23">
        <v>10</v>
      </c>
      <c r="F176" s="23">
        <v>10</v>
      </c>
      <c r="G176" s="23">
        <v>10</v>
      </c>
      <c r="H176" s="23">
        <v>10</v>
      </c>
      <c r="I176" s="23">
        <v>10</v>
      </c>
      <c r="J176" s="23">
        <v>10</v>
      </c>
      <c r="K176" s="23">
        <v>10</v>
      </c>
      <c r="L176" s="23">
        <v>10</v>
      </c>
      <c r="M176" s="23">
        <v>10</v>
      </c>
      <c r="N176" s="23">
        <v>10</v>
      </c>
      <c r="O176" s="23">
        <v>10</v>
      </c>
      <c r="P176" s="23">
        <v>10</v>
      </c>
      <c r="Q176" s="23">
        <v>10</v>
      </c>
      <c r="R176" s="23">
        <v>10</v>
      </c>
      <c r="S176" s="23">
        <v>10</v>
      </c>
      <c r="T176" s="23">
        <v>10</v>
      </c>
      <c r="U176" s="23">
        <v>10</v>
      </c>
      <c r="V176" s="113">
        <f t="shared" si="15"/>
        <v>180</v>
      </c>
      <c r="W176" s="85"/>
      <c r="X176" s="114">
        <f>70+V176</f>
        <v>250</v>
      </c>
      <c r="AB176" s="184">
        <f>COUNTIFS(Tabell7141520213435363738394041[[1]:[18]],5)</f>
        <v>3</v>
      </c>
      <c r="AD176" s="85" t="s">
        <v>135</v>
      </c>
      <c r="AE176" s="185">
        <f>AB176/AB177</f>
        <v>4.1666666666666664E-2</v>
      </c>
      <c r="AL176" s="84">
        <v>9</v>
      </c>
      <c r="AM176" s="213">
        <v>9</v>
      </c>
      <c r="AN176" s="213"/>
      <c r="AO176" s="213" t="s">
        <v>135</v>
      </c>
      <c r="AP176" s="214">
        <v>8.3333333333333329E-2</v>
      </c>
      <c r="AQ176" s="213"/>
      <c r="AR176" s="213"/>
      <c r="AS176" s="213"/>
      <c r="AT176" s="213"/>
      <c r="AU176" s="213"/>
    </row>
    <row r="177" spans="2:47" x14ac:dyDescent="0.25">
      <c r="B177" s="110" t="s">
        <v>104</v>
      </c>
      <c r="C177" s="111" t="s">
        <v>105</v>
      </c>
      <c r="D177" s="23">
        <v>10</v>
      </c>
      <c r="E177" s="23">
        <v>10</v>
      </c>
      <c r="F177" s="23">
        <v>10</v>
      </c>
      <c r="G177" s="23">
        <v>10</v>
      </c>
      <c r="H177" s="23">
        <v>10</v>
      </c>
      <c r="I177" s="23">
        <v>10</v>
      </c>
      <c r="J177" s="23">
        <v>10</v>
      </c>
      <c r="K177" s="23">
        <v>10</v>
      </c>
      <c r="L177" s="23">
        <v>10</v>
      </c>
      <c r="M177" s="23">
        <v>10</v>
      </c>
      <c r="N177" s="23">
        <v>10</v>
      </c>
      <c r="O177" s="23">
        <v>10</v>
      </c>
      <c r="P177" s="23">
        <v>10</v>
      </c>
      <c r="Q177" s="23">
        <v>10</v>
      </c>
      <c r="R177" s="23">
        <v>10</v>
      </c>
      <c r="S177" s="23">
        <v>10</v>
      </c>
      <c r="T177" s="23">
        <v>10</v>
      </c>
      <c r="U177" s="23">
        <v>10</v>
      </c>
      <c r="V177" s="113">
        <f t="shared" si="15"/>
        <v>180</v>
      </c>
      <c r="X177" s="114">
        <f>72+V177</f>
        <v>252</v>
      </c>
      <c r="AB177" s="97">
        <f>SUM(AB170:AB176)</f>
        <v>72</v>
      </c>
      <c r="AL177" s="84">
        <v>108</v>
      </c>
      <c r="AM177" s="213">
        <v>108</v>
      </c>
      <c r="AN177" s="213"/>
      <c r="AO177" s="213"/>
      <c r="AP177" s="213"/>
      <c r="AQ177" s="213"/>
      <c r="AR177" s="213"/>
      <c r="AS177" s="213"/>
      <c r="AT177" s="213"/>
      <c r="AU177" s="213"/>
    </row>
    <row r="178" spans="2:47" x14ac:dyDescent="0.25">
      <c r="B178" s="110" t="s">
        <v>104</v>
      </c>
      <c r="C178" s="111" t="s">
        <v>105</v>
      </c>
      <c r="D178" s="23">
        <v>10</v>
      </c>
      <c r="E178" s="23">
        <v>10</v>
      </c>
      <c r="F178" s="23">
        <v>10</v>
      </c>
      <c r="G178" s="23">
        <v>10</v>
      </c>
      <c r="H178" s="23">
        <v>10</v>
      </c>
      <c r="I178" s="23">
        <v>10</v>
      </c>
      <c r="J178" s="23">
        <v>10</v>
      </c>
      <c r="K178" s="23">
        <v>10</v>
      </c>
      <c r="L178" s="23">
        <v>10</v>
      </c>
      <c r="M178" s="23">
        <v>10</v>
      </c>
      <c r="N178" s="23">
        <v>10</v>
      </c>
      <c r="O178" s="23">
        <v>10</v>
      </c>
      <c r="P178" s="23">
        <v>10</v>
      </c>
      <c r="Q178" s="23">
        <v>10</v>
      </c>
      <c r="R178" s="23">
        <v>10</v>
      </c>
      <c r="S178" s="23">
        <v>10</v>
      </c>
      <c r="T178" s="23">
        <v>10</v>
      </c>
      <c r="U178" s="23">
        <v>10</v>
      </c>
      <c r="V178" s="113">
        <f t="shared" si="15"/>
        <v>180</v>
      </c>
      <c r="X178" s="114">
        <f>72+V178</f>
        <v>252</v>
      </c>
      <c r="AM178" s="213"/>
      <c r="AN178" s="213"/>
      <c r="AO178" s="213"/>
      <c r="AP178" s="213"/>
      <c r="AQ178" s="213"/>
      <c r="AR178" s="213"/>
      <c r="AS178" s="213"/>
      <c r="AT178" s="213"/>
      <c r="AU178" s="213"/>
    </row>
    <row r="179" spans="2:47" x14ac:dyDescent="0.25">
      <c r="B179" s="110" t="s">
        <v>104</v>
      </c>
      <c r="C179" s="111" t="s">
        <v>105</v>
      </c>
      <c r="D179" s="23">
        <v>10</v>
      </c>
      <c r="E179" s="23">
        <v>10</v>
      </c>
      <c r="F179" s="23">
        <v>10</v>
      </c>
      <c r="G179" s="23">
        <v>10</v>
      </c>
      <c r="H179" s="23">
        <v>10</v>
      </c>
      <c r="I179" s="23">
        <v>10</v>
      </c>
      <c r="J179" s="23">
        <v>10</v>
      </c>
      <c r="K179" s="23">
        <v>10</v>
      </c>
      <c r="L179" s="23">
        <v>10</v>
      </c>
      <c r="M179" s="23">
        <v>10</v>
      </c>
      <c r="N179" s="23">
        <v>10</v>
      </c>
      <c r="O179" s="23">
        <v>10</v>
      </c>
      <c r="P179" s="23">
        <v>10</v>
      </c>
      <c r="Q179" s="23">
        <v>10</v>
      </c>
      <c r="R179" s="23">
        <v>10</v>
      </c>
      <c r="S179" s="23">
        <v>10</v>
      </c>
      <c r="T179" s="23">
        <v>10</v>
      </c>
      <c r="U179" s="23">
        <v>10</v>
      </c>
      <c r="V179" s="115">
        <f t="shared" si="15"/>
        <v>180</v>
      </c>
      <c r="X179" s="116">
        <f>71+V179</f>
        <v>251</v>
      </c>
      <c r="AM179" s="213"/>
      <c r="AN179" s="213"/>
      <c r="AO179" s="213"/>
      <c r="AP179" s="213"/>
      <c r="AQ179" s="213"/>
      <c r="AR179" s="213"/>
      <c r="AS179" s="213"/>
      <c r="AT179" s="213"/>
      <c r="AU179" s="213"/>
    </row>
    <row r="180" spans="2:47" x14ac:dyDescent="0.25">
      <c r="B180" s="110" t="s">
        <v>104</v>
      </c>
      <c r="C180" s="111" t="s">
        <v>105</v>
      </c>
      <c r="D180" s="23">
        <v>10</v>
      </c>
      <c r="E180" s="23">
        <v>10</v>
      </c>
      <c r="F180" s="23">
        <v>10</v>
      </c>
      <c r="G180" s="23">
        <v>10</v>
      </c>
      <c r="H180" s="23">
        <v>10</v>
      </c>
      <c r="I180" s="23">
        <v>10</v>
      </c>
      <c r="J180" s="23">
        <v>10</v>
      </c>
      <c r="K180" s="23">
        <v>10</v>
      </c>
      <c r="L180" s="23">
        <v>10</v>
      </c>
      <c r="M180" s="23">
        <v>10</v>
      </c>
      <c r="N180" s="23">
        <v>10</v>
      </c>
      <c r="O180" s="23">
        <v>10</v>
      </c>
      <c r="P180" s="23">
        <v>10</v>
      </c>
      <c r="Q180" s="23">
        <v>10</v>
      </c>
      <c r="R180" s="23">
        <v>10</v>
      </c>
      <c r="S180" s="23">
        <v>10</v>
      </c>
      <c r="T180" s="23">
        <v>10</v>
      </c>
      <c r="U180" s="23">
        <v>10</v>
      </c>
      <c r="V180" s="170">
        <f>SUM(D180:U180)</f>
        <v>180</v>
      </c>
      <c r="X180" s="116">
        <f>71+V180</f>
        <v>251</v>
      </c>
      <c r="AM180" s="213"/>
      <c r="AN180" s="213"/>
      <c r="AO180" s="213"/>
      <c r="AP180" s="213"/>
      <c r="AQ180" s="213"/>
      <c r="AR180" s="213"/>
      <c r="AS180" s="213"/>
      <c r="AT180" s="213"/>
      <c r="AU180" s="213"/>
    </row>
    <row r="181" spans="2:47" x14ac:dyDescent="0.25">
      <c r="B181" s="173"/>
      <c r="C181" s="174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76"/>
      <c r="AM181" s="213"/>
      <c r="AN181" s="213"/>
      <c r="AO181" s="213"/>
      <c r="AP181" s="213"/>
      <c r="AQ181" s="213"/>
      <c r="AR181" s="213"/>
      <c r="AS181" s="213"/>
      <c r="AT181" s="213"/>
      <c r="AU181" s="213"/>
    </row>
    <row r="182" spans="2:47" x14ac:dyDescent="0.25">
      <c r="B182" s="9" t="s">
        <v>20</v>
      </c>
      <c r="C182" s="10" t="s">
        <v>21</v>
      </c>
      <c r="D182" s="29" t="s">
        <v>22</v>
      </c>
      <c r="E182" s="29" t="s">
        <v>23</v>
      </c>
      <c r="F182" s="29" t="s">
        <v>24</v>
      </c>
      <c r="G182" s="29" t="s">
        <v>25</v>
      </c>
      <c r="H182" s="29" t="s">
        <v>26</v>
      </c>
      <c r="I182" s="29" t="s">
        <v>27</v>
      </c>
      <c r="J182" s="29" t="s">
        <v>28</v>
      </c>
      <c r="K182" s="29" t="s">
        <v>29</v>
      </c>
      <c r="L182" s="29" t="s">
        <v>30</v>
      </c>
      <c r="M182" s="29" t="s">
        <v>72</v>
      </c>
      <c r="N182" s="29" t="s">
        <v>73</v>
      </c>
      <c r="O182" s="29" t="s">
        <v>74</v>
      </c>
      <c r="P182" s="29" t="s">
        <v>75</v>
      </c>
      <c r="Q182" s="29" t="s">
        <v>76</v>
      </c>
      <c r="R182" s="29" t="s">
        <v>77</v>
      </c>
      <c r="S182" s="29" t="s">
        <v>78</v>
      </c>
      <c r="T182" s="29" t="s">
        <v>79</v>
      </c>
      <c r="U182" s="29" t="s">
        <v>80</v>
      </c>
      <c r="V182" s="92" t="s">
        <v>39</v>
      </c>
      <c r="X182" s="112" t="s">
        <v>84</v>
      </c>
      <c r="AB182" s="184">
        <f>COUNTIFS(Tabell714152021343536373839404142[[1]:[18]],-1)</f>
        <v>4</v>
      </c>
      <c r="AD182" s="85" t="s">
        <v>34</v>
      </c>
      <c r="AE182" s="185">
        <f>AB182/AB189</f>
        <v>2.4691358024691357E-2</v>
      </c>
      <c r="AL182" s="84">
        <v>1</v>
      </c>
      <c r="AM182" s="213">
        <v>1</v>
      </c>
      <c r="AN182" s="213"/>
      <c r="AO182" s="213" t="s">
        <v>34</v>
      </c>
      <c r="AP182" s="214">
        <v>7.246376811594203E-3</v>
      </c>
      <c r="AQ182" s="213"/>
      <c r="AR182" s="213"/>
      <c r="AS182" s="213"/>
      <c r="AT182" s="213"/>
      <c r="AU182" s="213"/>
    </row>
    <row r="183" spans="2:47" x14ac:dyDescent="0.25">
      <c r="B183" s="110" t="s">
        <v>113</v>
      </c>
      <c r="C183" s="111" t="s">
        <v>114</v>
      </c>
      <c r="D183" s="23">
        <v>2</v>
      </c>
      <c r="E183" s="23">
        <v>1</v>
      </c>
      <c r="F183" s="23">
        <v>1</v>
      </c>
      <c r="G183" s="23">
        <v>0</v>
      </c>
      <c r="H183" s="23">
        <v>1</v>
      </c>
      <c r="I183" s="23">
        <v>0</v>
      </c>
      <c r="J183" s="23">
        <v>0</v>
      </c>
      <c r="K183" s="23">
        <v>1</v>
      </c>
      <c r="L183" s="23">
        <v>1</v>
      </c>
      <c r="M183" s="23">
        <v>0</v>
      </c>
      <c r="N183" s="23">
        <v>1</v>
      </c>
      <c r="O183" s="23">
        <v>-1</v>
      </c>
      <c r="P183" s="23">
        <v>1</v>
      </c>
      <c r="Q183" s="23">
        <v>1</v>
      </c>
      <c r="R183" s="23">
        <v>3</v>
      </c>
      <c r="S183" s="23">
        <v>2</v>
      </c>
      <c r="T183" s="23">
        <v>2</v>
      </c>
      <c r="U183" s="23">
        <v>4</v>
      </c>
      <c r="V183" s="113">
        <f t="shared" ref="V183:V191" si="16">SUM(D183:U183)</f>
        <v>20</v>
      </c>
      <c r="X183" s="114">
        <f>72+V183</f>
        <v>92</v>
      </c>
      <c r="AB183" s="184">
        <f>COUNTIFS(Tabell714152021343536373839404142[[1]:[18]],0)</f>
        <v>28</v>
      </c>
      <c r="AD183" s="85" t="s">
        <v>83</v>
      </c>
      <c r="AE183" s="185">
        <f>AB183/AB189</f>
        <v>0.1728395061728395</v>
      </c>
      <c r="AL183" s="84">
        <v>23</v>
      </c>
      <c r="AM183" s="213">
        <v>23</v>
      </c>
      <c r="AN183" s="213"/>
      <c r="AO183" s="213" t="s">
        <v>83</v>
      </c>
      <c r="AP183" s="214">
        <v>0.16666666666666666</v>
      </c>
      <c r="AQ183" s="213"/>
      <c r="AR183" s="213"/>
      <c r="AS183" s="213"/>
      <c r="AT183" s="213"/>
      <c r="AU183" s="213"/>
    </row>
    <row r="184" spans="2:47" x14ac:dyDescent="0.25">
      <c r="B184" s="110" t="s">
        <v>113</v>
      </c>
      <c r="C184" s="111" t="s">
        <v>114</v>
      </c>
      <c r="D184" s="23">
        <v>2</v>
      </c>
      <c r="E184" s="23">
        <v>0</v>
      </c>
      <c r="F184" s="23">
        <v>3</v>
      </c>
      <c r="G184" s="23">
        <v>1</v>
      </c>
      <c r="H184" s="23">
        <v>2</v>
      </c>
      <c r="I184" s="23">
        <v>0</v>
      </c>
      <c r="J184" s="23">
        <v>1</v>
      </c>
      <c r="K184" s="23">
        <v>1</v>
      </c>
      <c r="L184" s="23">
        <v>5</v>
      </c>
      <c r="M184" s="23">
        <v>1</v>
      </c>
      <c r="N184" s="23">
        <v>3</v>
      </c>
      <c r="O184" s="23">
        <v>1</v>
      </c>
      <c r="P184" s="23">
        <v>0</v>
      </c>
      <c r="Q184" s="23">
        <v>1</v>
      </c>
      <c r="R184" s="23">
        <v>1</v>
      </c>
      <c r="S184" s="23">
        <v>2</v>
      </c>
      <c r="T184" s="23">
        <v>1</v>
      </c>
      <c r="U184" s="23">
        <v>3</v>
      </c>
      <c r="V184" s="113">
        <f t="shared" si="16"/>
        <v>28</v>
      </c>
      <c r="X184" s="114">
        <f>72+V184</f>
        <v>100</v>
      </c>
      <c r="AB184" s="184">
        <f>COUNTIFS(Tabell714152021343536373839404142[[1]:[18]],1)</f>
        <v>75</v>
      </c>
      <c r="AD184" s="85" t="s">
        <v>131</v>
      </c>
      <c r="AE184" s="185">
        <f>AB184/AB189</f>
        <v>0.46296296296296297</v>
      </c>
      <c r="AL184" s="84">
        <v>34</v>
      </c>
      <c r="AM184" s="213">
        <v>34</v>
      </c>
      <c r="AN184" s="213"/>
      <c r="AO184" s="213" t="s">
        <v>131</v>
      </c>
      <c r="AP184" s="214">
        <v>0.24637681159420291</v>
      </c>
      <c r="AQ184" s="213"/>
      <c r="AR184" s="213"/>
      <c r="AS184" s="213"/>
      <c r="AT184" s="213"/>
      <c r="AU184" s="213"/>
    </row>
    <row r="185" spans="2:47" x14ac:dyDescent="0.25">
      <c r="B185" s="110" t="s">
        <v>113</v>
      </c>
      <c r="C185" s="111" t="s">
        <v>114</v>
      </c>
      <c r="D185" s="23">
        <v>1</v>
      </c>
      <c r="E185" s="23">
        <v>1</v>
      </c>
      <c r="F185" s="23">
        <v>0</v>
      </c>
      <c r="G185" s="23">
        <v>2</v>
      </c>
      <c r="H185" s="23">
        <v>1</v>
      </c>
      <c r="I185" s="23">
        <v>1</v>
      </c>
      <c r="J185" s="23">
        <v>2</v>
      </c>
      <c r="K185" s="23">
        <v>-1</v>
      </c>
      <c r="L185" s="23">
        <v>0</v>
      </c>
      <c r="M185" s="23">
        <v>0</v>
      </c>
      <c r="N185" s="23">
        <v>0</v>
      </c>
      <c r="O185" s="23">
        <v>1</v>
      </c>
      <c r="P185" s="23">
        <v>0</v>
      </c>
      <c r="Q185" s="23">
        <v>0</v>
      </c>
      <c r="R185" s="23">
        <v>1</v>
      </c>
      <c r="S185" s="23">
        <v>3</v>
      </c>
      <c r="T185" s="23">
        <v>0</v>
      </c>
      <c r="U185" s="23">
        <v>1</v>
      </c>
      <c r="V185" s="113">
        <f t="shared" si="16"/>
        <v>13</v>
      </c>
      <c r="X185" s="114">
        <f>72+V185</f>
        <v>85</v>
      </c>
      <c r="AB185" s="184">
        <f>COUNTIFS(Tabell714152021343536373839404142[[1]:[18]],2)</f>
        <v>36</v>
      </c>
      <c r="AD185" s="85" t="s">
        <v>132</v>
      </c>
      <c r="AE185" s="185">
        <f>AB185/AB189</f>
        <v>0.22222222222222221</v>
      </c>
      <c r="AL185" s="84">
        <v>42</v>
      </c>
      <c r="AM185" s="213">
        <v>42</v>
      </c>
      <c r="AN185" s="213"/>
      <c r="AO185" s="213" t="s">
        <v>132</v>
      </c>
      <c r="AP185" s="214">
        <v>0.30434782608695654</v>
      </c>
      <c r="AQ185" s="213"/>
      <c r="AR185" s="213"/>
      <c r="AS185" s="213"/>
      <c r="AT185" s="213"/>
      <c r="AU185" s="213"/>
    </row>
    <row r="186" spans="2:47" x14ac:dyDescent="0.25">
      <c r="B186" s="110" t="s">
        <v>113</v>
      </c>
      <c r="C186" s="111" t="s">
        <v>114</v>
      </c>
      <c r="D186" s="23">
        <v>1</v>
      </c>
      <c r="E186" s="23">
        <v>1</v>
      </c>
      <c r="F186" s="23">
        <v>2</v>
      </c>
      <c r="G186" s="23">
        <v>1</v>
      </c>
      <c r="H186" s="23">
        <v>2</v>
      </c>
      <c r="I186" s="23">
        <v>2</v>
      </c>
      <c r="J186" s="23">
        <v>1</v>
      </c>
      <c r="K186" s="23">
        <v>1</v>
      </c>
      <c r="L186" s="23">
        <v>2</v>
      </c>
      <c r="M186" s="23">
        <v>1</v>
      </c>
      <c r="N186" s="23">
        <v>1</v>
      </c>
      <c r="O186" s="23">
        <v>2</v>
      </c>
      <c r="P186" s="23">
        <v>1</v>
      </c>
      <c r="Q186" s="23">
        <v>0</v>
      </c>
      <c r="R186" s="23">
        <v>1</v>
      </c>
      <c r="S186" s="23">
        <v>2</v>
      </c>
      <c r="T186" s="23">
        <v>1</v>
      </c>
      <c r="U186" s="23">
        <v>1</v>
      </c>
      <c r="V186" s="113">
        <f t="shared" si="16"/>
        <v>23</v>
      </c>
      <c r="X186" s="114">
        <f>72+V186</f>
        <v>95</v>
      </c>
      <c r="AB186" s="184">
        <f>COUNTIFS(Tabell714152021343536373839404142[[1]:[18]],3)</f>
        <v>14</v>
      </c>
      <c r="AD186" s="85" t="s">
        <v>133</v>
      </c>
      <c r="AE186" s="185">
        <f>AB186/AB189</f>
        <v>8.6419753086419748E-2</v>
      </c>
      <c r="AL186" s="84">
        <v>21</v>
      </c>
      <c r="AM186" s="213">
        <v>21</v>
      </c>
      <c r="AN186" s="213"/>
      <c r="AO186" s="213" t="s">
        <v>133</v>
      </c>
      <c r="AP186" s="214">
        <v>0.15217391304347827</v>
      </c>
      <c r="AQ186" s="213"/>
      <c r="AR186" s="213"/>
      <c r="AS186" s="213"/>
      <c r="AT186" s="213"/>
      <c r="AU186" s="213"/>
    </row>
    <row r="187" spans="2:47" x14ac:dyDescent="0.25">
      <c r="B187" s="110" t="s">
        <v>113</v>
      </c>
      <c r="C187" s="111" t="s">
        <v>114</v>
      </c>
      <c r="D187" s="23">
        <v>2</v>
      </c>
      <c r="E187" s="23">
        <v>1</v>
      </c>
      <c r="F187" s="23">
        <v>1</v>
      </c>
      <c r="G187" s="23">
        <v>0</v>
      </c>
      <c r="H187" s="23">
        <v>2</v>
      </c>
      <c r="I187" s="23">
        <v>1</v>
      </c>
      <c r="J187" s="23">
        <v>1</v>
      </c>
      <c r="K187" s="23">
        <v>3</v>
      </c>
      <c r="L187" s="23">
        <v>1</v>
      </c>
      <c r="M187" s="23">
        <v>1</v>
      </c>
      <c r="N187" s="23">
        <v>1</v>
      </c>
      <c r="O187" s="23">
        <v>0</v>
      </c>
      <c r="P187" s="23">
        <v>1</v>
      </c>
      <c r="Q187" s="23">
        <v>2</v>
      </c>
      <c r="R187" s="23">
        <v>3</v>
      </c>
      <c r="S187" s="23">
        <v>1</v>
      </c>
      <c r="T187" s="23">
        <v>1</v>
      </c>
      <c r="U187" s="23">
        <v>1</v>
      </c>
      <c r="V187" s="113">
        <f t="shared" si="16"/>
        <v>23</v>
      </c>
      <c r="X187" s="114">
        <f>71+V187</f>
        <v>94</v>
      </c>
      <c r="AB187" s="184">
        <f>COUNTIFS(Tabell714152021343536373839404142[[1]:[18]],4)</f>
        <v>4</v>
      </c>
      <c r="AD187" s="85" t="s">
        <v>134</v>
      </c>
      <c r="AE187" s="185">
        <f>AB187/AB189</f>
        <v>2.4691358024691357E-2</v>
      </c>
      <c r="AL187" s="84">
        <v>11</v>
      </c>
      <c r="AM187" s="213">
        <v>11</v>
      </c>
      <c r="AN187" s="213"/>
      <c r="AO187" s="213" t="s">
        <v>134</v>
      </c>
      <c r="AP187" s="214">
        <v>7.9710144927536225E-2</v>
      </c>
      <c r="AQ187" s="213"/>
      <c r="AR187" s="213"/>
      <c r="AS187" s="213"/>
      <c r="AT187" s="213"/>
      <c r="AU187" s="213"/>
    </row>
    <row r="188" spans="2:47" x14ac:dyDescent="0.25">
      <c r="B188" s="110" t="s">
        <v>113</v>
      </c>
      <c r="C188" s="111" t="s">
        <v>114</v>
      </c>
      <c r="D188" s="23">
        <v>1</v>
      </c>
      <c r="E188" s="23">
        <v>1</v>
      </c>
      <c r="F188" s="23">
        <v>1</v>
      </c>
      <c r="G188" s="23">
        <v>2</v>
      </c>
      <c r="H188" s="23">
        <v>2</v>
      </c>
      <c r="I188" s="23">
        <v>2</v>
      </c>
      <c r="J188" s="23">
        <v>4</v>
      </c>
      <c r="K188" s="23">
        <v>1</v>
      </c>
      <c r="L188" s="23">
        <v>1</v>
      </c>
      <c r="M188" s="23">
        <v>2</v>
      </c>
      <c r="N188" s="23">
        <v>1</v>
      </c>
      <c r="O188" s="23">
        <v>1</v>
      </c>
      <c r="P188" s="23">
        <v>-1</v>
      </c>
      <c r="Q188" s="23">
        <v>2</v>
      </c>
      <c r="R188" s="23">
        <v>1</v>
      </c>
      <c r="S188" s="23">
        <v>1</v>
      </c>
      <c r="T188" s="23">
        <v>1</v>
      </c>
      <c r="U188" s="23">
        <v>0</v>
      </c>
      <c r="V188" s="113">
        <f t="shared" si="16"/>
        <v>23</v>
      </c>
      <c r="X188" s="114">
        <f>70+V188</f>
        <v>93</v>
      </c>
      <c r="AB188" s="184">
        <f>COUNTIFS(Tabell714152021343536373839404142[[1]:[18]],5)</f>
        <v>1</v>
      </c>
      <c r="AD188" s="85" t="s">
        <v>135</v>
      </c>
      <c r="AE188" s="185">
        <f>AB188/AB189</f>
        <v>6.1728395061728392E-3</v>
      </c>
      <c r="AL188" s="84">
        <v>6</v>
      </c>
      <c r="AM188" s="213">
        <v>6</v>
      </c>
      <c r="AN188" s="213"/>
      <c r="AO188" s="213" t="s">
        <v>135</v>
      </c>
      <c r="AP188" s="214">
        <v>4.3478260869565216E-2</v>
      </c>
      <c r="AQ188" s="213"/>
      <c r="AR188" s="213"/>
      <c r="AS188" s="213"/>
      <c r="AT188" s="213"/>
      <c r="AU188" s="213"/>
    </row>
    <row r="189" spans="2:47" x14ac:dyDescent="0.25">
      <c r="B189" s="110" t="s">
        <v>113</v>
      </c>
      <c r="C189" s="111" t="s">
        <v>114</v>
      </c>
      <c r="D189" s="23">
        <v>10</v>
      </c>
      <c r="E189" s="23">
        <v>10</v>
      </c>
      <c r="F189" s="23">
        <v>10</v>
      </c>
      <c r="G189" s="23">
        <v>10</v>
      </c>
      <c r="H189" s="23">
        <v>10</v>
      </c>
      <c r="I189" s="23">
        <v>10</v>
      </c>
      <c r="J189" s="23">
        <v>10</v>
      </c>
      <c r="K189" s="23">
        <v>10</v>
      </c>
      <c r="L189" s="23">
        <v>10</v>
      </c>
      <c r="M189" s="23">
        <v>10</v>
      </c>
      <c r="N189" s="23">
        <v>10</v>
      </c>
      <c r="O189" s="23">
        <v>10</v>
      </c>
      <c r="P189" s="23">
        <v>10</v>
      </c>
      <c r="Q189" s="23">
        <v>10</v>
      </c>
      <c r="R189" s="23">
        <v>10</v>
      </c>
      <c r="S189" s="23">
        <v>10</v>
      </c>
      <c r="T189" s="23">
        <v>10</v>
      </c>
      <c r="U189" s="23">
        <v>10</v>
      </c>
      <c r="V189" s="113">
        <f t="shared" si="16"/>
        <v>180</v>
      </c>
      <c r="X189" s="114">
        <f>72+V189</f>
        <v>252</v>
      </c>
      <c r="AB189" s="97">
        <f>SUM(AB182:AB188)</f>
        <v>162</v>
      </c>
      <c r="AL189" s="84">
        <v>138</v>
      </c>
      <c r="AM189" s="213">
        <v>138</v>
      </c>
      <c r="AN189" s="213"/>
      <c r="AO189" s="213"/>
      <c r="AP189" s="213"/>
      <c r="AQ189" s="213"/>
      <c r="AR189" s="213"/>
      <c r="AS189" s="213"/>
      <c r="AT189" s="213"/>
      <c r="AU189" s="213"/>
    </row>
    <row r="190" spans="2:47" x14ac:dyDescent="0.25">
      <c r="B190" s="110" t="s">
        <v>113</v>
      </c>
      <c r="C190" s="111" t="s">
        <v>114</v>
      </c>
      <c r="D190" s="23">
        <v>2</v>
      </c>
      <c r="E190" s="23">
        <v>0</v>
      </c>
      <c r="F190" s="23">
        <v>1</v>
      </c>
      <c r="G190" s="23">
        <v>3</v>
      </c>
      <c r="H190" s="23">
        <v>1</v>
      </c>
      <c r="I190" s="23">
        <v>0</v>
      </c>
      <c r="J190" s="23">
        <v>-1</v>
      </c>
      <c r="K190" s="23">
        <v>2</v>
      </c>
      <c r="L190" s="23">
        <v>0</v>
      </c>
      <c r="M190" s="23">
        <v>3</v>
      </c>
      <c r="N190" s="23">
        <v>1</v>
      </c>
      <c r="O190" s="23">
        <v>0</v>
      </c>
      <c r="P190" s="23">
        <v>0</v>
      </c>
      <c r="Q190" s="23">
        <v>2</v>
      </c>
      <c r="R190" s="23">
        <v>1</v>
      </c>
      <c r="S190" s="23">
        <v>3</v>
      </c>
      <c r="T190" s="23">
        <v>0</v>
      </c>
      <c r="U190" s="23">
        <v>2</v>
      </c>
      <c r="V190" s="113">
        <f t="shared" si="16"/>
        <v>20</v>
      </c>
      <c r="X190" s="114">
        <f>72+V190</f>
        <v>92</v>
      </c>
      <c r="AM190" s="213"/>
      <c r="AN190" s="213"/>
      <c r="AO190" s="213"/>
      <c r="AP190" s="213"/>
      <c r="AQ190" s="213"/>
      <c r="AR190" s="213"/>
      <c r="AS190" s="213"/>
      <c r="AT190" s="213"/>
      <c r="AU190" s="213"/>
    </row>
    <row r="191" spans="2:47" x14ac:dyDescent="0.25">
      <c r="B191" s="110" t="s">
        <v>113</v>
      </c>
      <c r="C191" s="111" t="s">
        <v>114</v>
      </c>
      <c r="D191" s="23">
        <v>4</v>
      </c>
      <c r="E191" s="23">
        <v>1</v>
      </c>
      <c r="F191" s="23">
        <v>1</v>
      </c>
      <c r="G191" s="23">
        <v>2</v>
      </c>
      <c r="H191" s="23">
        <v>3</v>
      </c>
      <c r="I191" s="23">
        <v>2</v>
      </c>
      <c r="J191" s="23">
        <v>1</v>
      </c>
      <c r="K191" s="23">
        <v>1</v>
      </c>
      <c r="L191" s="23">
        <v>1</v>
      </c>
      <c r="M191" s="23">
        <v>2</v>
      </c>
      <c r="N191" s="23">
        <v>1</v>
      </c>
      <c r="O191" s="23">
        <v>2</v>
      </c>
      <c r="P191" s="23">
        <v>1</v>
      </c>
      <c r="Q191" s="23">
        <v>3</v>
      </c>
      <c r="R191" s="23">
        <v>0</v>
      </c>
      <c r="S191" s="23">
        <v>2</v>
      </c>
      <c r="T191" s="23">
        <v>1</v>
      </c>
      <c r="U191" s="23">
        <v>0</v>
      </c>
      <c r="V191" s="115">
        <f t="shared" si="16"/>
        <v>28</v>
      </c>
      <c r="X191" s="116">
        <f>72+V191</f>
        <v>100</v>
      </c>
      <c r="AM191" s="213"/>
      <c r="AN191" s="213"/>
      <c r="AO191" s="213"/>
      <c r="AP191" s="213"/>
      <c r="AQ191" s="213"/>
      <c r="AR191" s="213"/>
      <c r="AS191" s="213"/>
      <c r="AT191" s="213"/>
      <c r="AU191" s="213"/>
    </row>
    <row r="192" spans="2:47" x14ac:dyDescent="0.25">
      <c r="B192" s="110" t="s">
        <v>113</v>
      </c>
      <c r="C192" s="111" t="s">
        <v>114</v>
      </c>
      <c r="D192" s="23">
        <v>4</v>
      </c>
      <c r="E192" s="23">
        <v>1</v>
      </c>
      <c r="F192" s="23">
        <v>1</v>
      </c>
      <c r="G192" s="23">
        <v>2</v>
      </c>
      <c r="H192" s="23">
        <v>3</v>
      </c>
      <c r="I192" s="23">
        <v>2</v>
      </c>
      <c r="J192" s="23">
        <v>1</v>
      </c>
      <c r="K192" s="23">
        <v>1</v>
      </c>
      <c r="L192" s="23">
        <v>1</v>
      </c>
      <c r="M192" s="23">
        <v>2</v>
      </c>
      <c r="N192" s="23">
        <v>1</v>
      </c>
      <c r="O192" s="23">
        <v>2</v>
      </c>
      <c r="P192" s="23">
        <v>1</v>
      </c>
      <c r="Q192" s="23">
        <v>3</v>
      </c>
      <c r="R192" s="23">
        <v>0</v>
      </c>
      <c r="S192" s="23">
        <v>2</v>
      </c>
      <c r="T192" s="23">
        <v>1</v>
      </c>
      <c r="U192" s="23">
        <v>0</v>
      </c>
      <c r="V192" s="170">
        <f>SUM(D192:U192)</f>
        <v>28</v>
      </c>
      <c r="AM192" s="213"/>
      <c r="AN192" s="213"/>
      <c r="AO192" s="213"/>
      <c r="AP192" s="213"/>
      <c r="AQ192" s="213"/>
      <c r="AR192" s="213"/>
      <c r="AS192" s="213"/>
      <c r="AT192" s="213"/>
      <c r="AU192" s="213"/>
    </row>
    <row r="193" spans="2:47" x14ac:dyDescent="0.25">
      <c r="B193" s="9" t="s">
        <v>20</v>
      </c>
      <c r="C193" s="10" t="s">
        <v>21</v>
      </c>
      <c r="D193" s="29" t="s">
        <v>22</v>
      </c>
      <c r="E193" s="29" t="s">
        <v>23</v>
      </c>
      <c r="F193" s="29" t="s">
        <v>24</v>
      </c>
      <c r="G193" s="29" t="s">
        <v>25</v>
      </c>
      <c r="H193" s="29" t="s">
        <v>26</v>
      </c>
      <c r="I193" s="29" t="s">
        <v>27</v>
      </c>
      <c r="J193" s="29" t="s">
        <v>28</v>
      </c>
      <c r="K193" s="29" t="s">
        <v>29</v>
      </c>
      <c r="L193" s="29" t="s">
        <v>30</v>
      </c>
      <c r="M193" s="29" t="s">
        <v>72</v>
      </c>
      <c r="N193" s="29" t="s">
        <v>73</v>
      </c>
      <c r="O193" s="29" t="s">
        <v>74</v>
      </c>
      <c r="P193" s="29" t="s">
        <v>75</v>
      </c>
      <c r="Q193" s="29" t="s">
        <v>76</v>
      </c>
      <c r="R193" s="29" t="s">
        <v>77</v>
      </c>
      <c r="S193" s="29" t="s">
        <v>78</v>
      </c>
      <c r="T193" s="29" t="s">
        <v>79</v>
      </c>
      <c r="U193" s="29" t="s">
        <v>80</v>
      </c>
      <c r="V193" s="92" t="s">
        <v>39</v>
      </c>
      <c r="X193" s="112" t="s">
        <v>84</v>
      </c>
      <c r="AB193" s="184">
        <f>COUNTIFS(Tabell71415202134353637383940414272[[1]:[18]],-1)</f>
        <v>3</v>
      </c>
      <c r="AD193" s="85" t="s">
        <v>34</v>
      </c>
      <c r="AE193" s="185">
        <f>AB193/AB200</f>
        <v>2.3809523809523808E-2</v>
      </c>
      <c r="AL193" s="84">
        <v>0</v>
      </c>
      <c r="AM193" s="213">
        <v>0</v>
      </c>
      <c r="AN193" s="213"/>
      <c r="AO193" s="213" t="s">
        <v>34</v>
      </c>
      <c r="AP193" s="214">
        <v>0</v>
      </c>
      <c r="AQ193" s="213"/>
      <c r="AR193" s="213"/>
      <c r="AS193" s="213"/>
      <c r="AT193" s="213"/>
      <c r="AU193" s="213"/>
    </row>
    <row r="194" spans="2:47" x14ac:dyDescent="0.25">
      <c r="B194" s="9" t="s">
        <v>108</v>
      </c>
      <c r="C194" s="111" t="s">
        <v>109</v>
      </c>
      <c r="D194" s="23">
        <v>2</v>
      </c>
      <c r="E194" s="23">
        <v>4</v>
      </c>
      <c r="F194" s="23">
        <v>0</v>
      </c>
      <c r="G194" s="23">
        <v>1</v>
      </c>
      <c r="H194" s="23">
        <v>1</v>
      </c>
      <c r="I194" s="23">
        <v>1</v>
      </c>
      <c r="J194" s="23">
        <v>2</v>
      </c>
      <c r="K194" s="23">
        <v>4</v>
      </c>
      <c r="L194" s="23">
        <v>2</v>
      </c>
      <c r="M194" s="23">
        <v>2</v>
      </c>
      <c r="N194" s="23">
        <v>2</v>
      </c>
      <c r="O194" s="23">
        <v>1</v>
      </c>
      <c r="P194" s="23">
        <v>-1</v>
      </c>
      <c r="Q194" s="23">
        <v>2</v>
      </c>
      <c r="R194" s="23">
        <v>1</v>
      </c>
      <c r="S194" s="23">
        <v>2</v>
      </c>
      <c r="T194" s="23">
        <v>1</v>
      </c>
      <c r="U194" s="23">
        <v>1</v>
      </c>
      <c r="V194" s="113">
        <f t="shared" ref="V194:V201" si="17">SUM(D194:U194)</f>
        <v>28</v>
      </c>
      <c r="X194" s="114">
        <f>72+V194</f>
        <v>100</v>
      </c>
      <c r="AB194" s="184">
        <f>COUNTIFS(Tabell71415202134353637383940414272[[1]:[18]],0)</f>
        <v>21</v>
      </c>
      <c r="AD194" s="85" t="s">
        <v>83</v>
      </c>
      <c r="AE194" s="185">
        <f>AB194/AB200</f>
        <v>0.16666666666666666</v>
      </c>
      <c r="AL194" s="84">
        <v>10</v>
      </c>
      <c r="AM194" s="213">
        <v>10</v>
      </c>
      <c r="AN194" s="213"/>
      <c r="AO194" s="213" t="s">
        <v>83</v>
      </c>
      <c r="AP194" s="214">
        <v>0.27777777777777779</v>
      </c>
      <c r="AQ194" s="213"/>
      <c r="AR194" s="213"/>
      <c r="AS194" s="213"/>
      <c r="AT194" s="213"/>
      <c r="AU194" s="213"/>
    </row>
    <row r="195" spans="2:47" x14ac:dyDescent="0.25">
      <c r="B195" s="9" t="s">
        <v>108</v>
      </c>
      <c r="C195" s="111" t="s">
        <v>109</v>
      </c>
      <c r="D195" s="23">
        <v>10</v>
      </c>
      <c r="E195" s="23">
        <v>10</v>
      </c>
      <c r="F195" s="23">
        <v>10</v>
      </c>
      <c r="G195" s="23">
        <v>10</v>
      </c>
      <c r="H195" s="23">
        <v>10</v>
      </c>
      <c r="I195" s="23">
        <v>10</v>
      </c>
      <c r="J195" s="23">
        <v>10</v>
      </c>
      <c r="K195" s="23">
        <v>10</v>
      </c>
      <c r="L195" s="23">
        <v>10</v>
      </c>
      <c r="M195" s="23">
        <v>10</v>
      </c>
      <c r="N195" s="23">
        <v>10</v>
      </c>
      <c r="O195" s="23">
        <v>10</v>
      </c>
      <c r="P195" s="23">
        <v>10</v>
      </c>
      <c r="Q195" s="23">
        <v>10</v>
      </c>
      <c r="R195" s="23">
        <v>10</v>
      </c>
      <c r="S195" s="23">
        <v>10</v>
      </c>
      <c r="T195" s="23">
        <v>10</v>
      </c>
      <c r="U195" s="23">
        <v>10</v>
      </c>
      <c r="V195" s="113">
        <f t="shared" si="17"/>
        <v>180</v>
      </c>
      <c r="X195" s="114">
        <f>71+V195</f>
        <v>251</v>
      </c>
      <c r="AB195" s="184">
        <f>COUNTIFS(Tabell71415202134353637383940414272[[1]:[18]],1)</f>
        <v>54</v>
      </c>
      <c r="AD195" s="85" t="s">
        <v>131</v>
      </c>
      <c r="AE195" s="185">
        <f>AB195/AB200</f>
        <v>0.42857142857142855</v>
      </c>
      <c r="AL195" s="84">
        <v>6</v>
      </c>
      <c r="AM195" s="213">
        <v>6</v>
      </c>
      <c r="AN195" s="213"/>
      <c r="AO195" s="213" t="s">
        <v>131</v>
      </c>
      <c r="AP195" s="214">
        <v>0.16666666666666666</v>
      </c>
      <c r="AQ195" s="213"/>
      <c r="AR195" s="213"/>
      <c r="AS195" s="213"/>
      <c r="AT195" s="213"/>
      <c r="AU195" s="213"/>
    </row>
    <row r="196" spans="2:47" x14ac:dyDescent="0.25">
      <c r="B196" s="9" t="s">
        <v>108</v>
      </c>
      <c r="C196" s="111" t="s">
        <v>109</v>
      </c>
      <c r="D196" s="23">
        <v>2</v>
      </c>
      <c r="E196" s="23">
        <v>1</v>
      </c>
      <c r="F196" s="23">
        <v>2</v>
      </c>
      <c r="G196" s="23">
        <v>1</v>
      </c>
      <c r="H196" s="23">
        <v>1</v>
      </c>
      <c r="I196" s="23">
        <v>0</v>
      </c>
      <c r="J196" s="23">
        <v>0</v>
      </c>
      <c r="K196" s="23">
        <v>2</v>
      </c>
      <c r="L196" s="23">
        <v>0</v>
      </c>
      <c r="M196" s="23">
        <v>2</v>
      </c>
      <c r="N196" s="23">
        <v>1</v>
      </c>
      <c r="O196" s="23">
        <v>0</v>
      </c>
      <c r="P196" s="23">
        <v>-1</v>
      </c>
      <c r="Q196" s="23">
        <v>0</v>
      </c>
      <c r="R196" s="23">
        <v>1</v>
      </c>
      <c r="S196" s="23">
        <v>2</v>
      </c>
      <c r="T196" s="23">
        <v>2</v>
      </c>
      <c r="U196" s="23">
        <v>1</v>
      </c>
      <c r="V196" s="113">
        <f t="shared" si="17"/>
        <v>17</v>
      </c>
      <c r="X196" s="114">
        <f>72+V196</f>
        <v>89</v>
      </c>
      <c r="AB196" s="184">
        <f>COUNTIFS(Tabell71415202134353637383940414272[[1]:[18]],2)</f>
        <v>36</v>
      </c>
      <c r="AD196" s="85" t="s">
        <v>132</v>
      </c>
      <c r="AE196" s="185">
        <f>AB196/AB200</f>
        <v>0.2857142857142857</v>
      </c>
      <c r="AL196" s="84">
        <v>10</v>
      </c>
      <c r="AM196" s="213">
        <v>10</v>
      </c>
      <c r="AN196" s="213"/>
      <c r="AO196" s="213" t="s">
        <v>132</v>
      </c>
      <c r="AP196" s="214">
        <v>0.27777777777777779</v>
      </c>
      <c r="AQ196" s="213"/>
      <c r="AR196" s="213"/>
      <c r="AS196" s="213"/>
      <c r="AT196" s="213"/>
      <c r="AU196" s="213"/>
    </row>
    <row r="197" spans="2:47" x14ac:dyDescent="0.25">
      <c r="B197" s="9" t="s">
        <v>108</v>
      </c>
      <c r="C197" s="111" t="s">
        <v>109</v>
      </c>
      <c r="D197" s="23">
        <v>2</v>
      </c>
      <c r="E197" s="23">
        <v>1</v>
      </c>
      <c r="F197" s="23">
        <v>2</v>
      </c>
      <c r="G197" s="23">
        <v>2</v>
      </c>
      <c r="H197" s="23">
        <v>2</v>
      </c>
      <c r="I197" s="23">
        <v>0</v>
      </c>
      <c r="J197" s="23">
        <v>1</v>
      </c>
      <c r="K197" s="23">
        <v>1</v>
      </c>
      <c r="L197" s="23">
        <v>2</v>
      </c>
      <c r="M197" s="23">
        <v>1</v>
      </c>
      <c r="N197" s="23">
        <v>2</v>
      </c>
      <c r="O197" s="23">
        <v>1</v>
      </c>
      <c r="P197" s="23">
        <v>1</v>
      </c>
      <c r="Q197" s="23">
        <v>1</v>
      </c>
      <c r="R197" s="23">
        <v>1</v>
      </c>
      <c r="S197" s="23">
        <v>2</v>
      </c>
      <c r="T197" s="23">
        <v>2</v>
      </c>
      <c r="U197" s="23">
        <v>0</v>
      </c>
      <c r="V197" s="113">
        <f t="shared" si="17"/>
        <v>24</v>
      </c>
      <c r="X197" s="114">
        <f>72+V197</f>
        <v>96</v>
      </c>
      <c r="AB197" s="184">
        <f>COUNTIFS(Tabell71415202134353637383940414272[[1]:[18]],3)</f>
        <v>7</v>
      </c>
      <c r="AD197" s="85" t="s">
        <v>133</v>
      </c>
      <c r="AE197" s="185">
        <f>AB197/AB200</f>
        <v>5.5555555555555552E-2</v>
      </c>
      <c r="AL197" s="84">
        <v>6</v>
      </c>
      <c r="AM197" s="213">
        <v>6</v>
      </c>
      <c r="AN197" s="213"/>
      <c r="AO197" s="213" t="s">
        <v>133</v>
      </c>
      <c r="AP197" s="214">
        <v>0.16666666666666666</v>
      </c>
      <c r="AQ197" s="213"/>
      <c r="AR197" s="213"/>
      <c r="AS197" s="213"/>
      <c r="AT197" s="213"/>
      <c r="AU197" s="213"/>
    </row>
    <row r="198" spans="2:47" x14ac:dyDescent="0.25">
      <c r="B198" s="9" t="s">
        <v>108</v>
      </c>
      <c r="C198" s="111" t="s">
        <v>109</v>
      </c>
      <c r="D198" s="23">
        <v>0</v>
      </c>
      <c r="E198" s="23">
        <v>0</v>
      </c>
      <c r="F198" s="23">
        <v>4</v>
      </c>
      <c r="G198" s="23">
        <v>-1</v>
      </c>
      <c r="H198" s="23">
        <v>2</v>
      </c>
      <c r="I198" s="23">
        <v>2</v>
      </c>
      <c r="J198" s="23">
        <v>1</v>
      </c>
      <c r="K198" s="23">
        <v>1</v>
      </c>
      <c r="L198" s="23">
        <v>2</v>
      </c>
      <c r="M198" s="23">
        <v>1</v>
      </c>
      <c r="N198" s="23">
        <v>1</v>
      </c>
      <c r="O198" s="23">
        <v>3</v>
      </c>
      <c r="P198" s="23">
        <v>0</v>
      </c>
      <c r="Q198" s="23">
        <v>3</v>
      </c>
      <c r="R198" s="23">
        <v>1</v>
      </c>
      <c r="S198" s="23">
        <v>1</v>
      </c>
      <c r="T198" s="23">
        <v>1</v>
      </c>
      <c r="U198" s="23">
        <v>0</v>
      </c>
      <c r="V198" s="113">
        <f t="shared" si="17"/>
        <v>22</v>
      </c>
      <c r="X198" s="114">
        <f>71+V198</f>
        <v>93</v>
      </c>
      <c r="AB198" s="184">
        <f>COUNTIFS(Tabell71415202134353637383940414272[[1]:[18]],4)</f>
        <v>4</v>
      </c>
      <c r="AD198" s="85" t="s">
        <v>134</v>
      </c>
      <c r="AE198" s="185">
        <f>AB198/AB200</f>
        <v>3.1746031746031744E-2</v>
      </c>
      <c r="AL198" s="84">
        <v>3</v>
      </c>
      <c r="AM198" s="213">
        <v>3</v>
      </c>
      <c r="AN198" s="213"/>
      <c r="AO198" s="213" t="s">
        <v>134</v>
      </c>
      <c r="AP198" s="214">
        <v>8.3333333333333329E-2</v>
      </c>
      <c r="AQ198" s="213"/>
      <c r="AR198" s="213"/>
      <c r="AS198" s="213"/>
      <c r="AT198" s="213"/>
      <c r="AU198" s="213"/>
    </row>
    <row r="199" spans="2:47" x14ac:dyDescent="0.25">
      <c r="B199" s="9" t="s">
        <v>108</v>
      </c>
      <c r="C199" s="111" t="s">
        <v>109</v>
      </c>
      <c r="D199" s="23">
        <v>3</v>
      </c>
      <c r="E199" s="23">
        <v>0</v>
      </c>
      <c r="F199" s="23">
        <v>1</v>
      </c>
      <c r="G199" s="23">
        <v>1</v>
      </c>
      <c r="H199" s="23">
        <v>1</v>
      </c>
      <c r="I199" s="23">
        <v>1</v>
      </c>
      <c r="J199" s="23">
        <v>1</v>
      </c>
      <c r="K199" s="23">
        <v>0</v>
      </c>
      <c r="L199" s="23">
        <v>1</v>
      </c>
      <c r="M199" s="23">
        <v>1</v>
      </c>
      <c r="N199" s="23">
        <v>0</v>
      </c>
      <c r="O199" s="23">
        <v>1</v>
      </c>
      <c r="P199" s="23">
        <v>3</v>
      </c>
      <c r="Q199" s="23">
        <v>1</v>
      </c>
      <c r="R199" s="23">
        <v>1</v>
      </c>
      <c r="S199" s="23">
        <v>0</v>
      </c>
      <c r="T199" s="23">
        <v>2</v>
      </c>
      <c r="U199" s="23">
        <v>1</v>
      </c>
      <c r="V199" s="113">
        <f t="shared" si="17"/>
        <v>19</v>
      </c>
      <c r="X199" s="114">
        <f>70+V199</f>
        <v>89</v>
      </c>
      <c r="AB199" s="184">
        <f>COUNTIFS(Tabell71415202134353637383940414272[[1]:[18]],5)</f>
        <v>1</v>
      </c>
      <c r="AD199" s="85" t="s">
        <v>135</v>
      </c>
      <c r="AE199" s="185">
        <f>AB199/AB200</f>
        <v>7.9365079365079361E-3</v>
      </c>
      <c r="AL199" s="84">
        <v>1</v>
      </c>
      <c r="AM199" s="213">
        <v>1</v>
      </c>
      <c r="AN199" s="213"/>
      <c r="AO199" s="213" t="s">
        <v>135</v>
      </c>
      <c r="AP199" s="214">
        <v>2.7777777777777776E-2</v>
      </c>
      <c r="AQ199" s="213"/>
      <c r="AR199" s="213"/>
      <c r="AS199" s="213"/>
      <c r="AT199" s="213"/>
      <c r="AU199" s="213"/>
    </row>
    <row r="200" spans="2:47" x14ac:dyDescent="0.25">
      <c r="B200" s="9" t="s">
        <v>108</v>
      </c>
      <c r="C200" s="111" t="s">
        <v>109</v>
      </c>
      <c r="D200" s="23">
        <v>10</v>
      </c>
      <c r="E200" s="23">
        <v>10</v>
      </c>
      <c r="F200" s="23">
        <v>10</v>
      </c>
      <c r="G200" s="23">
        <v>10</v>
      </c>
      <c r="H200" s="23">
        <v>10</v>
      </c>
      <c r="I200" s="23">
        <v>10</v>
      </c>
      <c r="J200" s="23">
        <v>10</v>
      </c>
      <c r="K200" s="23">
        <v>10</v>
      </c>
      <c r="L200" s="23">
        <v>10</v>
      </c>
      <c r="M200" s="23">
        <v>10</v>
      </c>
      <c r="N200" s="23">
        <v>10</v>
      </c>
      <c r="O200" s="23">
        <v>10</v>
      </c>
      <c r="P200" s="23">
        <v>10</v>
      </c>
      <c r="Q200" s="23">
        <v>10</v>
      </c>
      <c r="R200" s="23">
        <v>10</v>
      </c>
      <c r="S200" s="23">
        <v>10</v>
      </c>
      <c r="T200" s="23">
        <v>10</v>
      </c>
      <c r="U200" s="23">
        <v>10</v>
      </c>
      <c r="V200" s="113">
        <f t="shared" si="17"/>
        <v>180</v>
      </c>
      <c r="X200" s="114">
        <f>72+V200</f>
        <v>252</v>
      </c>
      <c r="AB200" s="97">
        <f>SUM(AB193:AB199)</f>
        <v>126</v>
      </c>
      <c r="AL200" s="84">
        <v>36</v>
      </c>
      <c r="AM200" s="213">
        <v>36</v>
      </c>
      <c r="AN200" s="213"/>
      <c r="AO200" s="213"/>
      <c r="AP200" s="213"/>
      <c r="AQ200" s="213"/>
      <c r="AR200" s="213"/>
      <c r="AS200" s="213"/>
      <c r="AT200" s="213"/>
      <c r="AU200" s="213"/>
    </row>
    <row r="201" spans="2:47" x14ac:dyDescent="0.25">
      <c r="B201" s="9" t="s">
        <v>108</v>
      </c>
      <c r="C201" s="111" t="s">
        <v>109</v>
      </c>
      <c r="D201" s="23">
        <v>1</v>
      </c>
      <c r="E201" s="23">
        <v>2</v>
      </c>
      <c r="F201" s="23">
        <v>1</v>
      </c>
      <c r="G201" s="23">
        <v>1</v>
      </c>
      <c r="H201" s="23">
        <v>2</v>
      </c>
      <c r="I201" s="23">
        <v>1</v>
      </c>
      <c r="J201" s="23">
        <v>1</v>
      </c>
      <c r="K201" s="23">
        <v>1</v>
      </c>
      <c r="L201" s="23">
        <v>0</v>
      </c>
      <c r="M201" s="23">
        <v>2</v>
      </c>
      <c r="N201" s="23">
        <v>1</v>
      </c>
      <c r="O201" s="23">
        <v>4</v>
      </c>
      <c r="P201" s="23">
        <v>1</v>
      </c>
      <c r="Q201" s="23">
        <v>3</v>
      </c>
      <c r="R201" s="23">
        <v>2</v>
      </c>
      <c r="S201" s="23">
        <v>3</v>
      </c>
      <c r="T201" s="23">
        <v>2</v>
      </c>
      <c r="U201" s="23">
        <v>0</v>
      </c>
      <c r="V201" s="113">
        <f t="shared" si="17"/>
        <v>28</v>
      </c>
      <c r="X201" s="114">
        <f>72+V201</f>
        <v>100</v>
      </c>
      <c r="AM201" s="213"/>
      <c r="AN201" s="213"/>
      <c r="AO201" s="213"/>
      <c r="AP201" s="213"/>
      <c r="AQ201" s="213"/>
      <c r="AR201" s="213"/>
      <c r="AS201" s="213"/>
      <c r="AT201" s="213"/>
      <c r="AU201" s="213"/>
    </row>
    <row r="202" spans="2:47" x14ac:dyDescent="0.25">
      <c r="B202" s="110" t="s">
        <v>108</v>
      </c>
      <c r="C202" s="111" t="s">
        <v>109</v>
      </c>
      <c r="D202" s="23">
        <v>5</v>
      </c>
      <c r="E202" s="23">
        <v>1</v>
      </c>
      <c r="F202" s="23">
        <v>1</v>
      </c>
      <c r="G202" s="23">
        <v>2</v>
      </c>
      <c r="H202" s="23">
        <v>1</v>
      </c>
      <c r="I202" s="23">
        <v>1</v>
      </c>
      <c r="J202" s="23">
        <v>0</v>
      </c>
      <c r="K202" s="23">
        <v>0</v>
      </c>
      <c r="L202" s="23">
        <v>1</v>
      </c>
      <c r="M202" s="23">
        <v>2</v>
      </c>
      <c r="N202" s="23">
        <v>0</v>
      </c>
      <c r="O202" s="23">
        <v>3</v>
      </c>
      <c r="P202" s="23">
        <v>2</v>
      </c>
      <c r="Q202" s="23">
        <v>1</v>
      </c>
      <c r="R202" s="23">
        <v>2</v>
      </c>
      <c r="S202" s="23">
        <v>1</v>
      </c>
      <c r="T202" s="23">
        <v>2</v>
      </c>
      <c r="U202" s="23">
        <v>2</v>
      </c>
      <c r="V202" s="113">
        <f>SUM(D202:U202)</f>
        <v>27</v>
      </c>
      <c r="X202" s="114">
        <f>72+V202</f>
        <v>99</v>
      </c>
      <c r="AM202" s="213"/>
      <c r="AN202" s="213"/>
      <c r="AO202" s="213"/>
      <c r="AP202" s="213"/>
      <c r="AQ202" s="213"/>
      <c r="AR202" s="213"/>
      <c r="AS202" s="213"/>
      <c r="AT202" s="213"/>
      <c r="AU202" s="213"/>
    </row>
    <row r="203" spans="2:47" x14ac:dyDescent="0.25">
      <c r="B203" s="110" t="s">
        <v>108</v>
      </c>
      <c r="C203" s="111" t="s">
        <v>109</v>
      </c>
      <c r="D203" s="23">
        <v>10</v>
      </c>
      <c r="E203" s="23">
        <v>10</v>
      </c>
      <c r="F203" s="23">
        <v>10</v>
      </c>
      <c r="G203" s="23">
        <v>10</v>
      </c>
      <c r="H203" s="23">
        <v>10</v>
      </c>
      <c r="I203" s="23">
        <v>10</v>
      </c>
      <c r="J203" s="23">
        <v>10</v>
      </c>
      <c r="K203" s="23">
        <v>10</v>
      </c>
      <c r="L203" s="23">
        <v>10</v>
      </c>
      <c r="M203" s="23">
        <v>10</v>
      </c>
      <c r="N203" s="23">
        <v>10</v>
      </c>
      <c r="O203" s="23">
        <v>10</v>
      </c>
      <c r="P203" s="23">
        <v>10</v>
      </c>
      <c r="Q203" s="23">
        <v>10</v>
      </c>
      <c r="R203" s="23">
        <v>10</v>
      </c>
      <c r="S203" s="23">
        <v>10</v>
      </c>
      <c r="T203" s="23">
        <v>10</v>
      </c>
      <c r="U203" s="23">
        <v>10</v>
      </c>
      <c r="V203" s="113">
        <f>SUM(D203:U203)</f>
        <v>180</v>
      </c>
      <c r="X203" s="116">
        <f>72+V203</f>
        <v>252</v>
      </c>
      <c r="AM203" s="213"/>
      <c r="AN203" s="213"/>
      <c r="AO203" s="213"/>
      <c r="AP203" s="213"/>
      <c r="AQ203" s="213"/>
      <c r="AR203" s="213"/>
      <c r="AS203" s="213"/>
      <c r="AT203" s="213"/>
      <c r="AU203" s="213"/>
    </row>
    <row r="204" spans="2:47" x14ac:dyDescent="0.25">
      <c r="AM204" s="213"/>
      <c r="AN204" s="213"/>
      <c r="AO204" s="213"/>
      <c r="AP204" s="213"/>
      <c r="AQ204" s="213"/>
      <c r="AR204" s="213"/>
      <c r="AS204" s="213"/>
      <c r="AT204" s="213"/>
      <c r="AU204" s="213"/>
    </row>
    <row r="205" spans="2:47" x14ac:dyDescent="0.25">
      <c r="B205" s="9" t="s">
        <v>20</v>
      </c>
      <c r="C205" s="10" t="s">
        <v>21</v>
      </c>
      <c r="D205" s="29" t="s">
        <v>22</v>
      </c>
      <c r="E205" s="29" t="s">
        <v>23</v>
      </c>
      <c r="F205" s="29" t="s">
        <v>24</v>
      </c>
      <c r="G205" s="29" t="s">
        <v>25</v>
      </c>
      <c r="H205" s="29" t="s">
        <v>26</v>
      </c>
      <c r="I205" s="29" t="s">
        <v>27</v>
      </c>
      <c r="J205" s="29" t="s">
        <v>28</v>
      </c>
      <c r="K205" s="29" t="s">
        <v>29</v>
      </c>
      <c r="L205" s="29" t="s">
        <v>30</v>
      </c>
      <c r="M205" s="29" t="s">
        <v>72</v>
      </c>
      <c r="N205" s="29" t="s">
        <v>73</v>
      </c>
      <c r="O205" s="29" t="s">
        <v>74</v>
      </c>
      <c r="P205" s="29" t="s">
        <v>75</v>
      </c>
      <c r="Q205" s="29" t="s">
        <v>76</v>
      </c>
      <c r="R205" s="29" t="s">
        <v>77</v>
      </c>
      <c r="S205" s="29" t="s">
        <v>78</v>
      </c>
      <c r="T205" s="29" t="s">
        <v>79</v>
      </c>
      <c r="U205" s="29" t="s">
        <v>80</v>
      </c>
      <c r="V205" s="92" t="s">
        <v>39</v>
      </c>
      <c r="X205" s="112" t="s">
        <v>84</v>
      </c>
      <c r="AB205" s="184">
        <f>COUNTIFS(Tabell714152021343536373839404142722[[1]:[18]],-1)</f>
        <v>0</v>
      </c>
      <c r="AD205" s="85" t="s">
        <v>34</v>
      </c>
      <c r="AE205" s="185">
        <f>AB205/AB212</f>
        <v>0</v>
      </c>
      <c r="AL205" s="84">
        <v>1</v>
      </c>
      <c r="AM205" s="213">
        <v>1</v>
      </c>
      <c r="AN205" s="213"/>
      <c r="AO205" s="213" t="s">
        <v>34</v>
      </c>
      <c r="AP205" s="214">
        <v>9.3457943925233638E-3</v>
      </c>
      <c r="AQ205" s="213"/>
      <c r="AR205" s="213"/>
      <c r="AS205" s="213"/>
      <c r="AT205" s="213"/>
      <c r="AU205" s="213"/>
    </row>
    <row r="206" spans="2:47" x14ac:dyDescent="0.25">
      <c r="B206" s="9" t="s">
        <v>2</v>
      </c>
      <c r="C206" s="111" t="s">
        <v>159</v>
      </c>
      <c r="D206" s="23">
        <v>2</v>
      </c>
      <c r="E206" s="23">
        <v>2</v>
      </c>
      <c r="F206" s="23">
        <v>1</v>
      </c>
      <c r="G206" s="23">
        <v>3</v>
      </c>
      <c r="H206" s="23">
        <v>2</v>
      </c>
      <c r="I206" s="23">
        <v>2</v>
      </c>
      <c r="J206" s="23">
        <v>0</v>
      </c>
      <c r="K206" s="23">
        <v>5</v>
      </c>
      <c r="L206" s="23">
        <v>1</v>
      </c>
      <c r="M206" s="23">
        <v>2</v>
      </c>
      <c r="N206" s="23">
        <v>1</v>
      </c>
      <c r="O206" s="23">
        <v>2</v>
      </c>
      <c r="P206" s="23">
        <v>4</v>
      </c>
      <c r="Q206" s="23">
        <v>2</v>
      </c>
      <c r="R206" s="23">
        <v>1</v>
      </c>
      <c r="S206" s="23">
        <v>2</v>
      </c>
      <c r="T206" s="23">
        <v>3</v>
      </c>
      <c r="U206" s="23">
        <v>3</v>
      </c>
      <c r="V206" s="113">
        <f t="shared" ref="V206:V215" si="18">SUM(D206:U206)</f>
        <v>38</v>
      </c>
      <c r="X206" s="114">
        <f>72+V206</f>
        <v>110</v>
      </c>
      <c r="AB206" s="184">
        <f>COUNTIFS(Tabell714152021343536373839404142722[[1]:[18]],0)</f>
        <v>15</v>
      </c>
      <c r="AD206" s="85" t="s">
        <v>83</v>
      </c>
      <c r="AE206" s="185">
        <f>AB206/AB212</f>
        <v>0.10416666666666667</v>
      </c>
      <c r="AL206" s="84">
        <v>5</v>
      </c>
      <c r="AM206" s="213">
        <v>5</v>
      </c>
      <c r="AN206" s="213"/>
      <c r="AO206" s="213" t="s">
        <v>83</v>
      </c>
      <c r="AP206" s="214">
        <v>4.6728971962616821E-2</v>
      </c>
      <c r="AQ206" s="213"/>
      <c r="AR206" s="213"/>
      <c r="AS206" s="213"/>
      <c r="AT206" s="213"/>
      <c r="AU206" s="213"/>
    </row>
    <row r="207" spans="2:47" x14ac:dyDescent="0.25">
      <c r="B207" s="9" t="s">
        <v>2</v>
      </c>
      <c r="C207" s="111" t="s">
        <v>159</v>
      </c>
      <c r="D207" s="23">
        <v>3</v>
      </c>
      <c r="E207" s="23">
        <v>1</v>
      </c>
      <c r="F207" s="23">
        <v>5</v>
      </c>
      <c r="G207" s="23">
        <v>4</v>
      </c>
      <c r="H207" s="23">
        <v>2</v>
      </c>
      <c r="I207" s="23">
        <v>2</v>
      </c>
      <c r="J207" s="23">
        <v>2</v>
      </c>
      <c r="K207" s="23">
        <v>2</v>
      </c>
      <c r="L207" s="23">
        <v>3</v>
      </c>
      <c r="M207" s="23">
        <v>3</v>
      </c>
      <c r="N207" s="23">
        <v>1</v>
      </c>
      <c r="O207" s="23">
        <v>0</v>
      </c>
      <c r="P207" s="23">
        <v>1</v>
      </c>
      <c r="Q207" s="23">
        <v>0</v>
      </c>
      <c r="R207" s="23">
        <v>2</v>
      </c>
      <c r="S207" s="23">
        <v>0</v>
      </c>
      <c r="T207" s="23">
        <v>2</v>
      </c>
      <c r="U207" s="23">
        <v>2</v>
      </c>
      <c r="V207" s="113">
        <f t="shared" si="18"/>
        <v>35</v>
      </c>
      <c r="X207" s="114">
        <f>70+V207</f>
        <v>105</v>
      </c>
      <c r="AB207" s="184">
        <f>COUNTIFS(Tabell714152021343536373839404142722[[1]:[18]],1)</f>
        <v>43</v>
      </c>
      <c r="AD207" s="85" t="s">
        <v>131</v>
      </c>
      <c r="AE207" s="185">
        <f>AB207/AB212</f>
        <v>0.2986111111111111</v>
      </c>
      <c r="AL207" s="84">
        <v>35</v>
      </c>
      <c r="AM207" s="213">
        <v>35</v>
      </c>
      <c r="AN207" s="213"/>
      <c r="AO207" s="213" t="s">
        <v>131</v>
      </c>
      <c r="AP207" s="214">
        <v>0.32710280373831774</v>
      </c>
      <c r="AQ207" s="213"/>
      <c r="AR207" s="213"/>
      <c r="AS207" s="213"/>
      <c r="AT207" s="213"/>
      <c r="AU207" s="213"/>
    </row>
    <row r="208" spans="2:47" x14ac:dyDescent="0.25">
      <c r="B208" s="9" t="s">
        <v>2</v>
      </c>
      <c r="C208" s="111" t="s">
        <v>159</v>
      </c>
      <c r="D208" s="23">
        <v>2</v>
      </c>
      <c r="E208" s="23">
        <v>2</v>
      </c>
      <c r="F208" s="23">
        <v>3</v>
      </c>
      <c r="G208" s="23">
        <v>2</v>
      </c>
      <c r="H208" s="23">
        <v>0</v>
      </c>
      <c r="I208" s="23">
        <v>3</v>
      </c>
      <c r="J208" s="23">
        <v>1</v>
      </c>
      <c r="K208" s="23">
        <v>2</v>
      </c>
      <c r="L208" s="23">
        <v>3</v>
      </c>
      <c r="M208" s="23">
        <v>1</v>
      </c>
      <c r="N208" s="23">
        <v>1</v>
      </c>
      <c r="O208" s="23">
        <v>2</v>
      </c>
      <c r="P208" s="23">
        <v>1</v>
      </c>
      <c r="Q208" s="23">
        <v>4</v>
      </c>
      <c r="R208" s="23">
        <v>5</v>
      </c>
      <c r="S208" s="23">
        <v>1</v>
      </c>
      <c r="T208" s="23">
        <v>2</v>
      </c>
      <c r="U208" s="23">
        <v>0</v>
      </c>
      <c r="V208" s="113">
        <f t="shared" si="18"/>
        <v>35</v>
      </c>
      <c r="X208" s="114">
        <f>72+V208</f>
        <v>107</v>
      </c>
      <c r="AB208" s="184">
        <f>COUNTIFS(Tabell714152021343536373839404142722[[1]:[18]],2)</f>
        <v>46</v>
      </c>
      <c r="AD208" s="85" t="s">
        <v>132</v>
      </c>
      <c r="AE208" s="185">
        <f>AB208/AB212</f>
        <v>0.31944444444444442</v>
      </c>
      <c r="AL208" s="84">
        <v>28</v>
      </c>
      <c r="AM208" s="213">
        <v>28</v>
      </c>
      <c r="AN208" s="213"/>
      <c r="AO208" s="213" t="s">
        <v>132</v>
      </c>
      <c r="AP208" s="214">
        <v>0.26168224299065418</v>
      </c>
      <c r="AQ208" s="213"/>
      <c r="AR208" s="213"/>
      <c r="AS208" s="213"/>
      <c r="AT208" s="213"/>
      <c r="AU208" s="213"/>
    </row>
    <row r="209" spans="2:47" x14ac:dyDescent="0.25">
      <c r="B209" s="9" t="s">
        <v>2</v>
      </c>
      <c r="C209" s="111" t="s">
        <v>159</v>
      </c>
      <c r="D209" s="23">
        <v>1</v>
      </c>
      <c r="E209" s="23">
        <v>5</v>
      </c>
      <c r="F209" s="23">
        <v>4</v>
      </c>
      <c r="G209" s="23">
        <v>3</v>
      </c>
      <c r="H209" s="23">
        <v>1</v>
      </c>
      <c r="I209" s="23">
        <v>1</v>
      </c>
      <c r="J209" s="23">
        <v>2</v>
      </c>
      <c r="K209" s="23">
        <v>3</v>
      </c>
      <c r="L209" s="23">
        <v>3</v>
      </c>
      <c r="M209" s="23">
        <v>1</v>
      </c>
      <c r="N209" s="23">
        <v>0</v>
      </c>
      <c r="O209" s="23">
        <v>2</v>
      </c>
      <c r="P209" s="23">
        <v>1</v>
      </c>
      <c r="Q209" s="23">
        <v>2</v>
      </c>
      <c r="R209" s="23">
        <v>4</v>
      </c>
      <c r="S209" s="23">
        <v>0</v>
      </c>
      <c r="T209" s="23">
        <v>5</v>
      </c>
      <c r="U209" s="23">
        <v>1</v>
      </c>
      <c r="V209" s="113">
        <f t="shared" si="18"/>
        <v>39</v>
      </c>
      <c r="X209" s="114">
        <f>72+V209</f>
        <v>111</v>
      </c>
      <c r="AB209" s="184">
        <f>COUNTIFS(Tabell714152021343536373839404142722[[1]:[18]],3)</f>
        <v>24</v>
      </c>
      <c r="AD209" s="85" t="s">
        <v>133</v>
      </c>
      <c r="AE209" s="185">
        <f>AB209/AB212</f>
        <v>0.16666666666666666</v>
      </c>
      <c r="AL209" s="84">
        <v>21</v>
      </c>
      <c r="AM209" s="213">
        <v>21</v>
      </c>
      <c r="AN209" s="213"/>
      <c r="AO209" s="213" t="s">
        <v>133</v>
      </c>
      <c r="AP209" s="214">
        <v>0.19626168224299065</v>
      </c>
      <c r="AQ209" s="213"/>
      <c r="AR209" s="213"/>
      <c r="AS209" s="213"/>
      <c r="AT209" s="213"/>
      <c r="AU209" s="213"/>
    </row>
    <row r="210" spans="2:47" x14ac:dyDescent="0.25">
      <c r="B210" s="9" t="s">
        <v>2</v>
      </c>
      <c r="C210" s="111" t="s">
        <v>159</v>
      </c>
      <c r="D210" s="23">
        <v>2</v>
      </c>
      <c r="E210" s="23">
        <v>0</v>
      </c>
      <c r="F210" s="23">
        <v>2</v>
      </c>
      <c r="G210" s="23">
        <v>1</v>
      </c>
      <c r="H210" s="23">
        <v>3</v>
      </c>
      <c r="I210" s="23">
        <v>1</v>
      </c>
      <c r="J210" s="23">
        <v>1</v>
      </c>
      <c r="K210" s="23">
        <v>2</v>
      </c>
      <c r="L210" s="23">
        <v>2</v>
      </c>
      <c r="M210" s="23">
        <v>3</v>
      </c>
      <c r="N210" s="23">
        <v>2</v>
      </c>
      <c r="O210" s="23">
        <v>5</v>
      </c>
      <c r="P210" s="23">
        <v>1</v>
      </c>
      <c r="Q210" s="23">
        <v>1</v>
      </c>
      <c r="R210" s="23">
        <v>2</v>
      </c>
      <c r="S210" s="23">
        <v>1</v>
      </c>
      <c r="T210" s="23">
        <v>4</v>
      </c>
      <c r="U210" s="23">
        <v>1</v>
      </c>
      <c r="V210" s="113">
        <f t="shared" si="18"/>
        <v>34</v>
      </c>
      <c r="X210" s="114">
        <f>71+V210</f>
        <v>105</v>
      </c>
      <c r="AB210" s="184">
        <f>COUNTIFS(Tabell714152021343536373839404142722[[1]:[18]],4)</f>
        <v>8</v>
      </c>
      <c r="AD210" s="85" t="s">
        <v>134</v>
      </c>
      <c r="AE210" s="185">
        <f>AB210/AB212</f>
        <v>5.5555555555555552E-2</v>
      </c>
      <c r="AL210" s="84">
        <v>9</v>
      </c>
      <c r="AM210" s="213">
        <v>9</v>
      </c>
      <c r="AN210" s="213"/>
      <c r="AO210" s="213" t="s">
        <v>134</v>
      </c>
      <c r="AP210" s="214">
        <v>8.4112149532710276E-2</v>
      </c>
      <c r="AQ210" s="213"/>
      <c r="AR210" s="213"/>
      <c r="AS210" s="213"/>
      <c r="AT210" s="213"/>
      <c r="AU210" s="213"/>
    </row>
    <row r="211" spans="2:47" x14ac:dyDescent="0.25">
      <c r="B211" s="9" t="s">
        <v>2</v>
      </c>
      <c r="C211" s="111" t="s">
        <v>159</v>
      </c>
      <c r="D211" s="23">
        <v>3</v>
      </c>
      <c r="E211" s="23">
        <v>2</v>
      </c>
      <c r="F211" s="23">
        <v>2</v>
      </c>
      <c r="G211" s="23">
        <v>2</v>
      </c>
      <c r="H211" s="23">
        <v>1</v>
      </c>
      <c r="I211" s="23">
        <v>3</v>
      </c>
      <c r="J211" s="23">
        <v>3</v>
      </c>
      <c r="K211" s="23">
        <v>1</v>
      </c>
      <c r="L211" s="23">
        <v>1</v>
      </c>
      <c r="M211" s="23">
        <v>1</v>
      </c>
      <c r="N211" s="23">
        <v>3</v>
      </c>
      <c r="O211" s="23">
        <v>0</v>
      </c>
      <c r="P211" s="23">
        <v>0</v>
      </c>
      <c r="Q211" s="23">
        <v>1</v>
      </c>
      <c r="R211" s="23">
        <v>2</v>
      </c>
      <c r="S211" s="23">
        <v>1</v>
      </c>
      <c r="T211" s="23">
        <v>1</v>
      </c>
      <c r="U211" s="23">
        <v>3</v>
      </c>
      <c r="V211" s="113">
        <f t="shared" si="18"/>
        <v>30</v>
      </c>
      <c r="X211" s="114">
        <f>70+V211</f>
        <v>100</v>
      </c>
      <c r="AB211" s="184">
        <f>COUNTIFS(Tabell714152021343536373839404142722[[1]:[18]],5)</f>
        <v>8</v>
      </c>
      <c r="AD211" s="85" t="s">
        <v>135</v>
      </c>
      <c r="AE211" s="185">
        <f>AB211/AB212</f>
        <v>5.5555555555555552E-2</v>
      </c>
      <c r="AL211" s="84">
        <v>8</v>
      </c>
      <c r="AM211" s="213">
        <v>8</v>
      </c>
      <c r="AN211" s="213"/>
      <c r="AO211" s="213" t="s">
        <v>135</v>
      </c>
      <c r="AP211" s="214">
        <v>7.476635514018691E-2</v>
      </c>
      <c r="AQ211" s="213"/>
      <c r="AR211" s="213"/>
      <c r="AS211" s="213"/>
      <c r="AT211" s="213"/>
      <c r="AU211" s="213"/>
    </row>
    <row r="212" spans="2:47" x14ac:dyDescent="0.25">
      <c r="B212" s="9" t="s">
        <v>2</v>
      </c>
      <c r="C212" s="111" t="s">
        <v>159</v>
      </c>
      <c r="D212" s="23">
        <v>2</v>
      </c>
      <c r="E212" s="23">
        <v>2</v>
      </c>
      <c r="F212" s="23">
        <v>1</v>
      </c>
      <c r="G212" s="23">
        <v>0</v>
      </c>
      <c r="H212" s="23">
        <v>5</v>
      </c>
      <c r="I212" s="23">
        <v>1</v>
      </c>
      <c r="J212" s="23">
        <v>1</v>
      </c>
      <c r="K212" s="23">
        <v>2</v>
      </c>
      <c r="L212" s="23">
        <v>2</v>
      </c>
      <c r="M212" s="23">
        <v>1</v>
      </c>
      <c r="N212" s="23">
        <v>1</v>
      </c>
      <c r="O212" s="23">
        <v>3</v>
      </c>
      <c r="P212" s="23">
        <v>1</v>
      </c>
      <c r="Q212" s="23">
        <v>3</v>
      </c>
      <c r="R212" s="23">
        <v>2</v>
      </c>
      <c r="S212" s="23">
        <v>2</v>
      </c>
      <c r="T212" s="23">
        <v>0</v>
      </c>
      <c r="U212" s="23">
        <v>5</v>
      </c>
      <c r="V212" s="113">
        <f t="shared" si="18"/>
        <v>34</v>
      </c>
      <c r="X212" s="114">
        <f>72+V212</f>
        <v>106</v>
      </c>
      <c r="AB212" s="97">
        <f>SUM(AB205:AB211)</f>
        <v>144</v>
      </c>
      <c r="AL212" s="84">
        <v>107</v>
      </c>
      <c r="AM212" s="213">
        <v>107</v>
      </c>
      <c r="AN212" s="213"/>
      <c r="AO212" s="213"/>
      <c r="AP212" s="213"/>
      <c r="AQ212" s="213"/>
      <c r="AR212" s="213"/>
      <c r="AS212" s="213"/>
      <c r="AT212" s="213"/>
      <c r="AU212" s="213"/>
    </row>
    <row r="213" spans="2:47" x14ac:dyDescent="0.25">
      <c r="B213" s="9" t="s">
        <v>2</v>
      </c>
      <c r="C213" s="111" t="s">
        <v>159</v>
      </c>
      <c r="D213" s="23">
        <v>10</v>
      </c>
      <c r="E213" s="23">
        <v>10</v>
      </c>
      <c r="F213" s="23">
        <v>10</v>
      </c>
      <c r="G213" s="23">
        <v>10</v>
      </c>
      <c r="H213" s="23">
        <v>10</v>
      </c>
      <c r="I213" s="23">
        <v>10</v>
      </c>
      <c r="J213" s="23">
        <v>10</v>
      </c>
      <c r="K213" s="23">
        <v>10</v>
      </c>
      <c r="L213" s="23">
        <v>10</v>
      </c>
      <c r="M213" s="23">
        <v>10</v>
      </c>
      <c r="N213" s="23">
        <v>10</v>
      </c>
      <c r="O213" s="23">
        <v>10</v>
      </c>
      <c r="P213" s="23">
        <v>10</v>
      </c>
      <c r="Q213" s="23">
        <v>10</v>
      </c>
      <c r="R213" s="23">
        <v>10</v>
      </c>
      <c r="S213" s="23">
        <v>10</v>
      </c>
      <c r="T213" s="23">
        <v>10</v>
      </c>
      <c r="U213" s="23">
        <v>10</v>
      </c>
      <c r="V213" s="113">
        <f t="shared" si="18"/>
        <v>180</v>
      </c>
      <c r="X213" s="114">
        <f>72+V213</f>
        <v>252</v>
      </c>
      <c r="AM213" s="213"/>
      <c r="AN213" s="213"/>
      <c r="AO213" s="213"/>
      <c r="AP213" s="213"/>
      <c r="AQ213" s="213"/>
      <c r="AR213" s="213"/>
      <c r="AS213" s="213"/>
      <c r="AT213" s="213"/>
      <c r="AU213" s="213"/>
    </row>
    <row r="214" spans="2:47" x14ac:dyDescent="0.25">
      <c r="B214" s="9" t="s">
        <v>2</v>
      </c>
      <c r="C214" s="111" t="s">
        <v>159</v>
      </c>
      <c r="D214" s="23">
        <v>3</v>
      </c>
      <c r="E214" s="23">
        <v>1</v>
      </c>
      <c r="F214" s="23">
        <v>2</v>
      </c>
      <c r="G214" s="23">
        <v>4</v>
      </c>
      <c r="H214" s="23">
        <v>1</v>
      </c>
      <c r="I214" s="23">
        <v>0</v>
      </c>
      <c r="J214" s="23">
        <v>2</v>
      </c>
      <c r="K214" s="23">
        <v>1</v>
      </c>
      <c r="L214" s="23">
        <v>4</v>
      </c>
      <c r="M214" s="23">
        <v>3</v>
      </c>
      <c r="N214" s="23">
        <v>3</v>
      </c>
      <c r="O214" s="23">
        <v>2</v>
      </c>
      <c r="P214" s="23">
        <v>2</v>
      </c>
      <c r="Q214" s="23">
        <v>2</v>
      </c>
      <c r="R214" s="23">
        <v>1</v>
      </c>
      <c r="S214" s="23">
        <v>0</v>
      </c>
      <c r="T214" s="23">
        <v>2</v>
      </c>
      <c r="U214" s="23">
        <v>1</v>
      </c>
      <c r="V214" s="113">
        <f t="shared" si="18"/>
        <v>34</v>
      </c>
      <c r="X214" s="114">
        <f>72+V214</f>
        <v>106</v>
      </c>
      <c r="AM214" s="213"/>
      <c r="AN214" s="213"/>
      <c r="AO214" s="213"/>
      <c r="AP214" s="213"/>
      <c r="AQ214" s="213"/>
      <c r="AR214" s="213"/>
      <c r="AS214" s="213"/>
      <c r="AT214" s="213"/>
      <c r="AU214" s="213"/>
    </row>
    <row r="215" spans="2:47" x14ac:dyDescent="0.25">
      <c r="B215" s="9" t="s">
        <v>2</v>
      </c>
      <c r="C215" s="111" t="s">
        <v>159</v>
      </c>
      <c r="D215" s="23">
        <v>10</v>
      </c>
      <c r="E215" s="23">
        <v>10</v>
      </c>
      <c r="F215" s="23">
        <v>10</v>
      </c>
      <c r="G215" s="23">
        <v>10</v>
      </c>
      <c r="H215" s="23">
        <v>10</v>
      </c>
      <c r="I215" s="23">
        <v>10</v>
      </c>
      <c r="J215" s="23">
        <v>10</v>
      </c>
      <c r="K215" s="23">
        <v>10</v>
      </c>
      <c r="L215" s="23">
        <v>10</v>
      </c>
      <c r="M215" s="23">
        <v>10</v>
      </c>
      <c r="N215" s="23">
        <v>10</v>
      </c>
      <c r="O215" s="23">
        <v>10</v>
      </c>
      <c r="P215" s="23">
        <v>10</v>
      </c>
      <c r="Q215" s="23">
        <v>10</v>
      </c>
      <c r="R215" s="23">
        <v>10</v>
      </c>
      <c r="S215" s="23">
        <v>10</v>
      </c>
      <c r="T215" s="23">
        <v>10</v>
      </c>
      <c r="U215" s="23">
        <v>10</v>
      </c>
      <c r="V215" s="113">
        <f t="shared" si="18"/>
        <v>180</v>
      </c>
      <c r="X215" s="116">
        <f>71+V215</f>
        <v>251</v>
      </c>
      <c r="AM215" s="213"/>
      <c r="AN215" s="213"/>
      <c r="AO215" s="213"/>
      <c r="AP215" s="213"/>
      <c r="AQ215" s="213"/>
      <c r="AR215" s="213"/>
      <c r="AS215" s="213"/>
      <c r="AT215" s="213"/>
      <c r="AU215" s="213"/>
    </row>
    <row r="218" spans="2:47" x14ac:dyDescent="0.25">
      <c r="B218" s="274" t="s">
        <v>6</v>
      </c>
      <c r="C218" s="275" t="s">
        <v>7</v>
      </c>
      <c r="D218" s="282">
        <f>AE31</f>
        <v>4.9382716049382713E-2</v>
      </c>
      <c r="E218" s="95" t="s">
        <v>91</v>
      </c>
    </row>
    <row r="219" spans="2:47" x14ac:dyDescent="0.25">
      <c r="B219" s="276" t="s">
        <v>10</v>
      </c>
      <c r="C219" s="277" t="s">
        <v>11</v>
      </c>
      <c r="D219" s="282">
        <f>AE43</f>
        <v>1.8518518518518517E-2</v>
      </c>
    </row>
    <row r="220" spans="2:47" x14ac:dyDescent="0.25">
      <c r="B220" s="278" t="s">
        <v>14</v>
      </c>
      <c r="C220" s="279" t="s">
        <v>170</v>
      </c>
      <c r="D220" s="282">
        <f>AE56</f>
        <v>6.1728395061728392E-3</v>
      </c>
    </row>
    <row r="221" spans="2:47" x14ac:dyDescent="0.25">
      <c r="B221" s="276" t="s">
        <v>8</v>
      </c>
      <c r="C221" s="277" t="s">
        <v>9</v>
      </c>
      <c r="D221" s="282">
        <f>AE68</f>
        <v>2.0833333333333332E-2</v>
      </c>
    </row>
    <row r="222" spans="2:47" x14ac:dyDescent="0.25">
      <c r="B222" s="278" t="s">
        <v>15</v>
      </c>
      <c r="C222" s="279" t="s">
        <v>16</v>
      </c>
      <c r="D222" s="282">
        <f>AE80</f>
        <v>6.7901234567901231E-2</v>
      </c>
    </row>
    <row r="223" spans="2:47" x14ac:dyDescent="0.25">
      <c r="B223" s="276" t="s">
        <v>12</v>
      </c>
      <c r="C223" s="277" t="s">
        <v>171</v>
      </c>
      <c r="D223" s="282">
        <f>AE92</f>
        <v>1.2345679012345678E-2</v>
      </c>
    </row>
    <row r="224" spans="2:47" x14ac:dyDescent="0.25">
      <c r="B224" s="278" t="s">
        <v>0</v>
      </c>
      <c r="C224" s="279" t="s">
        <v>1</v>
      </c>
      <c r="D224" s="282">
        <f>AE104</f>
        <v>1.3986013986013986E-2</v>
      </c>
    </row>
    <row r="225" spans="2:4" x14ac:dyDescent="0.25">
      <c r="B225" s="276" t="s">
        <v>4</v>
      </c>
      <c r="C225" s="277" t="s">
        <v>5</v>
      </c>
      <c r="D225" s="282">
        <f>AE116</f>
        <v>1.2345679012345678E-2</v>
      </c>
    </row>
    <row r="226" spans="2:4" x14ac:dyDescent="0.25">
      <c r="B226" s="278" t="s">
        <v>17</v>
      </c>
      <c r="C226" s="279" t="s">
        <v>18</v>
      </c>
      <c r="D226" s="282">
        <f>AE128</f>
        <v>3.0864197530864196E-2</v>
      </c>
    </row>
    <row r="227" spans="2:4" x14ac:dyDescent="0.25">
      <c r="B227" s="276" t="s">
        <v>8</v>
      </c>
      <c r="C227" s="277" t="s">
        <v>19</v>
      </c>
      <c r="D227" s="282">
        <f>AE140</f>
        <v>0.1388888888888889</v>
      </c>
    </row>
    <row r="228" spans="2:4" x14ac:dyDescent="0.25">
      <c r="B228" s="278" t="s">
        <v>2</v>
      </c>
      <c r="C228" s="279" t="s">
        <v>3</v>
      </c>
      <c r="D228" s="282">
        <f>AE164</f>
        <v>0</v>
      </c>
    </row>
    <row r="229" spans="2:4" x14ac:dyDescent="0.25">
      <c r="B229" s="276" t="s">
        <v>113</v>
      </c>
      <c r="C229" s="277" t="s">
        <v>114</v>
      </c>
      <c r="D229" s="282">
        <f>AE188</f>
        <v>6.1728395061728392E-3</v>
      </c>
    </row>
    <row r="230" spans="2:4" x14ac:dyDescent="0.25">
      <c r="B230" s="280" t="s">
        <v>104</v>
      </c>
      <c r="C230" s="281" t="s">
        <v>105</v>
      </c>
      <c r="D230" s="282">
        <f>AE176</f>
        <v>4.1666666666666664E-2</v>
      </c>
    </row>
    <row r="231" spans="2:4" x14ac:dyDescent="0.25">
      <c r="B231" s="276" t="s">
        <v>108</v>
      </c>
      <c r="C231" s="277" t="s">
        <v>109</v>
      </c>
      <c r="D231" s="282">
        <f>AE199</f>
        <v>7.9365079365079361E-3</v>
      </c>
    </row>
    <row r="232" spans="2:4" x14ac:dyDescent="0.25">
      <c r="B232" s="293" t="s">
        <v>2</v>
      </c>
      <c r="C232" s="281" t="s">
        <v>159</v>
      </c>
      <c r="D232" s="282">
        <f>AE211</f>
        <v>5.5555555555555552E-2</v>
      </c>
    </row>
    <row r="233" spans="2:4" x14ac:dyDescent="0.25">
      <c r="B233" s="280" t="s">
        <v>195</v>
      </c>
      <c r="C233" s="281" t="s">
        <v>13</v>
      </c>
      <c r="D233" s="282">
        <f>AE152</f>
        <v>0.15527950310559005</v>
      </c>
    </row>
  </sheetData>
  <conditionalFormatting sqref="B5:C21">
    <cfRule type="dataBar" priority="242">
      <dataBar>
        <cfvo type="min"/>
        <cfvo type="max"/>
        <color rgb="FFD6007B"/>
      </dataBar>
    </cfRule>
    <cfRule type="colorScale" priority="2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5:C25">
    <cfRule type="dataBar" priority="238">
      <dataBar>
        <cfvo type="min"/>
        <cfvo type="max"/>
        <color rgb="FFD6007B"/>
      </dataBar>
    </cfRule>
    <cfRule type="colorScale" priority="2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7:C37">
    <cfRule type="dataBar" priority="234">
      <dataBar>
        <cfvo type="min"/>
        <cfvo type="max"/>
        <color rgb="FFD6007B"/>
      </dataBar>
    </cfRule>
    <cfRule type="colorScale" priority="23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2:C62">
    <cfRule type="dataBar" priority="220">
      <dataBar>
        <cfvo type="min"/>
        <cfvo type="max"/>
        <color rgb="FFD6007B"/>
      </dataBar>
    </cfRule>
    <cfRule type="colorScale" priority="2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4:C74">
    <cfRule type="dataBar" priority="210">
      <dataBar>
        <cfvo type="min"/>
        <cfvo type="max"/>
        <color rgb="FFD6007B"/>
      </dataBar>
    </cfRule>
    <cfRule type="colorScale" priority="21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6:C86">
    <cfRule type="dataBar" priority="198">
      <dataBar>
        <cfvo type="min"/>
        <cfvo type="max"/>
        <color rgb="FFD6007B"/>
      </dataBar>
    </cfRule>
    <cfRule type="colorScale" priority="19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98:C98">
    <cfRule type="dataBar" priority="184">
      <dataBar>
        <cfvo type="min"/>
        <cfvo type="max"/>
        <color rgb="FFD6007B"/>
      </dataBar>
    </cfRule>
    <cfRule type="colorScale" priority="1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0:C110">
    <cfRule type="dataBar" priority="168">
      <dataBar>
        <cfvo type="min"/>
        <cfvo type="max"/>
        <color rgb="FFD6007B"/>
      </dataBar>
    </cfRule>
    <cfRule type="colorScale" priority="16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2:C122">
    <cfRule type="dataBar" priority="152">
      <dataBar>
        <cfvo type="min"/>
        <cfvo type="max"/>
        <color rgb="FFD6007B"/>
      </dataBar>
    </cfRule>
    <cfRule type="colorScale" priority="1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34:C134">
    <cfRule type="dataBar" priority="136">
      <dataBar>
        <cfvo type="min"/>
        <cfvo type="max"/>
        <color rgb="FFD6007B"/>
      </dataBar>
    </cfRule>
    <cfRule type="colorScale" priority="137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6:C146">
    <cfRule type="dataBar" priority="120">
      <dataBar>
        <cfvo type="min"/>
        <cfvo type="max"/>
        <color rgb="FFD6007B"/>
      </dataBar>
    </cfRule>
    <cfRule type="colorScale" priority="1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58:C158">
    <cfRule type="dataBar" priority="104">
      <dataBar>
        <cfvo type="min"/>
        <cfvo type="max"/>
        <color rgb="FFD6007B"/>
      </dataBar>
    </cfRule>
    <cfRule type="colorScale" priority="10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71:C181">
    <cfRule type="dataBar" priority="90">
      <dataBar>
        <cfvo type="min"/>
        <cfvo type="max"/>
        <color rgb="FFD6007B"/>
      </dataBar>
    </cfRule>
    <cfRule type="colorScale" priority="9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70:C170">
    <cfRule type="dataBar" priority="88">
      <dataBar>
        <cfvo type="min"/>
        <cfvo type="max"/>
        <color rgb="FFD6007B"/>
      </dataBar>
    </cfRule>
    <cfRule type="colorScale" priority="8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83:C192">
    <cfRule type="dataBar" priority="74">
      <dataBar>
        <cfvo type="min"/>
        <cfvo type="max"/>
        <color rgb="FFD6007B"/>
      </dataBar>
    </cfRule>
    <cfRule type="colorScale" priority="7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82:C182">
    <cfRule type="dataBar" priority="72">
      <dataBar>
        <cfvo type="min"/>
        <cfvo type="max"/>
        <color rgb="FFD6007B"/>
      </dataBar>
    </cfRule>
    <cfRule type="colorScale" priority="7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5:U21">
    <cfRule type="cellIs" dxfId="618" priority="54" operator="greaterThan">
      <formula>2</formula>
    </cfRule>
    <cfRule type="cellIs" dxfId="617" priority="55" operator="equal">
      <formula>2</formula>
    </cfRule>
    <cfRule type="cellIs" dxfId="616" priority="56" operator="equal">
      <formula>1</formula>
    </cfRule>
    <cfRule type="cellIs" dxfId="615" priority="57" operator="equal">
      <formula>0</formula>
    </cfRule>
    <cfRule type="cellIs" dxfId="614" priority="58" operator="equal">
      <formula>-1</formula>
    </cfRule>
    <cfRule type="cellIs" dxfId="613" priority="59" operator="equal">
      <formula>-2</formula>
    </cfRule>
  </conditionalFormatting>
  <conditionalFormatting sqref="B26:C35">
    <cfRule type="dataBar" priority="258">
      <dataBar>
        <cfvo type="min"/>
        <cfvo type="max"/>
        <color rgb="FFD6007B"/>
      </dataBar>
    </cfRule>
    <cfRule type="colorScale" priority="25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38:C48">
    <cfRule type="dataBar" priority="260">
      <dataBar>
        <cfvo type="min"/>
        <cfvo type="max"/>
        <color rgb="FFD6007B"/>
      </dataBar>
    </cfRule>
    <cfRule type="colorScale" priority="26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1:C60">
    <cfRule type="dataBar" priority="270">
      <dataBar>
        <cfvo type="min"/>
        <cfvo type="max"/>
        <color rgb="FFD6007B"/>
      </dataBar>
    </cfRule>
    <cfRule type="colorScale" priority="27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50:C51">
    <cfRule type="dataBar" priority="284">
      <dataBar>
        <cfvo type="min"/>
        <cfvo type="max"/>
        <color rgb="FFD6007B"/>
      </dataBar>
    </cfRule>
    <cfRule type="colorScale" priority="28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63:C72">
    <cfRule type="dataBar" priority="312">
      <dataBar>
        <cfvo type="min"/>
        <cfvo type="max"/>
        <color rgb="FFD6007B"/>
      </dataBar>
    </cfRule>
    <cfRule type="colorScale" priority="3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75:C84">
    <cfRule type="dataBar" priority="344">
      <dataBar>
        <cfvo type="min"/>
        <cfvo type="max"/>
        <color rgb="FFD6007B"/>
      </dataBar>
    </cfRule>
    <cfRule type="colorScale" priority="34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87:C96">
    <cfRule type="dataBar" priority="380">
      <dataBar>
        <cfvo type="min"/>
        <cfvo type="max"/>
        <color rgb="FFD6007B"/>
      </dataBar>
    </cfRule>
    <cfRule type="colorScale" priority="3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99:C108">
    <cfRule type="dataBar" priority="420">
      <dataBar>
        <cfvo type="min"/>
        <cfvo type="max"/>
        <color rgb="FFD6007B"/>
      </dataBar>
    </cfRule>
    <cfRule type="colorScale" priority="4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11:C120">
    <cfRule type="dataBar" priority="464">
      <dataBar>
        <cfvo type="min"/>
        <cfvo type="max"/>
        <color rgb="FFD6007B"/>
      </dataBar>
    </cfRule>
    <cfRule type="colorScale" priority="4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23:C132">
    <cfRule type="dataBar" priority="512">
      <dataBar>
        <cfvo type="min"/>
        <cfvo type="max"/>
        <color rgb="FFD6007B"/>
      </dataBar>
    </cfRule>
    <cfRule type="colorScale" priority="51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35:C144">
    <cfRule type="dataBar" priority="564">
      <dataBar>
        <cfvo type="min"/>
        <cfvo type="max"/>
        <color rgb="FFD6007B"/>
      </dataBar>
    </cfRule>
    <cfRule type="colorScale" priority="565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47:C156">
    <cfRule type="dataBar" priority="620">
      <dataBar>
        <cfvo type="min"/>
        <cfvo type="max"/>
        <color rgb="FFD6007B"/>
      </dataBar>
    </cfRule>
    <cfRule type="colorScale" priority="62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59:C168">
    <cfRule type="dataBar" priority="680">
      <dataBar>
        <cfvo type="min"/>
        <cfvo type="max"/>
        <color rgb="FFD6007B"/>
      </dataBar>
    </cfRule>
    <cfRule type="colorScale" priority="68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95:B202 C194:C202">
    <cfRule type="dataBar" priority="52">
      <dataBar>
        <cfvo type="min"/>
        <cfvo type="max"/>
        <color rgb="FFD6007B"/>
      </dataBar>
    </cfRule>
    <cfRule type="colorScale" priority="5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193:C193">
    <cfRule type="dataBar" priority="50">
      <dataBar>
        <cfvo type="min"/>
        <cfvo type="max"/>
        <color rgb="FFD6007B"/>
      </dataBar>
    </cfRule>
    <cfRule type="colorScale" priority="5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03:C203">
    <cfRule type="dataBar" priority="42">
      <dataBar>
        <cfvo type="min"/>
        <cfvo type="max"/>
        <color rgb="FFD6007B"/>
      </dataBar>
    </cfRule>
    <cfRule type="colorScale" priority="4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206:C215">
    <cfRule type="dataBar" priority="40">
      <dataBar>
        <cfvo type="min"/>
        <cfvo type="max"/>
        <color rgb="FFD6007B"/>
      </dataBar>
    </cfRule>
    <cfRule type="colorScale" priority="4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B205:C205">
    <cfRule type="dataBar" priority="38">
      <dataBar>
        <cfvo type="min"/>
        <cfvo type="max"/>
        <color rgb="FFD6007B"/>
      </dataBar>
    </cfRule>
    <cfRule type="colorScale" priority="3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159:U168">
    <cfRule type="cellIs" dxfId="612" priority="34" operator="equal">
      <formula>0</formula>
    </cfRule>
    <cfRule type="cellIs" dxfId="611" priority="35" operator="equal">
      <formula>-1</formula>
    </cfRule>
  </conditionalFormatting>
  <conditionalFormatting sqref="D123:U132">
    <cfRule type="cellIs" dxfId="610" priority="32" operator="equal">
      <formula>0</formula>
    </cfRule>
    <cfRule type="cellIs" dxfId="609" priority="33" operator="equal">
      <formula>-1</formula>
    </cfRule>
  </conditionalFormatting>
  <conditionalFormatting sqref="D111:U120">
    <cfRule type="cellIs" dxfId="608" priority="30" operator="equal">
      <formula>0</formula>
    </cfRule>
    <cfRule type="cellIs" dxfId="607" priority="31" operator="equal">
      <formula>-1</formula>
    </cfRule>
  </conditionalFormatting>
  <conditionalFormatting sqref="D99:U108">
    <cfRule type="cellIs" dxfId="606" priority="27" operator="equal">
      <formula>0</formula>
    </cfRule>
    <cfRule type="cellIs" dxfId="605" priority="28" operator="equal">
      <formula>-1</formula>
    </cfRule>
    <cfRule type="cellIs" dxfId="604" priority="29" operator="equal">
      <formula>-1</formula>
    </cfRule>
  </conditionalFormatting>
  <conditionalFormatting sqref="D87:U96">
    <cfRule type="cellIs" dxfId="603" priority="25" operator="equal">
      <formula>0</formula>
    </cfRule>
    <cfRule type="cellIs" dxfId="602" priority="26" operator="equal">
      <formula>-1</formula>
    </cfRule>
  </conditionalFormatting>
  <conditionalFormatting sqref="D75:U84">
    <cfRule type="cellIs" dxfId="601" priority="23" operator="equal">
      <formula>0</formula>
    </cfRule>
    <cfRule type="cellIs" dxfId="600" priority="24" operator="equal">
      <formula>-1</formula>
    </cfRule>
  </conditionalFormatting>
  <conditionalFormatting sqref="D63:U72">
    <cfRule type="cellIs" dxfId="599" priority="21" operator="equal">
      <formula>0</formula>
    </cfRule>
    <cfRule type="cellIs" dxfId="598" priority="22" operator="equal">
      <formula>-1</formula>
    </cfRule>
  </conditionalFormatting>
  <conditionalFormatting sqref="D51:U60">
    <cfRule type="cellIs" dxfId="597" priority="19" operator="equal">
      <formula>0</formula>
    </cfRule>
    <cfRule type="cellIs" dxfId="596" priority="20" operator="equal">
      <formula>-1</formula>
    </cfRule>
  </conditionalFormatting>
  <conditionalFormatting sqref="D38:U47">
    <cfRule type="cellIs" dxfId="595" priority="17" operator="equal">
      <formula>0</formula>
    </cfRule>
    <cfRule type="cellIs" dxfId="594" priority="18" operator="equal">
      <formula>-1</formula>
    </cfRule>
  </conditionalFormatting>
  <conditionalFormatting sqref="D26:U35">
    <cfRule type="cellIs" dxfId="593" priority="15" operator="equal">
      <formula>0</formula>
    </cfRule>
    <cfRule type="cellIs" dxfId="592" priority="16" operator="equal">
      <formula>-1</formula>
    </cfRule>
  </conditionalFormatting>
  <conditionalFormatting sqref="D171:U180">
    <cfRule type="cellIs" dxfId="591" priority="13" operator="equal">
      <formula>0</formula>
    </cfRule>
    <cfRule type="cellIs" dxfId="590" priority="14" operator="equal">
      <formula>-1</formula>
    </cfRule>
  </conditionalFormatting>
  <conditionalFormatting sqref="D183:U192">
    <cfRule type="cellIs" dxfId="589" priority="11" operator="equal">
      <formula>0</formula>
    </cfRule>
    <cfRule type="cellIs" dxfId="588" priority="12" operator="equal">
      <formula>-1</formula>
    </cfRule>
  </conditionalFormatting>
  <conditionalFormatting sqref="D194:U203">
    <cfRule type="cellIs" dxfId="587" priority="9" operator="equal">
      <formula>0</formula>
    </cfRule>
    <cfRule type="cellIs" dxfId="586" priority="10" operator="equal">
      <formula>-1</formula>
    </cfRule>
  </conditionalFormatting>
  <conditionalFormatting sqref="D206:U215">
    <cfRule type="cellIs" dxfId="585" priority="7" operator="equal">
      <formula>0</formula>
    </cfRule>
    <cfRule type="cellIs" dxfId="584" priority="8" operator="equal">
      <formula>-1</formula>
    </cfRule>
  </conditionalFormatting>
  <conditionalFormatting sqref="D135:U144">
    <cfRule type="cellIs" dxfId="583" priority="5" operator="equal">
      <formula>0</formula>
    </cfRule>
    <cfRule type="cellIs" dxfId="582" priority="6" operator="equal">
      <formula>-1</formula>
    </cfRule>
  </conditionalFormatting>
  <conditionalFormatting sqref="D147:U156">
    <cfRule type="cellIs" dxfId="581" priority="3" operator="equal">
      <formula>0</formula>
    </cfRule>
    <cfRule type="cellIs" dxfId="580" priority="4" operator="equal">
      <formula>-1</formula>
    </cfRule>
  </conditionalFormatting>
  <conditionalFormatting sqref="B218:C233">
    <cfRule type="dataBar" priority="682">
      <dataBar>
        <cfvo type="min"/>
        <cfvo type="max"/>
        <color rgb="FFD6007B"/>
      </dataBar>
    </cfRule>
    <cfRule type="colorScale" priority="68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2.3863636363636365E-2" bottom="0.74803149606299213" header="0.31496062992125984" footer="0.31496062992125984"/>
  <pageSetup paperSize="291" scale="15" orientation="landscape" horizontalDpi="4294967293" r:id="rId1"/>
  <drawing r:id="rId2"/>
  <tableParts count="3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0FA4-953E-4F17-9573-ED83316F617C}">
  <dimension ref="A1:A11"/>
  <sheetViews>
    <sheetView workbookViewId="0">
      <selection activeCell="C8" sqref="C8"/>
    </sheetView>
  </sheetViews>
  <sheetFormatPr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0E2B-865E-4F57-B1A0-49E27D8FFA60}">
  <dimension ref="B2:V74"/>
  <sheetViews>
    <sheetView topLeftCell="C1" zoomScale="70" zoomScaleNormal="70" workbookViewId="0">
      <selection activeCell="T20" sqref="T20:U34"/>
    </sheetView>
  </sheetViews>
  <sheetFormatPr defaultRowHeight="15" x14ac:dyDescent="0.25"/>
  <cols>
    <col min="3" max="3" width="13.42578125" customWidth="1"/>
    <col min="4" max="4" width="16.7109375" bestFit="1" customWidth="1"/>
    <col min="5" max="5" width="13.5703125" bestFit="1" customWidth="1"/>
    <col min="6" max="6" width="13.85546875" bestFit="1" customWidth="1"/>
  </cols>
  <sheetData>
    <row r="2" spans="2:21" x14ac:dyDescent="0.25">
      <c r="B2" t="s">
        <v>67</v>
      </c>
      <c r="D2">
        <v>2009</v>
      </c>
      <c r="E2">
        <v>2010</v>
      </c>
      <c r="F2">
        <v>2011</v>
      </c>
      <c r="G2">
        <v>2012</v>
      </c>
      <c r="H2" s="284">
        <v>2013</v>
      </c>
      <c r="I2">
        <v>2014</v>
      </c>
      <c r="J2">
        <v>2015</v>
      </c>
      <c r="K2">
        <v>2016</v>
      </c>
      <c r="L2">
        <v>2017</v>
      </c>
      <c r="M2">
        <v>2018</v>
      </c>
      <c r="N2">
        <v>2019</v>
      </c>
      <c r="O2">
        <v>2020</v>
      </c>
      <c r="P2" t="s">
        <v>204</v>
      </c>
      <c r="R2" t="s">
        <v>202</v>
      </c>
      <c r="T2" t="s">
        <v>209</v>
      </c>
      <c r="U2" t="s">
        <v>210</v>
      </c>
    </row>
    <row r="3" spans="2:21" x14ac:dyDescent="0.25">
      <c r="B3" s="283" t="s">
        <v>2</v>
      </c>
      <c r="C3" s="283" t="s">
        <v>3</v>
      </c>
      <c r="D3" s="285">
        <v>85</v>
      </c>
      <c r="E3" s="285">
        <v>88.25</v>
      </c>
      <c r="F3" s="285">
        <v>89.75</v>
      </c>
      <c r="G3" s="285">
        <v>87</v>
      </c>
      <c r="H3" s="285">
        <v>87.6</v>
      </c>
      <c r="I3" s="285">
        <v>91.2</v>
      </c>
      <c r="J3" s="285"/>
      <c r="K3" s="285"/>
      <c r="L3" s="285">
        <v>89.4</v>
      </c>
      <c r="M3" s="285">
        <v>83.8</v>
      </c>
      <c r="N3" s="285">
        <v>89.2</v>
      </c>
      <c r="O3">
        <v>86.2</v>
      </c>
      <c r="P3" s="285">
        <f>AVERAGE(D3:O3)</f>
        <v>87.740000000000009</v>
      </c>
      <c r="R3">
        <v>87.4</v>
      </c>
      <c r="T3">
        <f>R3-O3</f>
        <v>1.2000000000000028</v>
      </c>
      <c r="U3" s="285">
        <f>R3-P3</f>
        <v>-0.34000000000000341</v>
      </c>
    </row>
    <row r="4" spans="2:21" x14ac:dyDescent="0.25">
      <c r="B4" s="283" t="s">
        <v>0</v>
      </c>
      <c r="C4" s="283" t="s">
        <v>1</v>
      </c>
      <c r="D4" s="285">
        <v>90.75</v>
      </c>
      <c r="E4" s="285">
        <v>91.25</v>
      </c>
      <c r="F4" s="285">
        <v>86.5</v>
      </c>
      <c r="G4" s="285">
        <v>85</v>
      </c>
      <c r="H4" s="285">
        <v>87.6</v>
      </c>
      <c r="I4" s="285">
        <v>88</v>
      </c>
      <c r="J4" s="285"/>
      <c r="K4" s="285"/>
      <c r="L4" s="285">
        <v>89.8</v>
      </c>
      <c r="M4" s="285">
        <v>90.6</v>
      </c>
      <c r="N4" s="285">
        <v>91.8</v>
      </c>
      <c r="O4">
        <v>90.2</v>
      </c>
      <c r="P4" s="285">
        <f t="shared" ref="P4:P17" si="0">AVERAGE(D4:O4)</f>
        <v>89.15</v>
      </c>
      <c r="R4">
        <v>92.6</v>
      </c>
      <c r="T4" s="286">
        <f t="shared" ref="T4:T17" si="1">R4-O4</f>
        <v>2.3999999999999915</v>
      </c>
      <c r="U4" s="285">
        <f t="shared" ref="U4:U17" si="2">R4-P4</f>
        <v>3.4499999999999886</v>
      </c>
    </row>
    <row r="5" spans="2:21" x14ac:dyDescent="0.25">
      <c r="B5" s="283" t="s">
        <v>4</v>
      </c>
      <c r="C5" s="283" t="s">
        <v>5</v>
      </c>
      <c r="D5" s="285">
        <v>94.25</v>
      </c>
      <c r="E5" s="285">
        <v>96</v>
      </c>
      <c r="F5" s="285">
        <v>131.75</v>
      </c>
      <c r="G5" s="285">
        <v>95.75</v>
      </c>
      <c r="H5" s="285">
        <v>95</v>
      </c>
      <c r="I5" s="285">
        <v>96.6</v>
      </c>
      <c r="J5" s="285"/>
      <c r="K5" s="285"/>
      <c r="L5" s="285">
        <v>96.6</v>
      </c>
      <c r="M5" s="285">
        <v>100</v>
      </c>
      <c r="N5" s="285">
        <v>95.8</v>
      </c>
      <c r="O5">
        <v>96.4</v>
      </c>
      <c r="P5" s="285">
        <f t="shared" si="0"/>
        <v>99.814999999999998</v>
      </c>
      <c r="R5">
        <v>97.2</v>
      </c>
      <c r="T5" s="286">
        <f t="shared" si="1"/>
        <v>0.79999999999999716</v>
      </c>
      <c r="U5" s="285">
        <f t="shared" si="2"/>
        <v>-2.6149999999999949</v>
      </c>
    </row>
    <row r="6" spans="2:21" x14ac:dyDescent="0.25">
      <c r="B6" s="283" t="s">
        <v>14</v>
      </c>
      <c r="C6" s="283" t="s">
        <v>183</v>
      </c>
      <c r="D6" s="285">
        <v>99</v>
      </c>
      <c r="E6" s="285">
        <v>98.5</v>
      </c>
      <c r="F6" s="285">
        <v>99.25</v>
      </c>
      <c r="G6" s="285">
        <v>88.5</v>
      </c>
      <c r="H6" s="285">
        <v>91.6</v>
      </c>
      <c r="I6" s="285">
        <v>96.8</v>
      </c>
      <c r="J6" s="285"/>
      <c r="K6" s="285"/>
      <c r="L6" s="285">
        <v>98.4</v>
      </c>
      <c r="M6" s="285">
        <v>98</v>
      </c>
      <c r="N6" s="285">
        <v>104.4</v>
      </c>
      <c r="O6">
        <v>90.6</v>
      </c>
      <c r="P6" s="285">
        <f t="shared" si="0"/>
        <v>96.504999999999995</v>
      </c>
      <c r="R6">
        <v>90.8</v>
      </c>
      <c r="T6" s="286">
        <f t="shared" si="1"/>
        <v>0.20000000000000284</v>
      </c>
      <c r="U6" s="285">
        <f t="shared" si="2"/>
        <v>-5.7049999999999983</v>
      </c>
    </row>
    <row r="7" spans="2:21" x14ac:dyDescent="0.25">
      <c r="B7" s="283" t="s">
        <v>10</v>
      </c>
      <c r="C7" s="283" t="s">
        <v>11</v>
      </c>
      <c r="D7" s="285">
        <v>96.25</v>
      </c>
      <c r="E7" s="285">
        <v>98.25</v>
      </c>
      <c r="F7" s="285">
        <v>89.5</v>
      </c>
      <c r="G7" s="285">
        <v>101.5</v>
      </c>
      <c r="H7" s="285">
        <v>96.4</v>
      </c>
      <c r="I7" s="285">
        <v>93.4</v>
      </c>
      <c r="J7" s="285"/>
      <c r="K7" s="285"/>
      <c r="L7" s="285">
        <v>94.2</v>
      </c>
      <c r="M7" s="285">
        <v>93.8</v>
      </c>
      <c r="N7" s="285">
        <v>91.6</v>
      </c>
      <c r="O7">
        <v>93.8</v>
      </c>
      <c r="P7" s="285">
        <f t="shared" si="0"/>
        <v>94.86999999999999</v>
      </c>
      <c r="R7">
        <v>95.2</v>
      </c>
      <c r="T7" s="286">
        <f t="shared" si="1"/>
        <v>1.4000000000000057</v>
      </c>
      <c r="U7" s="285">
        <f t="shared" si="2"/>
        <v>0.33000000000001251</v>
      </c>
    </row>
    <row r="8" spans="2:21" x14ac:dyDescent="0.25">
      <c r="B8" s="283" t="s">
        <v>6</v>
      </c>
      <c r="C8" s="283" t="s">
        <v>7</v>
      </c>
      <c r="D8" s="285">
        <v>98.25</v>
      </c>
      <c r="E8" s="285">
        <v>106.25</v>
      </c>
      <c r="F8" s="285">
        <v>103.25</v>
      </c>
      <c r="G8" s="285">
        <v>102.5</v>
      </c>
      <c r="H8" s="285">
        <v>105.4</v>
      </c>
      <c r="I8" s="285">
        <v>101.4</v>
      </c>
      <c r="J8" s="285"/>
      <c r="K8" s="285"/>
      <c r="L8" s="285">
        <v>100.4</v>
      </c>
      <c r="M8" s="285">
        <v>102.2</v>
      </c>
      <c r="N8" s="285">
        <v>103.6</v>
      </c>
      <c r="O8">
        <v>101.4</v>
      </c>
      <c r="P8" s="285">
        <f t="shared" si="0"/>
        <v>102.465</v>
      </c>
      <c r="R8">
        <v>103</v>
      </c>
      <c r="T8" s="286">
        <f t="shared" si="1"/>
        <v>1.5999999999999943</v>
      </c>
      <c r="U8" s="285">
        <f t="shared" si="2"/>
        <v>0.53499999999999659</v>
      </c>
    </row>
    <row r="9" spans="2:21" x14ac:dyDescent="0.25">
      <c r="B9" s="283" t="s">
        <v>8</v>
      </c>
      <c r="C9" s="283" t="s">
        <v>9</v>
      </c>
      <c r="D9" s="285">
        <v>98.75</v>
      </c>
      <c r="E9" s="285">
        <v>104</v>
      </c>
      <c r="F9" s="285">
        <v>102.75</v>
      </c>
      <c r="G9" s="285">
        <v>95.25</v>
      </c>
      <c r="H9" s="285">
        <v>99.6</v>
      </c>
      <c r="I9" s="285">
        <v>97</v>
      </c>
      <c r="J9" s="285"/>
      <c r="K9" s="285"/>
      <c r="L9" s="285">
        <v>95.2</v>
      </c>
      <c r="M9" s="285">
        <v>108.2</v>
      </c>
      <c r="N9" s="285">
        <v>95.8</v>
      </c>
      <c r="O9">
        <v>99.4</v>
      </c>
      <c r="P9" s="285">
        <f t="shared" si="0"/>
        <v>99.594999999999999</v>
      </c>
      <c r="R9">
        <v>98.4</v>
      </c>
      <c r="T9" s="286">
        <f t="shared" si="1"/>
        <v>-1</v>
      </c>
      <c r="U9" s="285">
        <f t="shared" si="2"/>
        <v>-1.1949999999999932</v>
      </c>
    </row>
    <row r="10" spans="2:21" x14ac:dyDescent="0.25">
      <c r="B10" s="283" t="s">
        <v>2</v>
      </c>
      <c r="C10" s="283" t="s">
        <v>159</v>
      </c>
      <c r="D10" s="285"/>
      <c r="E10" s="285"/>
      <c r="F10" s="285"/>
      <c r="G10" s="285"/>
      <c r="H10" s="285"/>
      <c r="I10" s="285"/>
      <c r="J10" s="285"/>
      <c r="K10" s="285"/>
      <c r="L10" s="285"/>
      <c r="M10" s="285">
        <v>99.4</v>
      </c>
      <c r="N10" s="285">
        <v>104</v>
      </c>
      <c r="O10">
        <v>102.8</v>
      </c>
      <c r="P10" s="285">
        <f t="shared" si="0"/>
        <v>102.06666666666666</v>
      </c>
      <c r="R10">
        <v>104.8</v>
      </c>
      <c r="T10" s="286">
        <f t="shared" si="1"/>
        <v>2</v>
      </c>
      <c r="U10" s="285">
        <f t="shared" si="2"/>
        <v>2.7333333333333343</v>
      </c>
    </row>
    <row r="11" spans="2:21" x14ac:dyDescent="0.25">
      <c r="B11" s="283" t="s">
        <v>17</v>
      </c>
      <c r="C11" s="283" t="s">
        <v>18</v>
      </c>
      <c r="D11" s="285"/>
      <c r="E11" s="285">
        <v>120</v>
      </c>
      <c r="F11" s="285">
        <v>107.5</v>
      </c>
      <c r="G11" s="285">
        <v>103.75</v>
      </c>
      <c r="H11" s="285">
        <v>102</v>
      </c>
      <c r="I11" s="285">
        <v>100.4</v>
      </c>
      <c r="J11" s="285"/>
      <c r="K11" s="285"/>
      <c r="L11" s="285">
        <v>105</v>
      </c>
      <c r="M11" s="285">
        <v>120.8</v>
      </c>
      <c r="N11" s="285">
        <v>111</v>
      </c>
      <c r="O11">
        <v>105.6</v>
      </c>
      <c r="P11" s="285">
        <f t="shared" si="0"/>
        <v>108.44999999999999</v>
      </c>
      <c r="R11">
        <v>104.2</v>
      </c>
      <c r="T11" s="286">
        <f t="shared" si="1"/>
        <v>-1.3999999999999915</v>
      </c>
      <c r="U11" s="285">
        <f t="shared" si="2"/>
        <v>-4.2499999999999858</v>
      </c>
    </row>
    <row r="12" spans="2:21" x14ac:dyDescent="0.25">
      <c r="B12" s="283" t="s">
        <v>15</v>
      </c>
      <c r="C12" s="283" t="s">
        <v>16</v>
      </c>
      <c r="D12" s="285">
        <v>100.25</v>
      </c>
      <c r="E12" s="285">
        <v>95.75</v>
      </c>
      <c r="F12" s="285">
        <v>95.75</v>
      </c>
      <c r="G12" s="285">
        <v>95</v>
      </c>
      <c r="H12" s="285">
        <v>98.4</v>
      </c>
      <c r="I12" s="285">
        <v>95</v>
      </c>
      <c r="J12" s="285"/>
      <c r="K12" s="285"/>
      <c r="L12" s="285">
        <v>99.8</v>
      </c>
      <c r="M12" s="285">
        <v>103</v>
      </c>
      <c r="N12" s="285">
        <v>103.6</v>
      </c>
      <c r="O12">
        <v>98</v>
      </c>
      <c r="P12" s="285">
        <f t="shared" si="0"/>
        <v>98.454999999999998</v>
      </c>
      <c r="R12">
        <v>108.4</v>
      </c>
      <c r="T12" s="286">
        <f t="shared" si="1"/>
        <v>10.400000000000006</v>
      </c>
      <c r="U12" s="285">
        <f t="shared" si="2"/>
        <v>9.9450000000000074</v>
      </c>
    </row>
    <row r="13" spans="2:21" x14ac:dyDescent="0.25">
      <c r="B13" s="283" t="s">
        <v>104</v>
      </c>
      <c r="C13" s="283" t="s">
        <v>105</v>
      </c>
      <c r="D13" s="285"/>
      <c r="E13" s="285"/>
      <c r="F13" s="285">
        <v>96.25</v>
      </c>
      <c r="G13" s="285">
        <v>106.25</v>
      </c>
      <c r="H13" s="285">
        <v>107.6</v>
      </c>
      <c r="I13" s="285">
        <v>125.4</v>
      </c>
      <c r="J13" s="285"/>
      <c r="K13" s="285"/>
      <c r="L13" s="285">
        <v>100.8</v>
      </c>
      <c r="M13" s="285">
        <v>107.8</v>
      </c>
      <c r="N13" s="285">
        <v>104.8</v>
      </c>
      <c r="O13">
        <v>99.6</v>
      </c>
      <c r="P13" s="285">
        <f t="shared" si="0"/>
        <v>106.06249999999999</v>
      </c>
      <c r="R13">
        <v>118.4</v>
      </c>
      <c r="T13" s="286">
        <f t="shared" si="1"/>
        <v>18.800000000000011</v>
      </c>
      <c r="U13" s="285">
        <f t="shared" si="2"/>
        <v>12.33750000000002</v>
      </c>
    </row>
    <row r="14" spans="2:21" x14ac:dyDescent="0.25">
      <c r="B14" s="283" t="s">
        <v>8</v>
      </c>
      <c r="C14" s="283" t="s">
        <v>19</v>
      </c>
      <c r="D14" s="285">
        <v>110.25</v>
      </c>
      <c r="E14" s="285">
        <v>114.25</v>
      </c>
      <c r="F14" s="285"/>
      <c r="G14" s="285">
        <v>104.25</v>
      </c>
      <c r="H14" s="285">
        <v>104.8</v>
      </c>
      <c r="I14" s="285">
        <v>109.2</v>
      </c>
      <c r="J14" s="285"/>
      <c r="K14" s="285"/>
      <c r="L14" s="285">
        <v>114</v>
      </c>
      <c r="M14" s="285"/>
      <c r="N14" s="285">
        <v>136.19999999999999</v>
      </c>
      <c r="O14">
        <v>109.2</v>
      </c>
      <c r="P14" s="285">
        <f t="shared" si="0"/>
        <v>112.76875000000001</v>
      </c>
      <c r="R14">
        <v>113.6</v>
      </c>
      <c r="T14" s="286">
        <f t="shared" si="1"/>
        <v>4.3999999999999915</v>
      </c>
      <c r="U14" s="285">
        <f t="shared" si="2"/>
        <v>0.83124999999998295</v>
      </c>
    </row>
    <row r="15" spans="2:21" x14ac:dyDescent="0.25">
      <c r="B15" s="283" t="s">
        <v>12</v>
      </c>
      <c r="C15" s="283" t="s">
        <v>171</v>
      </c>
      <c r="D15" s="285">
        <v>116</v>
      </c>
      <c r="E15" s="285">
        <v>117.75</v>
      </c>
      <c r="F15" s="285">
        <v>108.75</v>
      </c>
      <c r="G15" s="285">
        <v>104</v>
      </c>
      <c r="H15" s="285">
        <v>102.4</v>
      </c>
      <c r="I15" s="285">
        <v>110.8</v>
      </c>
      <c r="J15" s="285"/>
      <c r="K15" s="285"/>
      <c r="L15" s="285">
        <v>105.8</v>
      </c>
      <c r="M15" s="285">
        <v>104.2</v>
      </c>
      <c r="N15" s="285">
        <v>103.2</v>
      </c>
      <c r="O15">
        <v>104.2</v>
      </c>
      <c r="P15" s="285">
        <f t="shared" si="0"/>
        <v>107.71</v>
      </c>
      <c r="R15">
        <v>100.6</v>
      </c>
      <c r="T15" s="286">
        <f t="shared" si="1"/>
        <v>-3.6000000000000085</v>
      </c>
      <c r="U15" s="285">
        <f t="shared" si="2"/>
        <v>-7.1099999999999994</v>
      </c>
    </row>
    <row r="16" spans="2:21" x14ac:dyDescent="0.25">
      <c r="B16" s="283" t="s">
        <v>113</v>
      </c>
      <c r="C16" s="283" t="s">
        <v>114</v>
      </c>
      <c r="D16" s="285"/>
      <c r="E16" s="285"/>
      <c r="F16" s="285"/>
      <c r="G16" s="285">
        <v>101.25</v>
      </c>
      <c r="H16" s="285">
        <v>96.2</v>
      </c>
      <c r="I16" s="285">
        <v>98</v>
      </c>
      <c r="J16" s="285"/>
      <c r="K16" s="285"/>
      <c r="L16" s="285">
        <v>104.2</v>
      </c>
      <c r="M16" s="285">
        <v>101.8</v>
      </c>
      <c r="N16" s="285">
        <v>96.6</v>
      </c>
      <c r="O16">
        <v>97</v>
      </c>
      <c r="P16" s="285">
        <f t="shared" si="0"/>
        <v>99.29285714285713</v>
      </c>
      <c r="R16">
        <v>91.6</v>
      </c>
      <c r="T16" s="286">
        <f t="shared" si="1"/>
        <v>-5.4000000000000057</v>
      </c>
      <c r="U16" s="285">
        <f t="shared" si="2"/>
        <v>-7.692857142857136</v>
      </c>
    </row>
    <row r="17" spans="2:22" x14ac:dyDescent="0.25">
      <c r="B17" s="283" t="s">
        <v>108</v>
      </c>
      <c r="C17" s="283" t="s">
        <v>109</v>
      </c>
      <c r="D17" s="285"/>
      <c r="E17" s="285"/>
      <c r="F17" s="285">
        <v>86</v>
      </c>
      <c r="G17" s="285">
        <v>89.75</v>
      </c>
      <c r="H17" s="285">
        <v>88.6</v>
      </c>
      <c r="I17" s="285">
        <v>87.2</v>
      </c>
      <c r="J17" s="285"/>
      <c r="K17" s="285"/>
      <c r="L17" s="285">
        <v>105.6</v>
      </c>
      <c r="M17" s="285">
        <v>138.19999999999999</v>
      </c>
      <c r="N17" s="285">
        <v>97.2</v>
      </c>
      <c r="O17">
        <v>94.2</v>
      </c>
      <c r="P17" s="285">
        <f t="shared" si="0"/>
        <v>98.34375</v>
      </c>
      <c r="R17">
        <v>92.8</v>
      </c>
      <c r="T17" s="286">
        <f t="shared" si="1"/>
        <v>-1.4000000000000057</v>
      </c>
      <c r="U17" s="285">
        <f t="shared" si="2"/>
        <v>-5.5437500000000028</v>
      </c>
    </row>
    <row r="18" spans="2:22" x14ac:dyDescent="0.25">
      <c r="P18" s="285"/>
      <c r="R18">
        <v>113.4</v>
      </c>
    </row>
    <row r="19" spans="2:22" x14ac:dyDescent="0.25">
      <c r="B19" s="283" t="s">
        <v>68</v>
      </c>
      <c r="D19" s="286">
        <v>2009</v>
      </c>
      <c r="E19" s="286">
        <v>2010</v>
      </c>
      <c r="F19" s="286">
        <v>2011</v>
      </c>
      <c r="G19" s="286">
        <v>2012</v>
      </c>
      <c r="H19" s="284">
        <v>2013</v>
      </c>
      <c r="I19" s="286">
        <v>2014</v>
      </c>
      <c r="J19" s="286">
        <v>2015</v>
      </c>
      <c r="K19" s="286">
        <v>2016</v>
      </c>
      <c r="L19" s="286">
        <v>2017</v>
      </c>
      <c r="M19" s="286">
        <v>2018</v>
      </c>
      <c r="N19" s="286">
        <v>2019</v>
      </c>
      <c r="O19">
        <v>2020</v>
      </c>
      <c r="P19" s="285" t="s">
        <v>203</v>
      </c>
      <c r="R19" t="s">
        <v>202</v>
      </c>
    </row>
    <row r="20" spans="2:22" x14ac:dyDescent="0.25">
      <c r="B20" s="283" t="s">
        <v>2</v>
      </c>
      <c r="C20" s="283" t="s">
        <v>3</v>
      </c>
      <c r="D20">
        <v>71.5</v>
      </c>
      <c r="E20">
        <v>72.75</v>
      </c>
      <c r="F20">
        <v>76.25</v>
      </c>
      <c r="G20">
        <v>72</v>
      </c>
      <c r="H20">
        <v>72.8</v>
      </c>
      <c r="I20">
        <v>85.4</v>
      </c>
      <c r="L20">
        <v>76.2</v>
      </c>
      <c r="M20">
        <v>70.8</v>
      </c>
      <c r="N20">
        <v>76.400000000000006</v>
      </c>
      <c r="O20">
        <v>70.599999999999994</v>
      </c>
      <c r="P20" s="285">
        <f>AVERAGE(D20:O20)</f>
        <v>74.47</v>
      </c>
      <c r="R20">
        <v>73</v>
      </c>
      <c r="T20" s="285">
        <f>R20-O20</f>
        <v>2.4000000000000057</v>
      </c>
      <c r="U20" s="345">
        <f>R20-P20</f>
        <v>-1.4699999999999989</v>
      </c>
      <c r="V20" s="345"/>
    </row>
    <row r="21" spans="2:22" x14ac:dyDescent="0.25">
      <c r="B21" s="283" t="s">
        <v>0</v>
      </c>
      <c r="C21" s="283" t="s">
        <v>1</v>
      </c>
      <c r="D21">
        <v>76</v>
      </c>
      <c r="E21">
        <v>75.25</v>
      </c>
      <c r="F21">
        <v>72</v>
      </c>
      <c r="G21">
        <v>71.25</v>
      </c>
      <c r="H21">
        <v>74</v>
      </c>
      <c r="I21">
        <v>75</v>
      </c>
      <c r="L21">
        <v>74</v>
      </c>
      <c r="M21">
        <v>75.599999999999994</v>
      </c>
      <c r="N21">
        <v>76.2</v>
      </c>
      <c r="O21">
        <v>72.2</v>
      </c>
      <c r="P21" s="285">
        <f t="shared" ref="P21:P34" si="3">AVERAGE(D21:O21)</f>
        <v>74.150000000000006</v>
      </c>
      <c r="R21">
        <v>74.599999999999994</v>
      </c>
      <c r="T21" s="285">
        <f t="shared" ref="T21:T34" si="4">R21-O21</f>
        <v>2.3999999999999915</v>
      </c>
      <c r="U21" s="345">
        <f t="shared" ref="U21:U34" si="5">R21-P21</f>
        <v>0.44999999999998863</v>
      </c>
      <c r="V21" s="345"/>
    </row>
    <row r="22" spans="2:22" x14ac:dyDescent="0.25">
      <c r="B22" s="283" t="s">
        <v>4</v>
      </c>
      <c r="C22" s="283" t="s">
        <v>5</v>
      </c>
      <c r="D22">
        <v>73</v>
      </c>
      <c r="E22">
        <v>73.75</v>
      </c>
      <c r="F22">
        <v>102.5</v>
      </c>
      <c r="G22">
        <v>75.5</v>
      </c>
      <c r="H22">
        <v>76</v>
      </c>
      <c r="I22">
        <v>77.2</v>
      </c>
      <c r="L22">
        <v>77.8</v>
      </c>
      <c r="M22">
        <v>79.2</v>
      </c>
      <c r="N22">
        <v>75.8</v>
      </c>
      <c r="O22">
        <v>75.2</v>
      </c>
      <c r="P22" s="285">
        <f t="shared" si="3"/>
        <v>78.594999999999999</v>
      </c>
      <c r="R22">
        <v>75.2</v>
      </c>
      <c r="T22" s="285">
        <f t="shared" si="4"/>
        <v>0</v>
      </c>
      <c r="U22" s="345">
        <f t="shared" si="5"/>
        <v>-3.394999999999996</v>
      </c>
      <c r="V22" s="345"/>
    </row>
    <row r="23" spans="2:22" x14ac:dyDescent="0.25">
      <c r="B23" s="283" t="s">
        <v>14</v>
      </c>
      <c r="C23" s="283" t="s">
        <v>183</v>
      </c>
      <c r="D23">
        <v>84.25</v>
      </c>
      <c r="E23">
        <v>82.75</v>
      </c>
      <c r="F23">
        <v>85.5</v>
      </c>
      <c r="G23">
        <v>75</v>
      </c>
      <c r="H23">
        <v>78</v>
      </c>
      <c r="I23">
        <v>83.8</v>
      </c>
      <c r="L23">
        <v>80.599999999999994</v>
      </c>
      <c r="M23">
        <v>77.8</v>
      </c>
      <c r="N23">
        <v>84.6</v>
      </c>
      <c r="O23">
        <v>71</v>
      </c>
      <c r="P23" s="285">
        <f t="shared" si="3"/>
        <v>80.33</v>
      </c>
      <c r="R23">
        <v>72.8</v>
      </c>
      <c r="T23" s="285">
        <f t="shared" si="4"/>
        <v>1.7999999999999972</v>
      </c>
      <c r="U23" s="345">
        <f t="shared" si="5"/>
        <v>-7.5300000000000011</v>
      </c>
      <c r="V23" s="345"/>
    </row>
    <row r="24" spans="2:22" x14ac:dyDescent="0.25">
      <c r="B24" s="283" t="s">
        <v>10</v>
      </c>
      <c r="C24" s="283" t="s">
        <v>11</v>
      </c>
      <c r="D24">
        <v>75</v>
      </c>
      <c r="E24">
        <v>75.75</v>
      </c>
      <c r="F24">
        <v>69.5</v>
      </c>
      <c r="G24">
        <v>82</v>
      </c>
      <c r="H24">
        <v>74</v>
      </c>
      <c r="I24">
        <v>73.400000000000006</v>
      </c>
      <c r="L24">
        <v>75.2</v>
      </c>
      <c r="M24">
        <v>75.2</v>
      </c>
      <c r="N24">
        <v>74.599999999999994</v>
      </c>
      <c r="O24">
        <v>73.599999999999994</v>
      </c>
      <c r="P24" s="285">
        <f t="shared" si="3"/>
        <v>74.825000000000017</v>
      </c>
      <c r="R24">
        <v>73.8</v>
      </c>
      <c r="T24" s="285">
        <f t="shared" si="4"/>
        <v>0.20000000000000284</v>
      </c>
      <c r="U24" s="345">
        <f t="shared" si="5"/>
        <v>-1.0250000000000199</v>
      </c>
      <c r="V24" s="345"/>
    </row>
    <row r="25" spans="2:22" x14ac:dyDescent="0.25">
      <c r="B25" s="283" t="s">
        <v>6</v>
      </c>
      <c r="C25" s="283" t="s">
        <v>7</v>
      </c>
      <c r="D25">
        <v>76.75</v>
      </c>
      <c r="E25">
        <v>83.25</v>
      </c>
      <c r="F25">
        <v>81</v>
      </c>
      <c r="G25">
        <v>79.75</v>
      </c>
      <c r="H25">
        <v>82.4</v>
      </c>
      <c r="I25">
        <v>76</v>
      </c>
      <c r="L25">
        <v>78</v>
      </c>
      <c r="M25">
        <v>77</v>
      </c>
      <c r="N25">
        <v>78.400000000000006</v>
      </c>
      <c r="O25">
        <v>72.8</v>
      </c>
      <c r="P25" s="285">
        <f t="shared" si="3"/>
        <v>78.534999999999997</v>
      </c>
      <c r="R25">
        <v>74.8</v>
      </c>
      <c r="T25" s="285">
        <f t="shared" si="4"/>
        <v>2</v>
      </c>
      <c r="U25" s="345">
        <f t="shared" si="5"/>
        <v>-3.7349999999999994</v>
      </c>
      <c r="V25" s="345"/>
    </row>
    <row r="26" spans="2:22" x14ac:dyDescent="0.25">
      <c r="B26" s="283" t="s">
        <v>8</v>
      </c>
      <c r="C26" s="283" t="s">
        <v>9</v>
      </c>
      <c r="D26">
        <v>74.5</v>
      </c>
      <c r="E26">
        <v>79.75</v>
      </c>
      <c r="F26">
        <v>79.75</v>
      </c>
      <c r="G26">
        <v>73.5</v>
      </c>
      <c r="H26">
        <v>77.400000000000006</v>
      </c>
      <c r="I26">
        <v>77.8</v>
      </c>
      <c r="L26">
        <v>79.400000000000006</v>
      </c>
      <c r="M26">
        <v>82.2</v>
      </c>
      <c r="N26">
        <v>78</v>
      </c>
      <c r="O26">
        <v>78.2</v>
      </c>
      <c r="P26" s="285">
        <f t="shared" si="3"/>
        <v>78.050000000000011</v>
      </c>
      <c r="R26">
        <v>76.599999999999994</v>
      </c>
      <c r="T26" s="285">
        <f t="shared" si="4"/>
        <v>-1.6000000000000085</v>
      </c>
      <c r="U26" s="345">
        <f t="shared" si="5"/>
        <v>-1.4500000000000171</v>
      </c>
      <c r="V26" s="345"/>
    </row>
    <row r="27" spans="2:22" x14ac:dyDescent="0.25">
      <c r="B27" s="283" t="s">
        <v>2</v>
      </c>
      <c r="C27" s="283" t="s">
        <v>159</v>
      </c>
      <c r="M27">
        <v>77.599999999999994</v>
      </c>
      <c r="N27">
        <v>81.2</v>
      </c>
      <c r="O27">
        <v>78.2</v>
      </c>
      <c r="P27" s="285">
        <f t="shared" si="3"/>
        <v>79</v>
      </c>
      <c r="R27">
        <v>80.400000000000006</v>
      </c>
      <c r="T27" s="285">
        <f t="shared" si="4"/>
        <v>2.2000000000000028</v>
      </c>
      <c r="U27" s="345">
        <f t="shared" si="5"/>
        <v>1.4000000000000057</v>
      </c>
      <c r="V27" s="345"/>
    </row>
    <row r="28" spans="2:22" x14ac:dyDescent="0.25">
      <c r="B28" s="283" t="s">
        <v>17</v>
      </c>
      <c r="C28" s="283" t="s">
        <v>18</v>
      </c>
      <c r="E28">
        <v>95.5</v>
      </c>
      <c r="F28">
        <v>85.25</v>
      </c>
      <c r="G28">
        <v>81.75</v>
      </c>
      <c r="H28">
        <v>83.2</v>
      </c>
      <c r="I28">
        <v>79.599999999999994</v>
      </c>
      <c r="L28">
        <v>87</v>
      </c>
      <c r="M28">
        <v>95.4</v>
      </c>
      <c r="N28">
        <v>86.2</v>
      </c>
      <c r="O28">
        <v>75.8</v>
      </c>
      <c r="P28" s="285">
        <f t="shared" si="3"/>
        <v>85.522222222222211</v>
      </c>
      <c r="R28">
        <v>73.2</v>
      </c>
      <c r="T28" s="285">
        <f t="shared" si="4"/>
        <v>-2.5999999999999943</v>
      </c>
      <c r="U28" s="345">
        <f t="shared" si="5"/>
        <v>-12.322222222222209</v>
      </c>
      <c r="V28" s="345"/>
    </row>
    <row r="29" spans="2:22" x14ac:dyDescent="0.25">
      <c r="B29" s="283" t="s">
        <v>15</v>
      </c>
      <c r="C29" s="283" t="s">
        <v>16</v>
      </c>
      <c r="D29">
        <v>76.75</v>
      </c>
      <c r="E29">
        <v>71.75</v>
      </c>
      <c r="F29">
        <v>74.25</v>
      </c>
      <c r="G29">
        <v>75.25</v>
      </c>
      <c r="H29">
        <v>76.400000000000006</v>
      </c>
      <c r="I29">
        <v>77.400000000000006</v>
      </c>
      <c r="L29">
        <v>81.2</v>
      </c>
      <c r="M29">
        <v>80.400000000000006</v>
      </c>
      <c r="N29">
        <v>80.8</v>
      </c>
      <c r="O29">
        <v>75.400000000000006</v>
      </c>
      <c r="P29" s="285">
        <f t="shared" si="3"/>
        <v>76.959999999999994</v>
      </c>
      <c r="R29">
        <v>85.6</v>
      </c>
      <c r="T29" s="285">
        <f t="shared" si="4"/>
        <v>10.199999999999989</v>
      </c>
      <c r="U29" s="345">
        <f t="shared" si="5"/>
        <v>8.64</v>
      </c>
      <c r="V29" s="345"/>
    </row>
    <row r="30" spans="2:22" x14ac:dyDescent="0.25">
      <c r="B30" s="283" t="s">
        <v>104</v>
      </c>
      <c r="C30" s="283" t="s">
        <v>105</v>
      </c>
      <c r="F30">
        <v>84.75</v>
      </c>
      <c r="G30">
        <v>93.75</v>
      </c>
      <c r="H30">
        <v>94.6</v>
      </c>
      <c r="I30">
        <v>110.4</v>
      </c>
      <c r="L30">
        <v>89.4</v>
      </c>
      <c r="M30">
        <v>92.6</v>
      </c>
      <c r="N30">
        <v>89.8</v>
      </c>
      <c r="O30">
        <v>81</v>
      </c>
      <c r="P30" s="285">
        <f t="shared" si="3"/>
        <v>92.037499999999994</v>
      </c>
      <c r="R30">
        <v>95.4</v>
      </c>
      <c r="T30" s="285">
        <f t="shared" si="4"/>
        <v>14.400000000000006</v>
      </c>
      <c r="U30" s="345">
        <f t="shared" si="5"/>
        <v>3.3625000000000114</v>
      </c>
      <c r="V30" s="345"/>
    </row>
    <row r="31" spans="2:22" x14ac:dyDescent="0.25">
      <c r="B31" s="283" t="s">
        <v>8</v>
      </c>
      <c r="C31" s="283" t="s">
        <v>19</v>
      </c>
      <c r="D31">
        <v>79.75</v>
      </c>
      <c r="E31">
        <v>83</v>
      </c>
      <c r="F31">
        <v>126</v>
      </c>
      <c r="G31">
        <v>75</v>
      </c>
      <c r="H31">
        <v>76.599999999999994</v>
      </c>
      <c r="I31">
        <v>83.4</v>
      </c>
      <c r="L31">
        <v>85.8</v>
      </c>
      <c r="M31">
        <v>126</v>
      </c>
      <c r="N31">
        <v>105.2</v>
      </c>
      <c r="O31">
        <v>81.2</v>
      </c>
      <c r="P31" s="285">
        <f t="shared" si="3"/>
        <v>92.195000000000007</v>
      </c>
      <c r="R31">
        <v>83.4</v>
      </c>
      <c r="T31" s="285">
        <f t="shared" si="4"/>
        <v>2.2000000000000028</v>
      </c>
      <c r="U31" s="345">
        <f t="shared" si="5"/>
        <v>-8.7950000000000017</v>
      </c>
      <c r="V31" s="345"/>
    </row>
    <row r="32" spans="2:22" x14ac:dyDescent="0.25">
      <c r="B32" s="283" t="s">
        <v>12</v>
      </c>
      <c r="C32" s="283" t="s">
        <v>171</v>
      </c>
      <c r="D32">
        <v>82.5</v>
      </c>
      <c r="E32">
        <v>82.75</v>
      </c>
      <c r="F32">
        <v>76</v>
      </c>
      <c r="G32">
        <v>72.5</v>
      </c>
      <c r="H32">
        <v>75.599999999999994</v>
      </c>
      <c r="I32">
        <v>95.2</v>
      </c>
      <c r="L32">
        <v>80.400000000000006</v>
      </c>
      <c r="M32">
        <v>77</v>
      </c>
      <c r="N32">
        <v>79.599999999999994</v>
      </c>
      <c r="O32">
        <v>77.599999999999994</v>
      </c>
      <c r="P32" s="285">
        <f t="shared" si="3"/>
        <v>79.915000000000006</v>
      </c>
      <c r="R32">
        <v>71.599999999999994</v>
      </c>
      <c r="T32" s="285">
        <f t="shared" si="4"/>
        <v>-6</v>
      </c>
      <c r="U32" s="345">
        <f t="shared" si="5"/>
        <v>-8.3150000000000119</v>
      </c>
      <c r="V32" s="345"/>
    </row>
    <row r="33" spans="2:22" x14ac:dyDescent="0.25">
      <c r="B33" s="283" t="s">
        <v>113</v>
      </c>
      <c r="C33" s="283" t="s">
        <v>114</v>
      </c>
      <c r="G33">
        <v>80.75</v>
      </c>
      <c r="H33">
        <v>77.8</v>
      </c>
      <c r="I33">
        <v>81.2</v>
      </c>
      <c r="L33">
        <v>81.400000000000006</v>
      </c>
      <c r="M33">
        <v>79.2</v>
      </c>
      <c r="N33">
        <v>77</v>
      </c>
      <c r="O33">
        <v>78.2</v>
      </c>
      <c r="P33" s="285">
        <f t="shared" si="3"/>
        <v>79.364285714285714</v>
      </c>
      <c r="R33">
        <v>72.599999999999994</v>
      </c>
      <c r="T33" s="285">
        <f t="shared" si="4"/>
        <v>-5.6000000000000085</v>
      </c>
      <c r="U33" s="345">
        <f t="shared" si="5"/>
        <v>-6.7642857142857196</v>
      </c>
      <c r="V33" s="345"/>
    </row>
    <row r="34" spans="2:22" x14ac:dyDescent="0.25">
      <c r="B34" s="283" t="s">
        <v>108</v>
      </c>
      <c r="C34" s="283" t="s">
        <v>109</v>
      </c>
      <c r="F34">
        <v>71.25</v>
      </c>
      <c r="G34">
        <v>77.25</v>
      </c>
      <c r="H34">
        <v>75.2</v>
      </c>
      <c r="I34">
        <v>74.2</v>
      </c>
      <c r="L34">
        <v>98.8</v>
      </c>
      <c r="M34">
        <v>111</v>
      </c>
      <c r="N34">
        <v>83</v>
      </c>
      <c r="O34">
        <v>77</v>
      </c>
      <c r="P34" s="285">
        <f t="shared" si="3"/>
        <v>83.462500000000006</v>
      </c>
      <c r="R34">
        <v>74</v>
      </c>
      <c r="T34" s="285">
        <f t="shared" si="4"/>
        <v>-3</v>
      </c>
      <c r="U34" s="345">
        <f t="shared" si="5"/>
        <v>-9.4625000000000057</v>
      </c>
      <c r="V34" s="345"/>
    </row>
    <row r="35" spans="2:22" x14ac:dyDescent="0.25">
      <c r="P35" s="285"/>
      <c r="R35">
        <v>77.13333333333334</v>
      </c>
      <c r="T35" s="285"/>
      <c r="U35" s="345"/>
      <c r="V35" s="345"/>
    </row>
    <row r="36" spans="2:22" x14ac:dyDescent="0.25">
      <c r="P36" s="285"/>
    </row>
    <row r="37" spans="2:22" x14ac:dyDescent="0.25">
      <c r="C37" s="283" t="s">
        <v>184</v>
      </c>
      <c r="D37" s="285">
        <f>D3+D11</f>
        <v>85</v>
      </c>
      <c r="E37" s="285">
        <f>(E3+E11)/2</f>
        <v>104.125</v>
      </c>
      <c r="F37" s="285">
        <f t="shared" ref="F37:N37" si="6">(F3+F11)/2</f>
        <v>98.625</v>
      </c>
      <c r="G37" s="285">
        <f t="shared" si="6"/>
        <v>95.375</v>
      </c>
      <c r="H37" s="285">
        <f t="shared" si="6"/>
        <v>94.8</v>
      </c>
      <c r="I37" s="285">
        <f t="shared" si="6"/>
        <v>95.800000000000011</v>
      </c>
      <c r="J37" s="285"/>
      <c r="K37" s="285"/>
      <c r="L37" s="285">
        <f t="shared" si="6"/>
        <v>97.2</v>
      </c>
      <c r="M37" s="285">
        <f t="shared" si="6"/>
        <v>102.3</v>
      </c>
      <c r="N37" s="285">
        <f t="shared" si="6"/>
        <v>100.1</v>
      </c>
      <c r="P37" s="285">
        <f t="shared" ref="P37:P53" si="7">AVERAGE(D37:N37)</f>
        <v>97.036111111111111</v>
      </c>
    </row>
    <row r="38" spans="2:22" x14ac:dyDescent="0.25">
      <c r="C38" s="283" t="s">
        <v>185</v>
      </c>
      <c r="D38" s="285">
        <f>D5</f>
        <v>94.25</v>
      </c>
      <c r="E38" s="285">
        <f t="shared" ref="E38:L38" si="8">E5</f>
        <v>96</v>
      </c>
      <c r="F38" s="285">
        <f t="shared" si="8"/>
        <v>131.75</v>
      </c>
      <c r="G38" s="285">
        <f t="shared" si="8"/>
        <v>95.75</v>
      </c>
      <c r="H38" s="285">
        <f t="shared" si="8"/>
        <v>95</v>
      </c>
      <c r="I38" s="285">
        <f t="shared" si="8"/>
        <v>96.6</v>
      </c>
      <c r="J38" s="285"/>
      <c r="K38" s="285"/>
      <c r="L38" s="285">
        <f t="shared" si="8"/>
        <v>96.6</v>
      </c>
      <c r="M38" s="285">
        <f>(M5+M10)/2</f>
        <v>99.7</v>
      </c>
      <c r="N38" s="285">
        <f>(N5+N10)/2</f>
        <v>99.9</v>
      </c>
      <c r="P38" s="285">
        <f t="shared" si="7"/>
        <v>100.61666666666667</v>
      </c>
    </row>
    <row r="39" spans="2:22" x14ac:dyDescent="0.25">
      <c r="C39" s="283" t="s">
        <v>186</v>
      </c>
      <c r="D39" s="285">
        <f>(D6+D9)/2</f>
        <v>98.875</v>
      </c>
      <c r="E39" s="285">
        <f t="shared" ref="E39:N39" si="9">(E6+E9)/2</f>
        <v>101.25</v>
      </c>
      <c r="F39" s="285">
        <f t="shared" si="9"/>
        <v>101</v>
      </c>
      <c r="G39" s="285">
        <f t="shared" si="9"/>
        <v>91.875</v>
      </c>
      <c r="H39" s="285">
        <f t="shared" si="9"/>
        <v>95.6</v>
      </c>
      <c r="I39" s="285">
        <f t="shared" si="9"/>
        <v>96.9</v>
      </c>
      <c r="J39" s="285"/>
      <c r="K39" s="285"/>
      <c r="L39" s="285">
        <f t="shared" si="9"/>
        <v>96.800000000000011</v>
      </c>
      <c r="M39" s="285">
        <f t="shared" si="9"/>
        <v>103.1</v>
      </c>
      <c r="N39" s="285">
        <f t="shared" si="9"/>
        <v>100.1</v>
      </c>
      <c r="P39" s="285">
        <f t="shared" si="7"/>
        <v>98.388888888888886</v>
      </c>
    </row>
    <row r="40" spans="2:22" x14ac:dyDescent="0.25">
      <c r="C40" s="283" t="s">
        <v>187</v>
      </c>
      <c r="D40" s="285">
        <f>(D4+D12)/2</f>
        <v>95.5</v>
      </c>
      <c r="E40" s="285">
        <f t="shared" ref="E40:N40" si="10">(E4+E12)/2</f>
        <v>93.5</v>
      </c>
      <c r="F40" s="285">
        <f t="shared" si="10"/>
        <v>91.125</v>
      </c>
      <c r="G40" s="285">
        <f t="shared" si="10"/>
        <v>90</v>
      </c>
      <c r="H40" s="285">
        <f t="shared" si="10"/>
        <v>93</v>
      </c>
      <c r="I40" s="285">
        <f t="shared" si="10"/>
        <v>91.5</v>
      </c>
      <c r="J40" s="285"/>
      <c r="K40" s="285"/>
      <c r="L40" s="285">
        <f t="shared" si="10"/>
        <v>94.8</v>
      </c>
      <c r="M40" s="285">
        <f t="shared" si="10"/>
        <v>96.8</v>
      </c>
      <c r="N40" s="285">
        <f t="shared" si="10"/>
        <v>97.699999999999989</v>
      </c>
      <c r="P40" s="285">
        <f t="shared" si="7"/>
        <v>93.769444444444446</v>
      </c>
    </row>
    <row r="41" spans="2:22" x14ac:dyDescent="0.25">
      <c r="C41" s="283" t="s">
        <v>188</v>
      </c>
      <c r="D41" s="285">
        <f>(D7+D13)/1</f>
        <v>96.25</v>
      </c>
      <c r="E41" s="285">
        <f>(E7+E13)/1</f>
        <v>98.25</v>
      </c>
      <c r="F41" s="285">
        <f t="shared" ref="F41:N41" si="11">(F7+F13)/2</f>
        <v>92.875</v>
      </c>
      <c r="G41" s="285">
        <f t="shared" si="11"/>
        <v>103.875</v>
      </c>
      <c r="H41" s="285">
        <f t="shared" si="11"/>
        <v>102</v>
      </c>
      <c r="I41" s="285">
        <f t="shared" si="11"/>
        <v>109.4</v>
      </c>
      <c r="J41" s="285"/>
      <c r="K41" s="285"/>
      <c r="L41" s="285">
        <f t="shared" si="11"/>
        <v>97.5</v>
      </c>
      <c r="M41" s="285">
        <f t="shared" si="11"/>
        <v>100.8</v>
      </c>
      <c r="N41" s="285">
        <f t="shared" si="11"/>
        <v>98.199999999999989</v>
      </c>
      <c r="P41" s="285">
        <f t="shared" si="7"/>
        <v>99.905555555555537</v>
      </c>
    </row>
    <row r="42" spans="2:22" x14ac:dyDescent="0.25">
      <c r="C42" s="283" t="s">
        <v>189</v>
      </c>
      <c r="D42" s="285">
        <f>(D14+D16+D17)/1</f>
        <v>110.25</v>
      </c>
      <c r="E42" s="285">
        <f>(E14+E16+E17)/1</f>
        <v>114.25</v>
      </c>
      <c r="F42" s="285">
        <f>(F14+F16+F17)/1</f>
        <v>86</v>
      </c>
      <c r="G42" s="285">
        <f t="shared" ref="G42:N42" si="12">(G14+G16+G17)/3</f>
        <v>98.416666666666671</v>
      </c>
      <c r="H42" s="285">
        <f t="shared" si="12"/>
        <v>96.533333333333346</v>
      </c>
      <c r="I42" s="285">
        <f t="shared" si="12"/>
        <v>98.133333333333326</v>
      </c>
      <c r="J42" s="285"/>
      <c r="K42" s="285"/>
      <c r="L42" s="285">
        <f t="shared" si="12"/>
        <v>107.93333333333332</v>
      </c>
      <c r="M42" s="285">
        <f>(M14+M16+M17)/2</f>
        <v>120</v>
      </c>
      <c r="N42" s="285">
        <f t="shared" si="12"/>
        <v>110</v>
      </c>
      <c r="P42" s="285">
        <f t="shared" si="7"/>
        <v>104.61296296296297</v>
      </c>
    </row>
    <row r="43" spans="2:22" x14ac:dyDescent="0.25">
      <c r="C43" s="283" t="s">
        <v>190</v>
      </c>
      <c r="D43" s="285">
        <f>(D8+D15)/2</f>
        <v>107.125</v>
      </c>
      <c r="E43" s="285">
        <f t="shared" ref="E43:N43" si="13">(E8+E15)/2</f>
        <v>112</v>
      </c>
      <c r="F43" s="285">
        <f t="shared" si="13"/>
        <v>106</v>
      </c>
      <c r="G43" s="285">
        <f t="shared" si="13"/>
        <v>103.25</v>
      </c>
      <c r="H43" s="285">
        <f t="shared" si="13"/>
        <v>103.9</v>
      </c>
      <c r="I43" s="285">
        <f t="shared" si="13"/>
        <v>106.1</v>
      </c>
      <c r="J43" s="285"/>
      <c r="K43" s="285"/>
      <c r="L43" s="285">
        <f t="shared" si="13"/>
        <v>103.1</v>
      </c>
      <c r="M43" s="285">
        <f t="shared" si="13"/>
        <v>103.2</v>
      </c>
      <c r="N43" s="285">
        <f t="shared" si="13"/>
        <v>103.4</v>
      </c>
      <c r="P43" s="285">
        <f t="shared" si="7"/>
        <v>105.34166666666667</v>
      </c>
    </row>
    <row r="44" spans="2:22" x14ac:dyDescent="0.25">
      <c r="P44" s="285"/>
    </row>
    <row r="45" spans="2:22" x14ac:dyDescent="0.25">
      <c r="P45" s="285"/>
    </row>
    <row r="46" spans="2:22" x14ac:dyDescent="0.25">
      <c r="P46" s="285"/>
    </row>
    <row r="47" spans="2:22" x14ac:dyDescent="0.25">
      <c r="C47" s="283" t="s">
        <v>184</v>
      </c>
      <c r="D47" s="285">
        <f>(D20+D28)/1</f>
        <v>71.5</v>
      </c>
      <c r="E47" s="285">
        <f t="shared" ref="E47:N47" si="14">(E20+E28)/2</f>
        <v>84.125</v>
      </c>
      <c r="F47" s="285">
        <f t="shared" si="14"/>
        <v>80.75</v>
      </c>
      <c r="G47" s="285">
        <f t="shared" si="14"/>
        <v>76.875</v>
      </c>
      <c r="H47" s="285">
        <f t="shared" si="14"/>
        <v>78</v>
      </c>
      <c r="I47" s="285">
        <f t="shared" si="14"/>
        <v>82.5</v>
      </c>
      <c r="J47" s="285"/>
      <c r="K47" s="285"/>
      <c r="L47" s="285">
        <f t="shared" si="14"/>
        <v>81.599999999999994</v>
      </c>
      <c r="M47" s="285">
        <f t="shared" si="14"/>
        <v>83.1</v>
      </c>
      <c r="N47" s="285">
        <f t="shared" si="14"/>
        <v>81.300000000000011</v>
      </c>
      <c r="P47" s="285">
        <f t="shared" si="7"/>
        <v>79.972222222222229</v>
      </c>
    </row>
    <row r="48" spans="2:22" x14ac:dyDescent="0.25">
      <c r="C48" s="283" t="s">
        <v>185</v>
      </c>
      <c r="D48" s="285">
        <f t="shared" ref="D48:I48" si="15">(D22+D27)/1</f>
        <v>73</v>
      </c>
      <c r="E48" s="285">
        <f t="shared" si="15"/>
        <v>73.75</v>
      </c>
      <c r="F48" s="285">
        <f t="shared" si="15"/>
        <v>102.5</v>
      </c>
      <c r="G48" s="285">
        <f t="shared" si="15"/>
        <v>75.5</v>
      </c>
      <c r="H48" s="285">
        <f t="shared" si="15"/>
        <v>76</v>
      </c>
      <c r="I48" s="285">
        <f t="shared" si="15"/>
        <v>77.2</v>
      </c>
      <c r="J48" s="285"/>
      <c r="K48" s="285"/>
      <c r="L48" s="285">
        <f>(L22+L27)/1</f>
        <v>77.8</v>
      </c>
      <c r="M48" s="285">
        <f>(M22+M27)/2</f>
        <v>78.400000000000006</v>
      </c>
      <c r="N48" s="285">
        <f>(N22+N27)/2</f>
        <v>78.5</v>
      </c>
      <c r="O48" s="285"/>
      <c r="P48" s="285">
        <f t="shared" si="7"/>
        <v>79.183333333333337</v>
      </c>
    </row>
    <row r="49" spans="3:16" x14ac:dyDescent="0.25">
      <c r="C49" s="283" t="s">
        <v>186</v>
      </c>
      <c r="D49" s="285">
        <f>(D23+D26)/2</f>
        <v>79.375</v>
      </c>
      <c r="E49" s="285">
        <f t="shared" ref="E49:N49" si="16">(E23+E26)/2</f>
        <v>81.25</v>
      </c>
      <c r="F49" s="285">
        <f t="shared" si="16"/>
        <v>82.625</v>
      </c>
      <c r="G49" s="285">
        <f t="shared" si="16"/>
        <v>74.25</v>
      </c>
      <c r="H49" s="285">
        <f t="shared" si="16"/>
        <v>77.7</v>
      </c>
      <c r="I49" s="285">
        <f t="shared" si="16"/>
        <v>80.8</v>
      </c>
      <c r="J49" s="285"/>
      <c r="K49" s="285"/>
      <c r="L49" s="285">
        <f t="shared" si="16"/>
        <v>80</v>
      </c>
      <c r="M49" s="285">
        <f t="shared" si="16"/>
        <v>80</v>
      </c>
      <c r="N49" s="285">
        <f t="shared" si="16"/>
        <v>81.3</v>
      </c>
      <c r="O49" s="285"/>
      <c r="P49" s="285">
        <f t="shared" si="7"/>
        <v>79.699999999999989</v>
      </c>
    </row>
    <row r="50" spans="3:16" x14ac:dyDescent="0.25">
      <c r="C50" s="283" t="s">
        <v>187</v>
      </c>
      <c r="D50" s="285">
        <f>(D21+D29)/2</f>
        <v>76.375</v>
      </c>
      <c r="E50" s="285">
        <f t="shared" ref="E50:N50" si="17">(E21+E29)/2</f>
        <v>73.5</v>
      </c>
      <c r="F50" s="285">
        <f t="shared" si="17"/>
        <v>73.125</v>
      </c>
      <c r="G50" s="285">
        <f t="shared" si="17"/>
        <v>73.25</v>
      </c>
      <c r="H50" s="285">
        <f t="shared" si="17"/>
        <v>75.2</v>
      </c>
      <c r="I50" s="285">
        <f t="shared" si="17"/>
        <v>76.2</v>
      </c>
      <c r="J50" s="285"/>
      <c r="K50" s="285"/>
      <c r="L50" s="285">
        <f t="shared" si="17"/>
        <v>77.599999999999994</v>
      </c>
      <c r="M50" s="285">
        <f t="shared" si="17"/>
        <v>78</v>
      </c>
      <c r="N50" s="285">
        <f t="shared" si="17"/>
        <v>78.5</v>
      </c>
      <c r="P50" s="285">
        <f t="shared" si="7"/>
        <v>75.75</v>
      </c>
    </row>
    <row r="51" spans="3:16" x14ac:dyDescent="0.25">
      <c r="C51" s="283" t="s">
        <v>188</v>
      </c>
      <c r="D51" s="285">
        <f>(D24+D30)/1</f>
        <v>75</v>
      </c>
      <c r="E51" s="285">
        <f>(E24+E30)/1</f>
        <v>75.75</v>
      </c>
      <c r="F51" s="285">
        <f t="shared" ref="F51:N51" si="18">(F24+F30)/2</f>
        <v>77.125</v>
      </c>
      <c r="G51" s="285">
        <f t="shared" si="18"/>
        <v>87.875</v>
      </c>
      <c r="H51" s="285">
        <f t="shared" si="18"/>
        <v>84.3</v>
      </c>
      <c r="I51" s="285">
        <f t="shared" si="18"/>
        <v>91.9</v>
      </c>
      <c r="J51" s="285"/>
      <c r="K51" s="285"/>
      <c r="L51" s="285">
        <f t="shared" si="18"/>
        <v>82.300000000000011</v>
      </c>
      <c r="M51" s="285">
        <f t="shared" si="18"/>
        <v>83.9</v>
      </c>
      <c r="N51" s="285">
        <f t="shared" si="18"/>
        <v>82.199999999999989</v>
      </c>
      <c r="O51" s="285"/>
      <c r="P51" s="285">
        <f t="shared" si="7"/>
        <v>82.261111111111106</v>
      </c>
    </row>
    <row r="52" spans="3:16" x14ac:dyDescent="0.25">
      <c r="C52" s="283" t="s">
        <v>189</v>
      </c>
      <c r="D52" s="285">
        <f>(D31+D33+D34)/1</f>
        <v>79.75</v>
      </c>
      <c r="E52" s="285">
        <f>(E31+E33+E34)/1</f>
        <v>83</v>
      </c>
      <c r="F52" s="285">
        <f>(F31+F33+F34)/2</f>
        <v>98.625</v>
      </c>
      <c r="G52" s="285">
        <f t="shared" ref="G52:N52" si="19">(G31+G33+G34)/3</f>
        <v>77.666666666666671</v>
      </c>
      <c r="H52" s="285">
        <f t="shared" si="19"/>
        <v>76.533333333333317</v>
      </c>
      <c r="I52" s="285">
        <f t="shared" si="19"/>
        <v>79.600000000000009</v>
      </c>
      <c r="J52" s="285"/>
      <c r="K52" s="285"/>
      <c r="L52" s="285">
        <f t="shared" si="19"/>
        <v>88.666666666666671</v>
      </c>
      <c r="M52" s="285">
        <f t="shared" si="19"/>
        <v>105.39999999999999</v>
      </c>
      <c r="N52" s="285">
        <f t="shared" si="19"/>
        <v>88.399999999999991</v>
      </c>
      <c r="P52" s="285">
        <f t="shared" si="7"/>
        <v>86.404629629629625</v>
      </c>
    </row>
    <row r="53" spans="3:16" x14ac:dyDescent="0.25">
      <c r="C53" s="283" t="s">
        <v>190</v>
      </c>
      <c r="D53" s="285">
        <f>(D25+D32)/2</f>
        <v>79.625</v>
      </c>
      <c r="E53" s="285">
        <f t="shared" ref="E53:N53" si="20">(E25+E32)/2</f>
        <v>83</v>
      </c>
      <c r="F53" s="285">
        <f t="shared" si="20"/>
        <v>78.5</v>
      </c>
      <c r="G53" s="285">
        <f t="shared" si="20"/>
        <v>76.125</v>
      </c>
      <c r="H53" s="285">
        <f t="shared" si="20"/>
        <v>79</v>
      </c>
      <c r="I53" s="285">
        <f t="shared" si="20"/>
        <v>85.6</v>
      </c>
      <c r="J53" s="285"/>
      <c r="K53" s="285"/>
      <c r="L53" s="285">
        <f t="shared" si="20"/>
        <v>79.2</v>
      </c>
      <c r="M53" s="285">
        <f t="shared" si="20"/>
        <v>77</v>
      </c>
      <c r="N53" s="285">
        <f t="shared" si="20"/>
        <v>79</v>
      </c>
      <c r="P53" s="285">
        <f t="shared" si="7"/>
        <v>79.672222222222231</v>
      </c>
    </row>
    <row r="55" spans="3:16" x14ac:dyDescent="0.25">
      <c r="D55" t="s">
        <v>67</v>
      </c>
      <c r="E55" t="s">
        <v>68</v>
      </c>
      <c r="F55" t="s">
        <v>191</v>
      </c>
      <c r="G55" t="s">
        <v>192</v>
      </c>
    </row>
    <row r="56" spans="3:16" x14ac:dyDescent="0.25">
      <c r="C56" s="283" t="s">
        <v>184</v>
      </c>
      <c r="D56" s="285">
        <v>97.036111111111111</v>
      </c>
      <c r="E56" s="285">
        <v>79.972222222222229</v>
      </c>
      <c r="F56" s="285">
        <v>85</v>
      </c>
      <c r="G56" s="285">
        <v>71.5</v>
      </c>
      <c r="H56" s="285"/>
    </row>
    <row r="57" spans="3:16" x14ac:dyDescent="0.25">
      <c r="C57" s="283" t="s">
        <v>185</v>
      </c>
      <c r="D57" s="285">
        <v>100.61666666666667</v>
      </c>
      <c r="E57" s="285">
        <v>79.183333333333337</v>
      </c>
      <c r="F57" s="285">
        <v>94.3</v>
      </c>
      <c r="G57" s="285">
        <v>73</v>
      </c>
      <c r="H57" s="285"/>
    </row>
    <row r="58" spans="3:16" x14ac:dyDescent="0.25">
      <c r="C58" s="283" t="s">
        <v>186</v>
      </c>
      <c r="D58" s="285">
        <v>98.388888888888886</v>
      </c>
      <c r="E58" s="285">
        <v>79.699999999999989</v>
      </c>
      <c r="F58" s="285">
        <v>91.9</v>
      </c>
      <c r="G58" s="285">
        <v>74.3</v>
      </c>
      <c r="H58" s="285"/>
    </row>
    <row r="59" spans="3:16" x14ac:dyDescent="0.25">
      <c r="C59" s="283" t="s">
        <v>187</v>
      </c>
      <c r="D59" s="285">
        <v>93.769444444444446</v>
      </c>
      <c r="E59" s="285">
        <v>75.75</v>
      </c>
      <c r="F59" s="285">
        <v>90</v>
      </c>
      <c r="G59" s="285">
        <v>73.099999999999994</v>
      </c>
      <c r="H59" s="285"/>
    </row>
    <row r="60" spans="3:16" x14ac:dyDescent="0.25">
      <c r="C60" s="283" t="s">
        <v>188</v>
      </c>
      <c r="D60" s="285">
        <v>99.905555555555537</v>
      </c>
      <c r="E60" s="285">
        <v>82.261111111111106</v>
      </c>
      <c r="F60" s="285">
        <v>92.9</v>
      </c>
      <c r="G60" s="285">
        <v>75</v>
      </c>
      <c r="H60" s="285"/>
    </row>
    <row r="61" spans="3:16" x14ac:dyDescent="0.25">
      <c r="C61" s="283" t="s">
        <v>189</v>
      </c>
      <c r="D61" s="285">
        <v>104.61296296296297</v>
      </c>
      <c r="E61" s="285">
        <v>86.404629629629625</v>
      </c>
      <c r="F61" s="285">
        <v>86</v>
      </c>
      <c r="G61" s="285">
        <v>76.5</v>
      </c>
      <c r="H61" s="285"/>
    </row>
    <row r="62" spans="3:16" x14ac:dyDescent="0.25">
      <c r="C62" s="283" t="s">
        <v>190</v>
      </c>
      <c r="D62" s="285">
        <v>105.34166666666667</v>
      </c>
      <c r="E62" s="285">
        <v>79.672222222222231</v>
      </c>
      <c r="F62" s="285">
        <v>103.1</v>
      </c>
      <c r="G62" s="285">
        <v>76.099999999999994</v>
      </c>
      <c r="H62" s="285"/>
    </row>
    <row r="67" spans="3:7" x14ac:dyDescent="0.25">
      <c r="D67" t="s">
        <v>196</v>
      </c>
      <c r="E67" t="s">
        <v>4</v>
      </c>
      <c r="F67" t="s">
        <v>81</v>
      </c>
      <c r="G67" t="s">
        <v>197</v>
      </c>
    </row>
    <row r="68" spans="3:7" x14ac:dyDescent="0.25">
      <c r="C68" s="85" t="s">
        <v>34</v>
      </c>
      <c r="D68" s="189">
        <v>1.5873015873015872E-2</v>
      </c>
      <c r="E68" s="185">
        <v>0</v>
      </c>
      <c r="F68" s="185">
        <v>0</v>
      </c>
      <c r="G68" s="316">
        <v>1.3939393939393939E-2</v>
      </c>
    </row>
    <row r="69" spans="3:7" x14ac:dyDescent="0.25">
      <c r="C69" s="85" t="s">
        <v>83</v>
      </c>
      <c r="D69" s="189">
        <v>0.13095238095238096</v>
      </c>
      <c r="E69" s="185">
        <v>0.1111111111111111</v>
      </c>
      <c r="F69" s="185">
        <v>0</v>
      </c>
      <c r="G69" s="316">
        <v>0.15636363636363637</v>
      </c>
    </row>
    <row r="70" spans="3:7" x14ac:dyDescent="0.25">
      <c r="C70" s="85" t="s">
        <v>131</v>
      </c>
      <c r="D70" s="189">
        <v>0.37698412698412698</v>
      </c>
      <c r="E70" s="185">
        <v>0.61111111111111116</v>
      </c>
      <c r="F70" s="185">
        <v>0.22222222222222221</v>
      </c>
      <c r="G70" s="316">
        <v>0.33333333333333331</v>
      </c>
    </row>
    <row r="71" spans="3:7" x14ac:dyDescent="0.25">
      <c r="C71" s="85" t="s">
        <v>132</v>
      </c>
      <c r="D71" s="189">
        <v>0.27380952380952384</v>
      </c>
      <c r="E71" s="185">
        <v>0.22222222222222221</v>
      </c>
      <c r="F71" s="185">
        <v>5.5555555555555552E-2</v>
      </c>
      <c r="G71" s="316">
        <v>0.27393939393939393</v>
      </c>
    </row>
    <row r="72" spans="3:7" x14ac:dyDescent="0.25">
      <c r="C72" s="85" t="s">
        <v>133</v>
      </c>
      <c r="D72" s="189">
        <v>9.5238095238095233E-2</v>
      </c>
      <c r="E72" s="185">
        <v>5.5555555555555552E-2</v>
      </c>
      <c r="F72" s="185">
        <v>0.1111111111111111</v>
      </c>
      <c r="G72" s="316">
        <v>0.12727272727272726</v>
      </c>
    </row>
    <row r="73" spans="3:7" x14ac:dyDescent="0.25">
      <c r="C73" s="85" t="s">
        <v>134</v>
      </c>
      <c r="D73" s="189">
        <v>4.3650793650793648E-2</v>
      </c>
      <c r="E73" s="185">
        <v>0</v>
      </c>
      <c r="F73" s="185">
        <v>0.1111111111111111</v>
      </c>
      <c r="G73" s="316">
        <v>4.9696969696969698E-2</v>
      </c>
    </row>
    <row r="74" spans="3:7" x14ac:dyDescent="0.25">
      <c r="C74" s="85" t="s">
        <v>135</v>
      </c>
      <c r="D74" s="189">
        <v>6.3492063492063489E-2</v>
      </c>
      <c r="E74" s="185">
        <v>0</v>
      </c>
      <c r="F74" s="185">
        <v>0.5</v>
      </c>
      <c r="G74" s="316">
        <v>4.5454545454545456E-2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Scoreboard</vt:lpstr>
      <vt:lpstr>Öl &amp; Birdies</vt:lpstr>
      <vt:lpstr>Bästa Brutto &amp; Netto</vt:lpstr>
      <vt:lpstr>Ligastats</vt:lpstr>
      <vt:lpstr>Ranking</vt:lpstr>
      <vt:lpstr>Form-indikator</vt:lpstr>
      <vt:lpstr>Dreamscore</vt:lpstr>
      <vt:lpstr>CSV</vt:lpstr>
      <vt:lpstr>Snittscorer</vt:lpstr>
      <vt:lpstr>Blad1</vt:lpstr>
      <vt:lpstr>Prep avslut</vt:lpstr>
    </vt:vector>
  </TitlesOfParts>
  <Company>Halmstads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Stefan Thorvaldsson</dc:creator>
  <cp:lastModifiedBy>Stefan Torvaldsson</cp:lastModifiedBy>
  <cp:lastPrinted>2011-10-29T06:34:15Z</cp:lastPrinted>
  <dcterms:created xsi:type="dcterms:W3CDTF">2007-08-30T08:27:06Z</dcterms:created>
  <dcterms:modified xsi:type="dcterms:W3CDTF">2022-10-19T08:26:58Z</dcterms:modified>
</cp:coreProperties>
</file>