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tetor6611\Documents\BB2015\BB2016\"/>
    </mc:Choice>
  </mc:AlternateContent>
  <bookViews>
    <workbookView xWindow="0" yWindow="0" windowWidth="15360" windowHeight="20475" activeTab="5"/>
  </bookViews>
  <sheets>
    <sheet name="Scoreboard" sheetId="1" r:id="rId1"/>
    <sheet name="Öl &amp; Birdies" sheetId="3" r:id="rId2"/>
    <sheet name="Bästa Brutto &amp; Netto" sheetId="4" r:id="rId3"/>
    <sheet name="Ligastats" sheetId="6" r:id="rId4"/>
    <sheet name="Ranking" sheetId="5" r:id="rId5"/>
    <sheet name="Dreamscore" sheetId="7" r:id="rId6"/>
    <sheet name="Blad1" sheetId="8" r:id="rId7"/>
    <sheet name="Portugisen" sheetId="9" r:id="rId8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4" i="1" l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M19" i="1"/>
  <c r="L19" i="1"/>
  <c r="M39" i="1"/>
  <c r="L39" i="1"/>
  <c r="L39" i="6"/>
  <c r="G4" i="9"/>
  <c r="G3" i="9"/>
  <c r="G8" i="9"/>
  <c r="G15" i="9"/>
  <c r="G10" i="9"/>
  <c r="G6" i="9"/>
  <c r="G5" i="9"/>
  <c r="G16" i="9"/>
  <c r="G13" i="9"/>
  <c r="G9" i="9"/>
  <c r="G12" i="9"/>
  <c r="G11" i="9"/>
  <c r="G14" i="9"/>
  <c r="G7" i="9"/>
  <c r="G17" i="9"/>
  <c r="K39" i="1"/>
  <c r="K19" i="1"/>
  <c r="J19" i="1"/>
  <c r="J39" i="1"/>
  <c r="I39" i="1"/>
  <c r="I19" i="1"/>
  <c r="H39" i="1"/>
  <c r="H19" i="1"/>
  <c r="V77" i="7"/>
  <c r="X77" i="7"/>
  <c r="G39" i="1"/>
  <c r="G19" i="1"/>
  <c r="F39" i="1"/>
  <c r="F19" i="1"/>
  <c r="E39" i="1"/>
  <c r="E19" i="1"/>
  <c r="D39" i="1"/>
  <c r="D19" i="1"/>
  <c r="D4" i="4"/>
  <c r="F4" i="4"/>
  <c r="D5" i="4"/>
  <c r="F5" i="4"/>
  <c r="D6" i="4"/>
  <c r="F6" i="4"/>
  <c r="D7" i="4"/>
  <c r="F7" i="4"/>
  <c r="D8" i="4"/>
  <c r="D9" i="4"/>
  <c r="F9" i="4"/>
  <c r="D10" i="4"/>
  <c r="F10" i="4"/>
  <c r="D11" i="4"/>
  <c r="F11" i="4"/>
  <c r="D12" i="4"/>
  <c r="F12" i="4"/>
  <c r="D13" i="4"/>
  <c r="F13" i="4"/>
  <c r="D14" i="4"/>
  <c r="D15" i="4"/>
  <c r="F15" i="4"/>
  <c r="D16" i="4"/>
  <c r="F16" i="4"/>
  <c r="D17" i="4"/>
  <c r="F17" i="4"/>
  <c r="D18" i="4"/>
  <c r="F18" i="4"/>
  <c r="V165" i="7"/>
  <c r="X165" i="7"/>
  <c r="V200" i="7"/>
  <c r="X200" i="7"/>
  <c r="V164" i="7"/>
  <c r="X164" i="7"/>
  <c r="V30" i="7"/>
  <c r="X30" i="7"/>
  <c r="V78" i="7"/>
  <c r="X78" i="7"/>
  <c r="V138" i="7"/>
  <c r="X138" i="7"/>
  <c r="V114" i="7"/>
  <c r="X114" i="7"/>
  <c r="V29" i="7"/>
  <c r="X29" i="7"/>
  <c r="V66" i="7"/>
  <c r="X66" i="7"/>
  <c r="V197" i="7"/>
  <c r="X197" i="7"/>
  <c r="V102" i="7"/>
  <c r="X102" i="7"/>
  <c r="V126" i="7"/>
  <c r="X126" i="7"/>
  <c r="V186" i="7"/>
  <c r="X186" i="7"/>
  <c r="V41" i="7"/>
  <c r="X41" i="7"/>
  <c r="V174" i="7"/>
  <c r="X174" i="7"/>
  <c r="V162" i="7"/>
  <c r="X162" i="7"/>
  <c r="V28" i="7"/>
  <c r="X28" i="7"/>
  <c r="V161" i="7"/>
  <c r="X161" i="7"/>
  <c r="V137" i="7"/>
  <c r="X137" i="7"/>
  <c r="V125" i="7"/>
  <c r="X125" i="7"/>
  <c r="V101" i="7"/>
  <c r="X101" i="7"/>
  <c r="V65" i="7"/>
  <c r="X65" i="7"/>
  <c r="V185" i="7"/>
  <c r="X185" i="7"/>
  <c r="V196" i="7"/>
  <c r="X196" i="7"/>
  <c r="V173" i="7"/>
  <c r="X173" i="7"/>
  <c r="V40" i="7"/>
  <c r="X40" i="7"/>
  <c r="E4" i="3"/>
  <c r="E7" i="3"/>
  <c r="E8" i="3"/>
  <c r="E10" i="3"/>
  <c r="E11" i="3"/>
  <c r="F11" i="3"/>
  <c r="E12" i="3"/>
  <c r="E15" i="3"/>
  <c r="E16" i="3"/>
  <c r="E17" i="3"/>
  <c r="F17" i="3"/>
  <c r="E18" i="3"/>
  <c r="F18" i="3"/>
  <c r="K4" i="3"/>
  <c r="L4" i="3"/>
  <c r="K5" i="3"/>
  <c r="L5" i="3"/>
  <c r="K7" i="3"/>
  <c r="K8" i="3"/>
  <c r="K9" i="3"/>
  <c r="K10" i="3"/>
  <c r="L10" i="3"/>
  <c r="K11" i="3"/>
  <c r="K12" i="3"/>
  <c r="K13" i="3"/>
  <c r="L13" i="3"/>
  <c r="K14" i="3"/>
  <c r="L14" i="3"/>
  <c r="K15" i="3"/>
  <c r="K16" i="3"/>
  <c r="K17" i="3"/>
  <c r="L17" i="3"/>
  <c r="K18" i="3"/>
  <c r="L18" i="3"/>
  <c r="AC19" i="1"/>
  <c r="E19" i="3"/>
  <c r="F19" i="3"/>
  <c r="G17" i="6"/>
  <c r="V195" i="7"/>
  <c r="X195" i="7"/>
  <c r="V136" i="7"/>
  <c r="X136" i="7"/>
  <c r="V124" i="7"/>
  <c r="X124" i="7"/>
  <c r="V112" i="7"/>
  <c r="X112" i="7"/>
  <c r="V88" i="7"/>
  <c r="X88" i="7"/>
  <c r="V76" i="7"/>
  <c r="X76" i="7"/>
  <c r="V64" i="7"/>
  <c r="X64" i="7"/>
  <c r="V52" i="7"/>
  <c r="X52" i="7"/>
  <c r="V39" i="7"/>
  <c r="X39" i="7"/>
  <c r="V27" i="7"/>
  <c r="X27" i="7"/>
  <c r="V183" i="7"/>
  <c r="X183" i="7"/>
  <c r="V171" i="7"/>
  <c r="X171" i="7"/>
  <c r="V135" i="7"/>
  <c r="X135" i="7"/>
  <c r="V111" i="7"/>
  <c r="X111" i="7"/>
  <c r="V99" i="7"/>
  <c r="X99" i="7"/>
  <c r="V75" i="7"/>
  <c r="X75" i="7"/>
  <c r="V63" i="7"/>
  <c r="X63" i="7"/>
  <c r="V38" i="7"/>
  <c r="X38" i="7"/>
  <c r="V26" i="7"/>
  <c r="X26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82" i="7"/>
  <c r="X182" i="7"/>
  <c r="V134" i="7"/>
  <c r="X134" i="7"/>
  <c r="V110" i="7"/>
  <c r="X110" i="7"/>
  <c r="V98" i="7"/>
  <c r="X98" i="7"/>
  <c r="V74" i="7"/>
  <c r="X74" i="7"/>
  <c r="V62" i="7"/>
  <c r="X62" i="7"/>
  <c r="V37" i="7"/>
  <c r="X37" i="7"/>
  <c r="V190" i="7"/>
  <c r="X190" i="7"/>
  <c r="V178" i="7"/>
  <c r="X178" i="7"/>
  <c r="V142" i="7"/>
  <c r="X142" i="7"/>
  <c r="V118" i="7"/>
  <c r="X118" i="7"/>
  <c r="V106" i="7"/>
  <c r="X106" i="7"/>
  <c r="V94" i="7"/>
  <c r="X94" i="7"/>
  <c r="V82" i="7"/>
  <c r="X82" i="7"/>
  <c r="V58" i="7"/>
  <c r="X58" i="7"/>
  <c r="V45" i="7"/>
  <c r="X45" i="7"/>
  <c r="V33" i="7"/>
  <c r="X33" i="7"/>
  <c r="V177" i="7"/>
  <c r="X177" i="7"/>
  <c r="V44" i="7"/>
  <c r="X44" i="7"/>
  <c r="V141" i="7"/>
  <c r="X141" i="7"/>
  <c r="V129" i="7"/>
  <c r="X129" i="7"/>
  <c r="V57" i="7"/>
  <c r="X57" i="7"/>
  <c r="V32" i="7"/>
  <c r="X32" i="7"/>
  <c r="V199" i="7"/>
  <c r="X199" i="7"/>
  <c r="V188" i="7"/>
  <c r="X188" i="7"/>
  <c r="V176" i="7"/>
  <c r="X176" i="7"/>
  <c r="V140" i="7"/>
  <c r="X140" i="7"/>
  <c r="V128" i="7"/>
  <c r="X128" i="7"/>
  <c r="V116" i="7"/>
  <c r="X116" i="7"/>
  <c r="V104" i="7"/>
  <c r="X104" i="7"/>
  <c r="V80" i="7"/>
  <c r="X80" i="7"/>
  <c r="V68" i="7"/>
  <c r="X68" i="7"/>
  <c r="V56" i="7"/>
  <c r="X56" i="7"/>
  <c r="V43" i="7"/>
  <c r="X43" i="7"/>
  <c r="V31" i="7"/>
  <c r="X31" i="7"/>
  <c r="V187" i="7"/>
  <c r="X187" i="7"/>
  <c r="V115" i="7"/>
  <c r="X115" i="7"/>
  <c r="V103" i="7"/>
  <c r="X103" i="7"/>
  <c r="V91" i="7"/>
  <c r="X91" i="7"/>
  <c r="V79" i="7"/>
  <c r="X79" i="7"/>
  <c r="V67" i="7"/>
  <c r="X67" i="7"/>
  <c r="V54" i="7"/>
  <c r="X54" i="7"/>
  <c r="V53" i="7"/>
  <c r="X53" i="7"/>
  <c r="V122" i="7"/>
  <c r="X122" i="7"/>
  <c r="V123" i="7"/>
  <c r="X123" i="7"/>
  <c r="V127" i="7"/>
  <c r="X127" i="7"/>
  <c r="V130" i="7"/>
  <c r="X130" i="7"/>
  <c r="V131" i="7"/>
  <c r="X131" i="7"/>
  <c r="V147" i="7"/>
  <c r="X147" i="7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V159" i="7"/>
  <c r="X159" i="7"/>
  <c r="V194" i="7"/>
  <c r="X194" i="7"/>
  <c r="V51" i="7"/>
  <c r="X51" i="7"/>
  <c r="V87" i="7"/>
  <c r="X87" i="7"/>
  <c r="V146" i="7"/>
  <c r="X146" i="7"/>
  <c r="V202" i="7"/>
  <c r="G15" i="6"/>
  <c r="AE23" i="1"/>
  <c r="Z39" i="1"/>
  <c r="Z25" i="1"/>
  <c r="J6" i="5"/>
  <c r="Z26" i="1"/>
  <c r="J5" i="5"/>
  <c r="Z27" i="1"/>
  <c r="J14" i="5"/>
  <c r="Z28" i="1"/>
  <c r="J8" i="5"/>
  <c r="Z29" i="1"/>
  <c r="J10" i="5"/>
  <c r="Z30" i="1"/>
  <c r="J7" i="5"/>
  <c r="Z31" i="1"/>
  <c r="J11" i="5"/>
  <c r="Z38" i="1"/>
  <c r="J18" i="5"/>
  <c r="Z37" i="1"/>
  <c r="J16" i="5"/>
  <c r="Z32" i="1"/>
  <c r="J15" i="5"/>
  <c r="Z33" i="1"/>
  <c r="J9" i="5"/>
  <c r="Z24" i="1"/>
  <c r="Z35" i="1"/>
  <c r="J13" i="5"/>
  <c r="Z34" i="1"/>
  <c r="J17" i="5"/>
  <c r="Z36" i="1"/>
  <c r="J12" i="5"/>
  <c r="N25" i="1"/>
  <c r="AE25" i="1"/>
  <c r="N26" i="1"/>
  <c r="AE26" i="1"/>
  <c r="N27" i="1"/>
  <c r="AE27" i="1"/>
  <c r="N28" i="1"/>
  <c r="AE28" i="1"/>
  <c r="N29" i="1"/>
  <c r="AE29" i="1"/>
  <c r="N30" i="1"/>
  <c r="AE30" i="1"/>
  <c r="N31" i="1"/>
  <c r="AE31" i="1"/>
  <c r="N32" i="1"/>
  <c r="AE32" i="1"/>
  <c r="N33" i="1"/>
  <c r="AE33" i="1"/>
  <c r="N34" i="1"/>
  <c r="AE34" i="1"/>
  <c r="N35" i="1"/>
  <c r="AE35" i="1"/>
  <c r="N36" i="1"/>
  <c r="AE36" i="1"/>
  <c r="N37" i="1"/>
  <c r="AE37" i="1"/>
  <c r="N38" i="1"/>
  <c r="AE38" i="1"/>
  <c r="N24" i="1"/>
  <c r="AE24" i="1"/>
  <c r="Z5" i="1"/>
  <c r="D7" i="5"/>
  <c r="Z6" i="1"/>
  <c r="D8" i="5"/>
  <c r="Z7" i="1"/>
  <c r="D11" i="5"/>
  <c r="Z8" i="1"/>
  <c r="D9" i="5"/>
  <c r="Z9" i="1"/>
  <c r="D10" i="5"/>
  <c r="Z10" i="1"/>
  <c r="D12" i="5"/>
  <c r="Z11" i="1"/>
  <c r="D14" i="5"/>
  <c r="Z12" i="1"/>
  <c r="Z13" i="1"/>
  <c r="D13" i="5"/>
  <c r="Z14" i="1"/>
  <c r="D6" i="5"/>
  <c r="Z15" i="1"/>
  <c r="D15" i="5"/>
  <c r="Z16" i="1"/>
  <c r="D16" i="5"/>
  <c r="Z17" i="1"/>
  <c r="D5" i="5"/>
  <c r="Z18" i="1"/>
  <c r="D18" i="5"/>
  <c r="Z4" i="1"/>
  <c r="D4" i="5"/>
  <c r="J14" i="4"/>
  <c r="L14" i="4"/>
  <c r="G14" i="6"/>
  <c r="J17" i="4"/>
  <c r="L17" i="4"/>
  <c r="J20" i="3"/>
  <c r="D20" i="3"/>
  <c r="D21" i="3"/>
  <c r="V191" i="7"/>
  <c r="V179" i="7"/>
  <c r="X179" i="7"/>
  <c r="G13" i="6"/>
  <c r="V69" i="7"/>
  <c r="V70" i="7"/>
  <c r="V71" i="7"/>
  <c r="V81" i="7"/>
  <c r="X81" i="7"/>
  <c r="V83" i="7"/>
  <c r="V92" i="7"/>
  <c r="X92" i="7"/>
  <c r="V201" i="7"/>
  <c r="X201" i="7"/>
  <c r="V198" i="7"/>
  <c r="X198" i="7"/>
  <c r="V193" i="7"/>
  <c r="X193" i="7"/>
  <c r="G11" i="6"/>
  <c r="J18" i="4"/>
  <c r="L18" i="4"/>
  <c r="AC39" i="1"/>
  <c r="G12" i="6"/>
  <c r="V90" i="7"/>
  <c r="X90" i="7"/>
  <c r="V25" i="7"/>
  <c r="X25" i="7"/>
  <c r="V34" i="7"/>
  <c r="X34" i="7"/>
  <c r="L9" i="3"/>
  <c r="L6" i="3"/>
  <c r="F15" i="3"/>
  <c r="F13" i="3"/>
  <c r="V148" i="7"/>
  <c r="X148" i="7"/>
  <c r="V149" i="7"/>
  <c r="X149" i="7"/>
  <c r="V150" i="7"/>
  <c r="V151" i="7"/>
  <c r="X151" i="7"/>
  <c r="V152" i="7"/>
  <c r="X152" i="7"/>
  <c r="V153" i="7"/>
  <c r="X153" i="7"/>
  <c r="V154" i="7"/>
  <c r="X154" i="7"/>
  <c r="V155" i="7"/>
  <c r="X155" i="7"/>
  <c r="V158" i="7"/>
  <c r="X158" i="7"/>
  <c r="V160" i="7"/>
  <c r="X160" i="7"/>
  <c r="V163" i="7"/>
  <c r="X163" i="7"/>
  <c r="V166" i="7"/>
  <c r="X166" i="7"/>
  <c r="V167" i="7"/>
  <c r="X167" i="7"/>
  <c r="V113" i="7"/>
  <c r="X113" i="7"/>
  <c r="V117" i="7"/>
  <c r="X117" i="7"/>
  <c r="V119" i="7"/>
  <c r="X119" i="7"/>
  <c r="V100" i="7"/>
  <c r="X100" i="7"/>
  <c r="V105" i="7"/>
  <c r="X105" i="7"/>
  <c r="V107" i="7"/>
  <c r="X107" i="7"/>
  <c r="X83" i="7"/>
  <c r="X69" i="7"/>
  <c r="X70" i="7"/>
  <c r="X71" i="7"/>
  <c r="V50" i="7"/>
  <c r="X50" i="7"/>
  <c r="V55" i="7"/>
  <c r="X55" i="7"/>
  <c r="V59" i="7"/>
  <c r="X59" i="7"/>
  <c r="V42" i="7"/>
  <c r="X42" i="7"/>
  <c r="V46" i="7"/>
  <c r="X46" i="7"/>
  <c r="J4" i="4"/>
  <c r="L4" i="4"/>
  <c r="J5" i="4"/>
  <c r="L5" i="4"/>
  <c r="J6" i="4"/>
  <c r="L6" i="4"/>
  <c r="J7" i="4"/>
  <c r="L7" i="4"/>
  <c r="J8" i="4"/>
  <c r="L8" i="4"/>
  <c r="J9" i="4"/>
  <c r="L9" i="4"/>
  <c r="J10" i="4"/>
  <c r="L10" i="4"/>
  <c r="J11" i="4"/>
  <c r="L11" i="4"/>
  <c r="J12" i="4"/>
  <c r="L12" i="4"/>
  <c r="J13" i="4"/>
  <c r="L13" i="4"/>
  <c r="J15" i="4"/>
  <c r="L15" i="4"/>
  <c r="J16" i="4"/>
  <c r="L16" i="4"/>
  <c r="V189" i="7"/>
  <c r="X189" i="7"/>
  <c r="V184" i="7"/>
  <c r="X184" i="7"/>
  <c r="V175" i="7"/>
  <c r="X175" i="7"/>
  <c r="V172" i="7"/>
  <c r="X172" i="7"/>
  <c r="V170" i="7"/>
  <c r="X170" i="7"/>
  <c r="V143" i="7"/>
  <c r="X143" i="7"/>
  <c r="V139" i="7"/>
  <c r="X139" i="7"/>
  <c r="V95" i="7"/>
  <c r="X95" i="7"/>
  <c r="V93" i="7"/>
  <c r="X93" i="7"/>
  <c r="V89" i="7"/>
  <c r="X89" i="7"/>
  <c r="V86" i="7"/>
  <c r="X86" i="7"/>
  <c r="X150" i="7"/>
  <c r="G8" i="6"/>
  <c r="G7" i="6"/>
  <c r="G6" i="6"/>
  <c r="G5" i="6"/>
  <c r="F14" i="3"/>
  <c r="F10" i="3"/>
  <c r="F5" i="3"/>
  <c r="F14" i="4"/>
  <c r="F8" i="3"/>
  <c r="F7" i="3"/>
  <c r="F9" i="3"/>
  <c r="F8" i="4"/>
  <c r="F16" i="3"/>
  <c r="F12" i="3"/>
  <c r="G9" i="6"/>
  <c r="L7" i="3"/>
  <c r="L8" i="3"/>
  <c r="L11" i="3"/>
  <c r="L15" i="3"/>
  <c r="L16" i="3"/>
  <c r="F6" i="3"/>
  <c r="V14" i="7"/>
  <c r="X14" i="7"/>
  <c r="D32" i="5"/>
  <c r="E20" i="3"/>
  <c r="E21" i="3"/>
  <c r="N18" i="1"/>
  <c r="N39" i="1"/>
  <c r="F4" i="3"/>
  <c r="F20" i="3"/>
  <c r="K20" i="3"/>
  <c r="D17" i="6"/>
  <c r="V17" i="7"/>
  <c r="X17" i="7"/>
  <c r="D35" i="5"/>
  <c r="V18" i="7"/>
  <c r="X18" i="7"/>
  <c r="D36" i="5"/>
  <c r="V12" i="7"/>
  <c r="X12" i="7"/>
  <c r="D24" i="5"/>
  <c r="V15" i="7"/>
  <c r="X15" i="7"/>
  <c r="D30" i="5"/>
  <c r="V5" i="7"/>
  <c r="X5" i="7"/>
  <c r="D29" i="5"/>
  <c r="L12" i="3"/>
  <c r="L20" i="3"/>
  <c r="V7" i="7"/>
  <c r="X7" i="7"/>
  <c r="D33" i="5"/>
  <c r="V13" i="7"/>
  <c r="X13" i="7"/>
  <c r="D34" i="5"/>
  <c r="V6" i="7"/>
  <c r="X6" i="7"/>
  <c r="D27" i="5"/>
  <c r="V8" i="7"/>
  <c r="X8" i="7"/>
  <c r="D26" i="5"/>
  <c r="V10" i="7"/>
  <c r="X10" i="7"/>
  <c r="D31" i="5"/>
  <c r="V19" i="7"/>
  <c r="X19" i="7"/>
  <c r="D37" i="5"/>
  <c r="V11" i="7"/>
  <c r="X11" i="7"/>
  <c r="D25" i="5"/>
  <c r="V9" i="7"/>
  <c r="X9" i="7"/>
  <c r="D28" i="5"/>
  <c r="V16" i="7"/>
  <c r="X16" i="7"/>
  <c r="AA34" i="1"/>
  <c r="AA24" i="1"/>
  <c r="AA35" i="1"/>
  <c r="AA33" i="1"/>
  <c r="J4" i="5"/>
  <c r="AA31" i="1"/>
  <c r="AA27" i="1"/>
  <c r="AA25" i="1"/>
  <c r="AA36" i="1"/>
  <c r="AA28" i="1"/>
  <c r="AA30" i="1"/>
  <c r="AA32" i="1"/>
  <c r="AA29" i="1"/>
  <c r="AA38" i="1"/>
  <c r="AA26" i="1"/>
  <c r="AA37" i="1"/>
  <c r="AA7" i="1"/>
  <c r="E14" i="5"/>
  <c r="D17" i="5"/>
  <c r="E5" i="5"/>
  <c r="AA10" i="1"/>
  <c r="AA14" i="1"/>
  <c r="AA5" i="1"/>
  <c r="E16" i="5"/>
  <c r="E13" i="5"/>
  <c r="AA17" i="1"/>
  <c r="AA15" i="1"/>
  <c r="AA11" i="1"/>
  <c r="AA6" i="1"/>
  <c r="AA16" i="1"/>
  <c r="AA8" i="1"/>
  <c r="AA4" i="1"/>
  <c r="E12" i="5"/>
  <c r="AA18" i="1"/>
  <c r="E18" i="5"/>
  <c r="AA12" i="1"/>
  <c r="AA13" i="1"/>
  <c r="AA9" i="1"/>
  <c r="K19" i="3"/>
  <c r="L19" i="3"/>
  <c r="C17" i="6"/>
  <c r="N19" i="1"/>
  <c r="E6" i="5"/>
  <c r="E8" i="5"/>
  <c r="Z18" i="7"/>
  <c r="AB13" i="7"/>
  <c r="Z17" i="7"/>
  <c r="AB6" i="7"/>
  <c r="Z15" i="7"/>
  <c r="D23" i="5"/>
  <c r="E9" i="5"/>
  <c r="AB17" i="7"/>
  <c r="AB11" i="7"/>
  <c r="AB10" i="7"/>
  <c r="Z13" i="7"/>
  <c r="AB14" i="7"/>
  <c r="Z14" i="7"/>
  <c r="AB7" i="7"/>
  <c r="Z7" i="7"/>
  <c r="Z12" i="7"/>
  <c r="AB12" i="7"/>
  <c r="Z6" i="7"/>
  <c r="Z19" i="7"/>
  <c r="Z16" i="7"/>
  <c r="AB19" i="7"/>
  <c r="AB16" i="7"/>
  <c r="AB8" i="7"/>
  <c r="Z11" i="7"/>
  <c r="Z8" i="7"/>
  <c r="AB15" i="7"/>
  <c r="Z5" i="7"/>
  <c r="Z10" i="7"/>
  <c r="AB18" i="7"/>
  <c r="AB9" i="7"/>
  <c r="AB5" i="7"/>
  <c r="Z9" i="7"/>
  <c r="K10" i="5"/>
  <c r="K17" i="5"/>
  <c r="K18" i="5"/>
  <c r="K4" i="5"/>
  <c r="K15" i="5"/>
  <c r="K8" i="5"/>
  <c r="K9" i="5"/>
  <c r="K7" i="5"/>
  <c r="K12" i="5"/>
  <c r="K13" i="5"/>
  <c r="K6" i="5"/>
  <c r="K11" i="5"/>
  <c r="K16" i="5"/>
  <c r="K14" i="5"/>
  <c r="K5" i="5"/>
  <c r="E17" i="5"/>
  <c r="E4" i="5"/>
  <c r="E15" i="5"/>
  <c r="E7" i="5"/>
  <c r="E31" i="5"/>
  <c r="E30" i="5"/>
  <c r="E28" i="5"/>
  <c r="E29" i="5"/>
  <c r="E10" i="5"/>
  <c r="E35" i="5"/>
  <c r="E32" i="5"/>
  <c r="E33" i="5"/>
  <c r="E34" i="5"/>
  <c r="E11" i="5"/>
  <c r="E23" i="5"/>
  <c r="E36" i="5"/>
  <c r="E37" i="5"/>
  <c r="E27" i="5"/>
  <c r="E24" i="5"/>
  <c r="E25" i="5"/>
  <c r="E26" i="5"/>
</calcChain>
</file>

<file path=xl/sharedStrings.xml><?xml version="1.0" encoding="utf-8"?>
<sst xmlns="http://schemas.openxmlformats.org/spreadsheetml/2006/main" count="1269" uniqueCount="148">
  <si>
    <t>Peter</t>
  </si>
  <si>
    <t>Nilsson</t>
  </si>
  <si>
    <t>Stefan</t>
  </si>
  <si>
    <t>Thorvaldsson</t>
  </si>
  <si>
    <t>Magnus</t>
  </si>
  <si>
    <t>Bengtsson</t>
  </si>
  <si>
    <t>Göran</t>
  </si>
  <si>
    <t>Backe</t>
  </si>
  <si>
    <t>Jörgen</t>
  </si>
  <si>
    <t>Simonsson</t>
  </si>
  <si>
    <t>Micke</t>
  </si>
  <si>
    <t>Åberg</t>
  </si>
  <si>
    <t>Lalle</t>
  </si>
  <si>
    <t>Johansson</t>
  </si>
  <si>
    <t>Börje</t>
  </si>
  <si>
    <t>Claes</t>
  </si>
  <si>
    <t>Svensson</t>
  </si>
  <si>
    <t>Thomas</t>
  </si>
  <si>
    <t>Larsson</t>
  </si>
  <si>
    <t>Stranddahl</t>
  </si>
  <si>
    <t>Pettersson</t>
  </si>
  <si>
    <t>För</t>
  </si>
  <si>
    <t>Efter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</si>
  <si>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</si>
  <si>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</si>
  <si>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</si>
  <si>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</si>
  <si>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</si>
  <si>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</si>
  <si>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</si>
  <si>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</si>
  <si>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</si>
  <si>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Sum</t>
  </si>
  <si>
    <t>Plac</t>
  </si>
  <si>
    <t>Öl</t>
  </si>
  <si>
    <t>Birdies</t>
  </si>
  <si>
    <t xml:space="preserve"> Poäng</t>
  </si>
  <si>
    <t>Skillnad</t>
  </si>
  <si>
    <t>Öl tid</t>
  </si>
  <si>
    <t>Öl i år</t>
  </si>
  <si>
    <t>Tot</t>
  </si>
  <si>
    <t>Birdie tid</t>
  </si>
  <si>
    <t>Birdie i år</t>
  </si>
  <si>
    <t>I år</t>
  </si>
  <si>
    <t>Bäst "Ever"</t>
  </si>
  <si>
    <t xml:space="preserve"> Resultat Brutto</t>
  </si>
  <si>
    <t>Att slå</t>
  </si>
  <si>
    <t>Bruttoscore</t>
  </si>
  <si>
    <t>Summa</t>
  </si>
  <si>
    <t>Nettoscore</t>
  </si>
  <si>
    <t>Snitt</t>
  </si>
  <si>
    <t>Birdie Boys</t>
  </si>
  <si>
    <t>Statistik</t>
  </si>
  <si>
    <t>Ölbollar</t>
  </si>
  <si>
    <t>B Netto</t>
  </si>
  <si>
    <t>År</t>
  </si>
  <si>
    <t>B Brutto</t>
  </si>
  <si>
    <t xml:space="preserve"> Resultat Netto</t>
  </si>
  <si>
    <t>Slag Snitt</t>
  </si>
  <si>
    <t>Runda</t>
  </si>
  <si>
    <t>Spelade</t>
  </si>
  <si>
    <t>Banor</t>
  </si>
  <si>
    <t>Holm</t>
  </si>
  <si>
    <t>Bäckavattnet</t>
  </si>
  <si>
    <t>Tönnersjö</t>
  </si>
  <si>
    <t>Flädje</t>
  </si>
  <si>
    <t>Falkenberg</t>
  </si>
  <si>
    <t>Laholm</t>
  </si>
  <si>
    <t>Björnhult</t>
  </si>
  <si>
    <t>Isaberg</t>
  </si>
  <si>
    <t>Ringenäs</t>
  </si>
  <si>
    <t>Vasatorp</t>
  </si>
  <si>
    <t>Haverdal</t>
  </si>
  <si>
    <t>Skogaby</t>
  </si>
  <si>
    <t>Rydö</t>
  </si>
  <si>
    <t>Bana</t>
  </si>
  <si>
    <t>Brutto</t>
  </si>
  <si>
    <t>Netto</t>
  </si>
  <si>
    <t>Bästa res</t>
  </si>
  <si>
    <t>Antal ggr</t>
  </si>
  <si>
    <t>Dreamscore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</si>
  <si>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</si>
  <si>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</si>
  <si>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</si>
  <si>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</si>
  <si>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</si>
  <si>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</si>
  <si>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</si>
  <si>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</si>
  <si>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</si>
  <si>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Strandahl</t>
  </si>
  <si>
    <t>Här kan du se hur det gått hål för hål</t>
  </si>
  <si>
    <t>Par</t>
  </si>
  <si>
    <t>Score</t>
  </si>
  <si>
    <t>PL</t>
  </si>
  <si>
    <t>Ahead</t>
  </si>
  <si>
    <t>Spelare för spelare</t>
  </si>
  <si>
    <t>Här ser ni era scorekort baserade på över och under par</t>
  </si>
  <si>
    <t>HCP</t>
  </si>
  <si>
    <t>Vinberg</t>
  </si>
  <si>
    <t xml:space="preserve"> </t>
  </si>
  <si>
    <t>Snittscore</t>
  </si>
  <si>
    <t>Båstad Gamla</t>
  </si>
  <si>
    <t>Båstad Nya</t>
  </si>
  <si>
    <t>Bästa</t>
  </si>
  <si>
    <t>92</t>
  </si>
  <si>
    <t>Poäng</t>
  </si>
  <si>
    <t>Anm</t>
  </si>
  <si>
    <t>Dundonald Links</t>
  </si>
  <si>
    <t>Tylösand S</t>
  </si>
  <si>
    <t>Loch Greenwood</t>
  </si>
  <si>
    <t>Åkagårdens GK</t>
  </si>
  <si>
    <t>Varberg V</t>
  </si>
  <si>
    <t>Niklas</t>
  </si>
  <si>
    <t>Ljung</t>
  </si>
  <si>
    <t xml:space="preserve">Niklas </t>
  </si>
  <si>
    <t>Vittsjö GK</t>
  </si>
  <si>
    <t>PJ</t>
  </si>
  <si>
    <t>Glyssbo</t>
  </si>
  <si>
    <t>Ängelholm</t>
  </si>
  <si>
    <t xml:space="preserve">PJ </t>
  </si>
  <si>
    <t>Varberg Ö</t>
  </si>
  <si>
    <t>Jocke</t>
  </si>
  <si>
    <t>Söder</t>
  </si>
  <si>
    <t>Övriga</t>
  </si>
  <si>
    <t>St Arild</t>
  </si>
  <si>
    <t>Olsson</t>
  </si>
  <si>
    <t>Torekov</t>
  </si>
  <si>
    <t>Ohlsson</t>
  </si>
  <si>
    <t>Örkelljunga</t>
  </si>
  <si>
    <r>
      <t xml:space="preserve">Förutsättningar </t>
    </r>
    <r>
      <rPr>
        <sz val="20"/>
        <color theme="1"/>
        <rFont val="Delinquente alt I Demo"/>
      </rPr>
      <t>La Manga</t>
    </r>
  </si>
  <si>
    <t>Spanienmästarn</t>
  </si>
  <si>
    <t>Sweeper 1</t>
  </si>
  <si>
    <t>Sweeper 2</t>
  </si>
  <si>
    <t>sum</t>
  </si>
  <si>
    <t>Köp</t>
  </si>
  <si>
    <t>La Manga South</t>
  </si>
  <si>
    <t>La Manga North</t>
  </si>
  <si>
    <t>?</t>
  </si>
  <si>
    <t>Reftele</t>
  </si>
  <si>
    <t>Bjäre GK</t>
  </si>
  <si>
    <t>Morgan</t>
  </si>
  <si>
    <t>Palmlöf</t>
  </si>
  <si>
    <t>98.3</t>
  </si>
  <si>
    <t>Woodland</t>
  </si>
  <si>
    <r>
      <t xml:space="preserve">Förutsättningar </t>
    </r>
    <r>
      <rPr>
        <sz val="20"/>
        <color theme="1"/>
        <rFont val="Delinquente alt I Demo"/>
      </rPr>
      <t>Quintha de Marinha</t>
    </r>
  </si>
  <si>
    <t>Quinta de Marinha</t>
  </si>
  <si>
    <t>Penna Longa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</si>
</sst>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k_r"/>
    <numFmt numFmtId="166" formatCode="#,##0\ &quot;kr&quot;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rgb="FFFFC000"/>
      <name val="Arial"/>
      <family val="2"/>
    </font>
    <font>
      <b/>
      <sz val="10"/>
      <color rgb="FFFFC000"/>
      <name val="Arial"/>
      <family val="2"/>
    </font>
    <font>
      <sz val="11"/>
      <color rgb="FFFFC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1" tint="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Delinquente alt I Demo"/>
    </font>
    <font>
      <sz val="18"/>
      <color theme="1"/>
      <name val="Delinquente Demo"/>
    </font>
    <font>
      <sz val="10"/>
      <name val="Arial"/>
    </font>
    <font>
      <b/>
      <sz val="11"/>
      <color theme="1"/>
      <name val="Calibri"/>
      <scheme val="minor"/>
    </font>
    <font>
      <sz val="10"/>
      <color rgb="FFFFC000"/>
      <name val="Arial"/>
    </font>
    <font>
      <b/>
      <sz val="10"/>
      <color rgb="FFFFC000"/>
      <name val="Arial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6" tint="-0.249977111117893"/>
        <bgColor theme="6" tint="-0.249977111117893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EC213"/>
        <bgColor indexed="64"/>
      </patternFill>
    </fill>
    <fill>
      <patternFill patternType="solid">
        <fgColor rgb="FFD7C6C9"/>
        <bgColor indexed="64"/>
      </patternFill>
    </fill>
    <fill>
      <patternFill patternType="solid">
        <fgColor rgb="FFDD7C1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343">
    <xf numFmtId="0" fontId="0" fillId="0" borderId="0" xfId="0"/>
    <xf numFmtId="0" fontId="18" fillId="34" borderId="0" xfId="0" applyFont="1" applyFill="1" applyBorder="1" applyAlignment="1">
      <alignment horizontal="center"/>
    </xf>
    <xf numFmtId="0" fontId="18" fillId="34" borderId="0" xfId="0" applyFont="1" applyFill="1" applyBorder="1"/>
    <xf numFmtId="0" fontId="0" fillId="35" borderId="0" xfId="0" applyFill="1"/>
    <xf numFmtId="0" fontId="18" fillId="0" borderId="35" xfId="42" applyFont="1" applyFill="1" applyBorder="1"/>
    <xf numFmtId="0" fontId="18" fillId="0" borderId="36" xfId="42" applyFont="1" applyFill="1" applyBorder="1"/>
    <xf numFmtId="0" fontId="18" fillId="0" borderId="14" xfId="42" applyFont="1" applyFill="1" applyBorder="1"/>
    <xf numFmtId="0" fontId="18" fillId="0" borderId="26" xfId="42" applyFont="1" applyFill="1" applyBorder="1"/>
    <xf numFmtId="0" fontId="18" fillId="0" borderId="25" xfId="42" applyFont="1" applyFill="1" applyBorder="1"/>
    <xf numFmtId="0" fontId="18" fillId="0" borderId="39" xfId="42" applyFont="1" applyFill="1" applyBorder="1"/>
    <xf numFmtId="0" fontId="0" fillId="0" borderId="40" xfId="0" applyFill="1" applyBorder="1"/>
    <xf numFmtId="0" fontId="17" fillId="35" borderId="0" xfId="0" applyFont="1" applyFill="1"/>
    <xf numFmtId="0" fontId="20" fillId="0" borderId="10" xfId="42" applyFont="1" applyFill="1" applyBorder="1"/>
    <xf numFmtId="0" fontId="20" fillId="0" borderId="38" xfId="42" applyFont="1" applyFill="1" applyBorder="1"/>
    <xf numFmtId="0" fontId="0" fillId="0" borderId="0" xfId="0" applyFill="1" applyBorder="1"/>
    <xf numFmtId="0" fontId="13" fillId="0" borderId="12" xfId="0" applyFont="1" applyFill="1" applyBorder="1"/>
    <xf numFmtId="0" fontId="22" fillId="0" borderId="14" xfId="42" applyFont="1" applyFill="1" applyBorder="1"/>
    <xf numFmtId="0" fontId="22" fillId="0" borderId="26" xfId="42" applyFont="1" applyFill="1" applyBorder="1"/>
    <xf numFmtId="0" fontId="13" fillId="0" borderId="40" xfId="0" applyFont="1" applyFill="1" applyBorder="1"/>
    <xf numFmtId="0" fontId="0" fillId="35" borderId="0" xfId="0" applyFill="1" applyAlignment="1">
      <alignment horizontal="center"/>
    </xf>
    <xf numFmtId="0" fontId="13" fillId="36" borderId="17" xfId="0" applyFont="1" applyFill="1" applyBorder="1" applyAlignment="1">
      <alignment horizontal="center"/>
    </xf>
    <xf numFmtId="0" fontId="13" fillId="37" borderId="28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20" fillId="0" borderId="11" xfId="42" applyFont="1" applyFill="1" applyBorder="1" applyAlignment="1">
      <alignment horizontal="center"/>
    </xf>
    <xf numFmtId="0" fontId="13" fillId="38" borderId="17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3" fillId="36" borderId="47" xfId="0" applyFont="1" applyFill="1" applyBorder="1" applyAlignment="1">
      <alignment horizontal="center"/>
    </xf>
    <xf numFmtId="0" fontId="13" fillId="36" borderId="40" xfId="0" applyFont="1" applyFill="1" applyBorder="1" applyAlignment="1">
      <alignment horizontal="center"/>
    </xf>
    <xf numFmtId="0" fontId="13" fillId="36" borderId="18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22" fillId="0" borderId="35" xfId="42" applyFont="1" applyFill="1" applyBorder="1"/>
    <xf numFmtId="0" fontId="22" fillId="0" borderId="36" xfId="42" applyFont="1" applyFill="1" applyBorder="1"/>
    <xf numFmtId="0" fontId="0" fillId="0" borderId="2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22" fillId="0" borderId="25" xfId="42" applyFont="1" applyFill="1" applyBorder="1"/>
    <xf numFmtId="0" fontId="22" fillId="0" borderId="39" xfId="42" applyFont="1" applyFill="1" applyBorder="1"/>
    <xf numFmtId="0" fontId="0" fillId="0" borderId="28" xfId="0" applyFill="1" applyBorder="1" applyAlignment="1">
      <alignment horizontal="center"/>
    </xf>
    <xf numFmtId="0" fontId="0" fillId="0" borderId="27" xfId="0" applyNumberFormat="1" applyFill="1" applyBorder="1" applyAlignment="1">
      <alignment horizontal="center"/>
    </xf>
    <xf numFmtId="0" fontId="0" fillId="0" borderId="44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0" fontId="0" fillId="0" borderId="43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16" fillId="35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43" xfId="0" applyNumberFormat="1" applyFont="1" applyFill="1" applyBorder="1" applyAlignment="1">
      <alignment horizontal="center"/>
    </xf>
    <xf numFmtId="0" fontId="16" fillId="0" borderId="12" xfId="0" applyNumberFormat="1" applyFont="1" applyFill="1" applyBorder="1" applyAlignment="1">
      <alignment horizontal="center"/>
    </xf>
    <xf numFmtId="0" fontId="16" fillId="0" borderId="23" xfId="0" applyNumberFormat="1" applyFont="1" applyFill="1" applyBorder="1" applyAlignment="1">
      <alignment horizontal="center"/>
    </xf>
    <xf numFmtId="0" fontId="0" fillId="35" borderId="0" xfId="0" applyFont="1" applyFill="1" applyBorder="1"/>
    <xf numFmtId="0" fontId="0" fillId="35" borderId="0" xfId="0" applyFont="1" applyFill="1" applyBorder="1" applyAlignment="1">
      <alignment horizontal="center"/>
    </xf>
    <xf numFmtId="0" fontId="19" fillId="35" borderId="0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16" fillId="0" borderId="42" xfId="0" applyFont="1" applyFill="1" applyBorder="1" applyAlignment="1">
      <alignment horizontal="center"/>
    </xf>
    <xf numFmtId="0" fontId="16" fillId="0" borderId="32" xfId="0" applyNumberFormat="1" applyFont="1" applyFill="1" applyBorder="1" applyAlignment="1">
      <alignment horizontal="center"/>
    </xf>
    <xf numFmtId="0" fontId="16" fillId="0" borderId="34" xfId="0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0" fillId="34" borderId="0" xfId="0" applyFont="1" applyFill="1" applyBorder="1" applyAlignment="1">
      <alignment horizontal="center"/>
    </xf>
    <xf numFmtId="0" fontId="0" fillId="34" borderId="0" xfId="0" applyFont="1" applyFill="1" applyBorder="1"/>
    <xf numFmtId="0" fontId="21" fillId="0" borderId="38" xfId="42" applyFont="1" applyFill="1" applyBorder="1"/>
    <xf numFmtId="0" fontId="24" fillId="0" borderId="26" xfId="42" applyFont="1" applyFill="1" applyBorder="1"/>
    <xf numFmtId="0" fontId="21" fillId="0" borderId="11" xfId="42" applyFont="1" applyFill="1" applyBorder="1" applyAlignment="1">
      <alignment horizontal="center"/>
    </xf>
    <xf numFmtId="0" fontId="20" fillId="0" borderId="12" xfId="42" applyFont="1" applyFill="1" applyBorder="1" applyAlignment="1">
      <alignment horizontal="center"/>
    </xf>
    <xf numFmtId="0" fontId="21" fillId="0" borderId="38" xfId="42" applyFont="1" applyFill="1" applyBorder="1" applyAlignment="1">
      <alignment horizontal="center"/>
    </xf>
    <xf numFmtId="0" fontId="21" fillId="0" borderId="26" xfId="42" applyNumberFormat="1" applyFont="1" applyFill="1" applyBorder="1" applyAlignment="1">
      <alignment horizontal="center"/>
    </xf>
    <xf numFmtId="0" fontId="21" fillId="0" borderId="19" xfId="42" applyFont="1" applyFill="1" applyBorder="1"/>
    <xf numFmtId="0" fontId="21" fillId="0" borderId="45" xfId="42" applyFont="1" applyFill="1" applyBorder="1" applyAlignment="1">
      <alignment horizontal="center"/>
    </xf>
    <xf numFmtId="0" fontId="24" fillId="0" borderId="31" xfId="42" applyFont="1" applyFill="1" applyBorder="1"/>
    <xf numFmtId="0" fontId="20" fillId="0" borderId="32" xfId="42" applyNumberFormat="1" applyFont="1" applyFill="1" applyBorder="1" applyAlignment="1">
      <alignment horizontal="center"/>
    </xf>
    <xf numFmtId="0" fontId="17" fillId="0" borderId="32" xfId="0" applyNumberFormat="1" applyFont="1" applyFill="1" applyBorder="1" applyAlignment="1">
      <alignment horizontal="center"/>
    </xf>
    <xf numFmtId="0" fontId="24" fillId="0" borderId="33" xfId="42" applyFont="1" applyFill="1" applyBorder="1"/>
    <xf numFmtId="0" fontId="24" fillId="0" borderId="37" xfId="42" applyFont="1" applyFill="1" applyBorder="1"/>
    <xf numFmtId="0" fontId="21" fillId="0" borderId="37" xfId="42" applyNumberFormat="1" applyFont="1" applyFill="1" applyBorder="1" applyAlignment="1">
      <alignment horizontal="center"/>
    </xf>
    <xf numFmtId="0" fontId="17" fillId="0" borderId="34" xfId="0" applyNumberFormat="1" applyFont="1" applyFill="1" applyBorder="1" applyAlignment="1">
      <alignment horizontal="center"/>
    </xf>
    <xf numFmtId="0" fontId="24" fillId="0" borderId="24" xfId="42" applyFont="1" applyFill="1" applyBorder="1"/>
    <xf numFmtId="0" fontId="24" fillId="0" borderId="13" xfId="42" applyFont="1" applyFill="1" applyBorder="1"/>
    <xf numFmtId="0" fontId="21" fillId="0" borderId="13" xfId="42" applyNumberFormat="1" applyFont="1" applyFill="1" applyBorder="1" applyAlignment="1">
      <alignment horizontal="center"/>
    </xf>
    <xf numFmtId="0" fontId="17" fillId="0" borderId="13" xfId="0" applyNumberFormat="1" applyFont="1" applyFill="1" applyBorder="1" applyAlignment="1">
      <alignment horizontal="center"/>
    </xf>
    <xf numFmtId="0" fontId="0" fillId="35" borderId="0" xfId="0" applyFill="1" applyBorder="1" applyAlignment="1">
      <alignment horizontal="center"/>
    </xf>
    <xf numFmtId="0" fontId="23" fillId="34" borderId="0" xfId="0" applyFont="1" applyFill="1" applyBorder="1" applyAlignment="1">
      <alignment horizontal="center"/>
    </xf>
    <xf numFmtId="0" fontId="25" fillId="35" borderId="0" xfId="0" applyFont="1" applyFill="1" applyAlignment="1">
      <alignment horizontal="center"/>
    </xf>
    <xf numFmtId="0" fontId="25" fillId="35" borderId="0" xfId="0" applyFont="1" applyFill="1"/>
    <xf numFmtId="0" fontId="0" fillId="0" borderId="10" xfId="0" applyFill="1" applyBorder="1" applyAlignment="1">
      <alignment horizontal="center"/>
    </xf>
    <xf numFmtId="0" fontId="0" fillId="0" borderId="39" xfId="0" applyNumberFormat="1" applyFill="1" applyBorder="1" applyAlignment="1">
      <alignment horizontal="center"/>
    </xf>
    <xf numFmtId="0" fontId="0" fillId="39" borderId="51" xfId="0" applyFill="1" applyBorder="1" applyAlignment="1">
      <alignment horizontal="center"/>
    </xf>
    <xf numFmtId="0" fontId="28" fillId="35" borderId="52" xfId="0" applyFont="1" applyFill="1" applyBorder="1" applyAlignment="1">
      <alignment horizontal="center"/>
    </xf>
    <xf numFmtId="0" fontId="28" fillId="35" borderId="0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35" borderId="0" xfId="0" applyFill="1" applyAlignment="1"/>
    <xf numFmtId="0" fontId="0" fillId="0" borderId="11" xfId="0" applyFill="1" applyBorder="1" applyAlignment="1"/>
    <xf numFmtId="165" fontId="0" fillId="0" borderId="11" xfId="0" applyNumberFormat="1" applyFill="1" applyBorder="1" applyAlignment="1"/>
    <xf numFmtId="165" fontId="0" fillId="0" borderId="12" xfId="0" applyNumberFormat="1" applyFill="1" applyBorder="1" applyAlignment="1"/>
    <xf numFmtId="165" fontId="0" fillId="0" borderId="23" xfId="0" applyNumberFormat="1" applyFill="1" applyBorder="1" applyAlignment="1"/>
    <xf numFmtId="0" fontId="27" fillId="39" borderId="12" xfId="0" applyFont="1" applyFill="1" applyBorder="1" applyAlignment="1">
      <alignment horizontal="center"/>
    </xf>
    <xf numFmtId="0" fontId="27" fillId="39" borderId="12" xfId="0" applyFont="1" applyFill="1" applyBorder="1" applyAlignment="1"/>
    <xf numFmtId="1" fontId="16" fillId="0" borderId="43" xfId="0" applyNumberFormat="1" applyFont="1" applyFill="1" applyBorder="1" applyAlignment="1">
      <alignment horizontal="center"/>
    </xf>
    <xf numFmtId="1" fontId="16" fillId="0" borderId="12" xfId="0" applyNumberFormat="1" applyFont="1" applyFill="1" applyBorder="1" applyAlignment="1">
      <alignment horizontal="center"/>
    </xf>
    <xf numFmtId="1" fontId="16" fillId="0" borderId="23" xfId="0" applyNumberFormat="1" applyFont="1" applyFill="1" applyBorder="1" applyAlignment="1">
      <alignment horizontal="center"/>
    </xf>
    <xf numFmtId="0" fontId="0" fillId="33" borderId="51" xfId="0" applyFill="1" applyBorder="1" applyAlignment="1">
      <alignment horizontal="center"/>
    </xf>
    <xf numFmtId="0" fontId="28" fillId="35" borderId="53" xfId="0" applyFont="1" applyFill="1" applyBorder="1" applyAlignment="1">
      <alignment horizontal="center"/>
    </xf>
    <xf numFmtId="2" fontId="0" fillId="0" borderId="39" xfId="0" applyNumberFormat="1" applyFill="1" applyBorder="1" applyAlignment="1">
      <alignment horizontal="center"/>
    </xf>
    <xf numFmtId="0" fontId="0" fillId="38" borderId="0" xfId="0" applyFill="1"/>
    <xf numFmtId="0" fontId="17" fillId="38" borderId="0" xfId="0" applyFont="1" applyFill="1"/>
    <xf numFmtId="0" fontId="29" fillId="38" borderId="0" xfId="0" applyFont="1" applyFill="1"/>
    <xf numFmtId="0" fontId="22" fillId="0" borderId="10" xfId="42" applyFont="1" applyFill="1" applyBorder="1"/>
    <xf numFmtId="0" fontId="22" fillId="0" borderId="38" xfId="42" applyFont="1" applyFill="1" applyBorder="1"/>
    <xf numFmtId="0" fontId="17" fillId="38" borderId="12" xfId="0" applyFont="1" applyFill="1" applyBorder="1"/>
    <xf numFmtId="0" fontId="0" fillId="0" borderId="11" xfId="0" applyNumberFormat="1" applyFill="1" applyBorder="1"/>
    <xf numFmtId="0" fontId="0" fillId="0" borderId="12" xfId="0" applyNumberFormat="1" applyFill="1" applyBorder="1"/>
    <xf numFmtId="0" fontId="17" fillId="0" borderId="38" xfId="0" applyNumberFormat="1" applyFont="1" applyFill="1" applyBorder="1"/>
    <xf numFmtId="0" fontId="16" fillId="0" borderId="38" xfId="0" applyNumberFormat="1" applyFont="1" applyFill="1" applyBorder="1"/>
    <xf numFmtId="0" fontId="16" fillId="0" borderId="13" xfId="0" applyNumberFormat="1" applyFont="1" applyFill="1" applyBorder="1"/>
    <xf numFmtId="0" fontId="0" fillId="38" borderId="0" xfId="0" applyFill="1" applyAlignment="1">
      <alignment horizontal="center"/>
    </xf>
    <xf numFmtId="0" fontId="17" fillId="38" borderId="12" xfId="0" applyFont="1" applyFill="1" applyBorder="1" applyAlignment="1">
      <alignment horizontal="center"/>
    </xf>
    <xf numFmtId="0" fontId="25" fillId="38" borderId="0" xfId="0" applyFont="1" applyFill="1" applyAlignment="1">
      <alignment horizontal="center"/>
    </xf>
    <xf numFmtId="0" fontId="0" fillId="42" borderId="12" xfId="0" applyFill="1" applyBorder="1" applyAlignment="1">
      <alignment horizontal="center"/>
    </xf>
    <xf numFmtId="0" fontId="0" fillId="43" borderId="12" xfId="0" applyFill="1" applyBorder="1" applyAlignment="1">
      <alignment horizontal="center"/>
    </xf>
    <xf numFmtId="0" fontId="0" fillId="41" borderId="12" xfId="0" applyFill="1" applyBorder="1" applyAlignment="1">
      <alignment horizontal="center"/>
    </xf>
    <xf numFmtId="0" fontId="0" fillId="40" borderId="12" xfId="0" applyFill="1" applyBorder="1" applyAlignment="1">
      <alignment horizontal="center"/>
    </xf>
    <xf numFmtId="0" fontId="0" fillId="35" borderId="1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8" borderId="12" xfId="0" applyFill="1" applyBorder="1" applyAlignment="1">
      <alignment horizontal="center"/>
    </xf>
    <xf numFmtId="0" fontId="25" fillId="38" borderId="0" xfId="0" applyFont="1" applyFill="1" applyAlignment="1">
      <alignment horizontal="left"/>
    </xf>
    <xf numFmtId="0" fontId="0" fillId="38" borderId="0" xfId="0" applyFont="1" applyFill="1" applyAlignment="1">
      <alignment horizontal="center"/>
    </xf>
    <xf numFmtId="0" fontId="17" fillId="35" borderId="0" xfId="0" applyFont="1" applyFill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6" fillId="0" borderId="44" xfId="0" applyFont="1" applyFill="1" applyBorder="1" applyAlignment="1">
      <alignment horizontal="center"/>
    </xf>
    <xf numFmtId="0" fontId="20" fillId="0" borderId="24" xfId="42" applyFont="1" applyFill="1" applyBorder="1"/>
    <xf numFmtId="0" fontId="20" fillId="0" borderId="13" xfId="42" applyFont="1" applyFill="1" applyBorder="1"/>
    <xf numFmtId="0" fontId="20" fillId="0" borderId="14" xfId="42" applyFont="1" applyFill="1" applyBorder="1"/>
    <xf numFmtId="0" fontId="20" fillId="0" borderId="26" xfId="42" applyFont="1" applyFill="1" applyBorder="1"/>
    <xf numFmtId="0" fontId="17" fillId="0" borderId="28" xfId="0" applyFont="1" applyFill="1" applyBorder="1" applyAlignment="1">
      <alignment horizontal="center"/>
    </xf>
    <xf numFmtId="0" fontId="13" fillId="0" borderId="38" xfId="0" applyNumberFormat="1" applyFont="1" applyFill="1" applyBorder="1"/>
    <xf numFmtId="0" fontId="17" fillId="0" borderId="27" xfId="0" applyNumberFormat="1" applyFont="1" applyFill="1" applyBorder="1" applyAlignment="1">
      <alignment horizontal="center"/>
    </xf>
    <xf numFmtId="0" fontId="13" fillId="0" borderId="13" xfId="0" applyNumberFormat="1" applyFont="1" applyFill="1" applyBorder="1"/>
    <xf numFmtId="0" fontId="17" fillId="0" borderId="44" xfId="0" applyNumberFormat="1" applyFont="1" applyFill="1" applyBorder="1" applyAlignment="1">
      <alignment horizontal="center"/>
    </xf>
    <xf numFmtId="164" fontId="26" fillId="0" borderId="23" xfId="0" applyNumberFormat="1" applyFont="1" applyFill="1" applyBorder="1"/>
    <xf numFmtId="0" fontId="17" fillId="0" borderId="27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6" fillId="33" borderId="15" xfId="0" applyFont="1" applyFill="1" applyBorder="1" applyAlignment="1">
      <alignment horizontal="left"/>
    </xf>
    <xf numFmtId="0" fontId="16" fillId="33" borderId="16" xfId="0" applyFont="1" applyFill="1" applyBorder="1" applyAlignment="1">
      <alignment horizontal="left"/>
    </xf>
    <xf numFmtId="0" fontId="16" fillId="33" borderId="17" xfId="0" applyFont="1" applyFill="1" applyBorder="1" applyAlignment="1">
      <alignment horizontal="left"/>
    </xf>
    <xf numFmtId="166" fontId="0" fillId="44" borderId="54" xfId="0" applyNumberForma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5" xfId="0" applyNumberFormat="1" applyFill="1" applyBorder="1" applyAlignment="1">
      <alignment horizontal="center"/>
    </xf>
    <xf numFmtId="0" fontId="0" fillId="0" borderId="0" xfId="0" applyFill="1"/>
    <xf numFmtId="0" fontId="26" fillId="0" borderId="56" xfId="0" applyFont="1" applyFill="1" applyBorder="1" applyAlignment="1">
      <alignment horizontal="center"/>
    </xf>
    <xf numFmtId="0" fontId="26" fillId="0" borderId="57" xfId="0" applyFont="1" applyFill="1" applyBorder="1" applyAlignment="1">
      <alignment horizontal="center"/>
    </xf>
    <xf numFmtId="0" fontId="26" fillId="0" borderId="58" xfId="0" applyFont="1" applyFill="1" applyBorder="1" applyAlignment="1">
      <alignment horizontal="center"/>
    </xf>
    <xf numFmtId="0" fontId="17" fillId="0" borderId="48" xfId="0" applyFont="1" applyFill="1" applyBorder="1" applyAlignment="1">
      <alignment horizontal="center"/>
    </xf>
    <xf numFmtId="0" fontId="26" fillId="0" borderId="11" xfId="0" applyNumberFormat="1" applyFont="1" applyFill="1" applyBorder="1" applyAlignment="1">
      <alignment horizontal="center"/>
    </xf>
    <xf numFmtId="0" fontId="26" fillId="0" borderId="28" xfId="0" applyNumberFormat="1" applyFont="1" applyFill="1" applyBorder="1" applyAlignment="1">
      <alignment horizontal="center"/>
    </xf>
    <xf numFmtId="0" fontId="20" fillId="45" borderId="0" xfId="42" applyFont="1" applyFill="1" applyBorder="1"/>
    <xf numFmtId="0" fontId="16" fillId="45" borderId="0" xfId="0" applyFont="1" applyFill="1" applyBorder="1" applyAlignment="1">
      <alignment horizontal="center"/>
    </xf>
    <xf numFmtId="0" fontId="16" fillId="45" borderId="0" xfId="0" applyNumberFormat="1" applyFont="1" applyFill="1" applyBorder="1"/>
    <xf numFmtId="0" fontId="13" fillId="36" borderId="21" xfId="0" applyFont="1" applyFill="1" applyBorder="1" applyAlignment="1">
      <alignment horizontal="center"/>
    </xf>
    <xf numFmtId="0" fontId="16" fillId="42" borderId="28" xfId="0" applyNumberFormat="1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30" fillId="0" borderId="12" xfId="42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18" fillId="0" borderId="0" xfId="42" applyFill="1"/>
    <xf numFmtId="0" fontId="25" fillId="38" borderId="20" xfId="0" applyFont="1" applyFill="1" applyBorder="1" applyAlignment="1">
      <alignment horizontal="center"/>
    </xf>
    <xf numFmtId="0" fontId="26" fillId="0" borderId="23" xfId="0" applyNumberFormat="1" applyFont="1" applyFill="1" applyBorder="1"/>
    <xf numFmtId="0" fontId="0" fillId="0" borderId="11" xfId="0" applyFont="1" applyFill="1" applyBorder="1" applyAlignment="1">
      <alignment horizontal="center"/>
    </xf>
    <xf numFmtId="0" fontId="17" fillId="38" borderId="20" xfId="0" applyFont="1" applyFill="1" applyBorder="1" applyAlignment="1">
      <alignment horizontal="center"/>
    </xf>
    <xf numFmtId="0" fontId="18" fillId="0" borderId="51" xfId="42" applyFont="1" applyFill="1" applyBorder="1"/>
    <xf numFmtId="0" fontId="18" fillId="0" borderId="55" xfId="42" applyFont="1" applyFill="1" applyBorder="1"/>
    <xf numFmtId="0" fontId="0" fillId="0" borderId="15" xfId="0" applyNumberFormat="1" applyFill="1" applyBorder="1" applyAlignment="1">
      <alignment horizontal="center"/>
    </xf>
    <xf numFmtId="0" fontId="16" fillId="0" borderId="17" xfId="0" applyNumberFormat="1" applyFont="1" applyFill="1" applyBorder="1" applyAlignment="1">
      <alignment horizontal="center"/>
    </xf>
    <xf numFmtId="0" fontId="18" fillId="0" borderId="60" xfId="42" applyFont="1" applyFill="1" applyBorder="1"/>
    <xf numFmtId="0" fontId="18" fillId="0" borderId="61" xfId="42" applyFont="1" applyFill="1" applyBorder="1"/>
    <xf numFmtId="0" fontId="22" fillId="0" borderId="51" xfId="42" applyFont="1" applyFill="1" applyBorder="1"/>
    <xf numFmtId="0" fontId="22" fillId="0" borderId="55" xfId="42" applyFont="1" applyFill="1" applyBorder="1"/>
    <xf numFmtId="0" fontId="22" fillId="0" borderId="24" xfId="42" applyFont="1" applyFill="1" applyBorder="1"/>
    <xf numFmtId="0" fontId="22" fillId="0" borderId="13" xfId="42" applyFont="1" applyFill="1" applyBorder="1"/>
    <xf numFmtId="0" fontId="13" fillId="0" borderId="41" xfId="0" applyFont="1" applyFill="1" applyBorder="1"/>
    <xf numFmtId="0" fontId="0" fillId="0" borderId="47" xfId="0" applyNumberFormat="1" applyFill="1" applyBorder="1" applyAlignment="1">
      <alignment horizontal="center"/>
    </xf>
    <xf numFmtId="0" fontId="16" fillId="0" borderId="46" xfId="0" applyNumberFormat="1" applyFont="1" applyFill="1" applyBorder="1" applyAlignment="1">
      <alignment horizontal="center"/>
    </xf>
    <xf numFmtId="0" fontId="16" fillId="0" borderId="18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22" fillId="0" borderId="12" xfId="42" applyFont="1" applyFill="1" applyBorder="1"/>
    <xf numFmtId="0" fontId="18" fillId="0" borderId="12" xfId="42" applyFont="1" applyFill="1" applyBorder="1"/>
    <xf numFmtId="0" fontId="0" fillId="35" borderId="0" xfId="0" applyFill="1" applyBorder="1"/>
    <xf numFmtId="0" fontId="22" fillId="0" borderId="29" xfId="42" applyFont="1" applyFill="1" applyBorder="1"/>
    <xf numFmtId="0" fontId="22" fillId="0" borderId="43" xfId="42" applyFont="1" applyFill="1" applyBorder="1"/>
    <xf numFmtId="0" fontId="0" fillId="0" borderId="43" xfId="0" applyFill="1" applyBorder="1" applyAlignment="1">
      <alignment horizontal="center"/>
    </xf>
    <xf numFmtId="0" fontId="16" fillId="0" borderId="30" xfId="0" applyNumberFormat="1" applyFont="1" applyFill="1" applyBorder="1" applyAlignment="1">
      <alignment horizontal="center"/>
    </xf>
    <xf numFmtId="0" fontId="22" fillId="0" borderId="31" xfId="42" applyFont="1" applyFill="1" applyBorder="1"/>
    <xf numFmtId="0" fontId="18" fillId="0" borderId="31" xfId="42" applyFont="1" applyFill="1" applyBorder="1"/>
    <xf numFmtId="0" fontId="18" fillId="0" borderId="33" xfId="42" applyFont="1" applyFill="1" applyBorder="1"/>
    <xf numFmtId="0" fontId="18" fillId="0" borderId="59" xfId="42" applyFont="1" applyFill="1" applyBorder="1"/>
    <xf numFmtId="0" fontId="0" fillId="0" borderId="59" xfId="0" applyNumberFormat="1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24" fillId="0" borderId="16" xfId="42" applyFont="1" applyFill="1" applyBorder="1"/>
    <xf numFmtId="0" fontId="21" fillId="0" borderId="16" xfId="42" applyNumberFormat="1" applyFont="1" applyFill="1" applyBorder="1" applyAlignment="1">
      <alignment horizontal="center"/>
    </xf>
    <xf numFmtId="0" fontId="17" fillId="0" borderId="16" xfId="42" applyFont="1" applyFill="1" applyBorder="1" applyAlignment="1">
      <alignment horizontal="center"/>
    </xf>
    <xf numFmtId="0" fontId="24" fillId="0" borderId="27" xfId="42" applyFont="1" applyFill="1" applyBorder="1"/>
    <xf numFmtId="0" fontId="24" fillId="0" borderId="14" xfId="42" applyFont="1" applyFill="1" applyBorder="1"/>
    <xf numFmtId="0" fontId="20" fillId="0" borderId="12" xfId="42" applyNumberFormat="1" applyFont="1" applyFill="1" applyBorder="1" applyAlignment="1">
      <alignment horizontal="center"/>
    </xf>
    <xf numFmtId="0" fontId="17" fillId="0" borderId="26" xfId="0" applyNumberFormat="1" applyFont="1" applyFill="1" applyBorder="1" applyAlignment="1">
      <alignment horizontal="center"/>
    </xf>
    <xf numFmtId="0" fontId="26" fillId="0" borderId="62" xfId="0" applyFont="1" applyFill="1" applyBorder="1" applyAlignment="1">
      <alignment horizontal="center"/>
    </xf>
    <xf numFmtId="0" fontId="31" fillId="0" borderId="12" xfId="42" applyFont="1" applyFill="1" applyBorder="1" applyAlignment="1">
      <alignment horizontal="center"/>
    </xf>
    <xf numFmtId="0" fontId="32" fillId="0" borderId="14" xfId="42" applyFont="1" applyFill="1" applyBorder="1"/>
    <xf numFmtId="0" fontId="32" fillId="0" borderId="26" xfId="42" applyFont="1" applyFill="1" applyBorder="1"/>
    <xf numFmtId="0" fontId="33" fillId="0" borderId="12" xfId="0" applyNumberFormat="1" applyFont="1" applyFill="1" applyBorder="1" applyAlignment="1">
      <alignment horizontal="center"/>
    </xf>
    <xf numFmtId="0" fontId="0" fillId="0" borderId="26" xfId="0" applyNumberFormat="1" applyFill="1" applyBorder="1" applyAlignment="1">
      <alignment horizontal="center"/>
    </xf>
    <xf numFmtId="0" fontId="17" fillId="0" borderId="12" xfId="42" applyFont="1" applyFill="1" applyBorder="1" applyAlignment="1">
      <alignment horizontal="center"/>
    </xf>
    <xf numFmtId="0" fontId="35" fillId="0" borderId="28" xfId="0" applyNumberFormat="1" applyFont="1" applyFill="1" applyBorder="1"/>
    <xf numFmtId="0" fontId="34" fillId="0" borderId="23" xfId="0" applyFont="1" applyFill="1" applyBorder="1" applyAlignment="1">
      <alignment horizontal="center"/>
    </xf>
    <xf numFmtId="0" fontId="36" fillId="0" borderId="23" xfId="0" applyFont="1" applyFill="1" applyBorder="1" applyAlignment="1">
      <alignment horizontal="center"/>
    </xf>
    <xf numFmtId="0" fontId="36" fillId="0" borderId="39" xfId="0" applyFont="1" applyFill="1" applyBorder="1" applyAlignment="1">
      <alignment horizontal="center"/>
    </xf>
    <xf numFmtId="0" fontId="18" fillId="0" borderId="24" xfId="42" applyFont="1" applyFill="1" applyBorder="1"/>
    <xf numFmtId="0" fontId="18" fillId="0" borderId="13" xfId="42" applyFont="1" applyFill="1" applyBorder="1"/>
    <xf numFmtId="0" fontId="20" fillId="0" borderId="11" xfId="42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28" xfId="0" applyNumberFormat="1" applyFont="1" applyFill="1" applyBorder="1"/>
    <xf numFmtId="0" fontId="0" fillId="47" borderId="0" xfId="0" applyFill="1"/>
    <xf numFmtId="0" fontId="0" fillId="47" borderId="0" xfId="0" applyFill="1" applyAlignment="1">
      <alignment horizontal="center"/>
    </xf>
    <xf numFmtId="0" fontId="39" fillId="37" borderId="29" xfId="42" applyNumberFormat="1" applyFont="1" applyFill="1" applyBorder="1" applyAlignment="1"/>
    <xf numFmtId="0" fontId="39" fillId="37" borderId="36" xfId="42" applyNumberFormat="1" applyFont="1" applyFill="1" applyBorder="1" applyAlignment="1"/>
    <xf numFmtId="0" fontId="39" fillId="46" borderId="31" xfId="42" applyNumberFormat="1" applyFont="1" applyFill="1" applyBorder="1" applyAlignment="1"/>
    <xf numFmtId="0" fontId="39" fillId="46" borderId="26" xfId="42" applyNumberFormat="1" applyFont="1" applyFill="1" applyBorder="1" applyAlignment="1"/>
    <xf numFmtId="0" fontId="39" fillId="37" borderId="31" xfId="42" applyNumberFormat="1" applyFont="1" applyFill="1" applyBorder="1" applyAlignment="1"/>
    <xf numFmtId="0" fontId="39" fillId="37" borderId="26" xfId="42" applyNumberFormat="1" applyFont="1" applyFill="1" applyBorder="1" applyAlignment="1"/>
    <xf numFmtId="0" fontId="39" fillId="46" borderId="50" xfId="42" applyNumberFormat="1" applyFont="1" applyFill="1" applyBorder="1" applyAlignment="1"/>
    <xf numFmtId="0" fontId="39" fillId="46" borderId="39" xfId="42" applyNumberFormat="1" applyFont="1" applyFill="1" applyBorder="1" applyAlignment="1"/>
    <xf numFmtId="0" fontId="40" fillId="47" borderId="12" xfId="0" applyFont="1" applyFill="1" applyBorder="1" applyAlignment="1">
      <alignment horizontal="center"/>
    </xf>
    <xf numFmtId="0" fontId="40" fillId="39" borderId="12" xfId="0" applyFont="1" applyFill="1" applyBorder="1" applyAlignment="1">
      <alignment horizontal="center"/>
    </xf>
    <xf numFmtId="0" fontId="40" fillId="47" borderId="43" xfId="0" applyFont="1" applyFill="1" applyBorder="1" applyAlignment="1">
      <alignment horizontal="center"/>
    </xf>
    <xf numFmtId="0" fontId="39" fillId="37" borderId="47" xfId="42" applyNumberFormat="1" applyFont="1" applyFill="1" applyBorder="1" applyAlignment="1"/>
    <xf numFmtId="0" fontId="39" fillId="37" borderId="40" xfId="42" applyNumberFormat="1" applyFont="1" applyFill="1" applyBorder="1" applyAlignment="1"/>
    <xf numFmtId="0" fontId="40" fillId="48" borderId="31" xfId="0" applyFont="1" applyFill="1" applyBorder="1" applyAlignment="1">
      <alignment horizontal="center"/>
    </xf>
    <xf numFmtId="0" fontId="40" fillId="49" borderId="43" xfId="0" applyFont="1" applyFill="1" applyBorder="1" applyAlignment="1">
      <alignment horizontal="center"/>
    </xf>
    <xf numFmtId="0" fontId="40" fillId="49" borderId="30" xfId="0" applyFont="1" applyFill="1" applyBorder="1" applyAlignment="1">
      <alignment horizontal="center"/>
    </xf>
    <xf numFmtId="0" fontId="40" fillId="49" borderId="12" xfId="0" applyFont="1" applyFill="1" applyBorder="1" applyAlignment="1">
      <alignment horizontal="center"/>
    </xf>
    <xf numFmtId="0" fontId="40" fillId="49" borderId="32" xfId="0" applyFont="1" applyFill="1" applyBorder="1" applyAlignment="1">
      <alignment horizontal="center"/>
    </xf>
    <xf numFmtId="0" fontId="41" fillId="47" borderId="0" xfId="0" applyFont="1" applyFill="1"/>
    <xf numFmtId="0" fontId="40" fillId="50" borderId="31" xfId="0" applyFont="1" applyFill="1" applyBorder="1" applyAlignment="1">
      <alignment horizontal="center"/>
    </xf>
    <xf numFmtId="0" fontId="40" fillId="50" borderId="12" xfId="0" applyFont="1" applyFill="1" applyBorder="1" applyAlignment="1">
      <alignment horizontal="center"/>
    </xf>
    <xf numFmtId="0" fontId="40" fillId="50" borderId="32" xfId="0" applyFont="1" applyFill="1" applyBorder="1" applyAlignment="1">
      <alignment horizontal="center"/>
    </xf>
    <xf numFmtId="0" fontId="40" fillId="50" borderId="59" xfId="0" applyFont="1" applyFill="1" applyBorder="1" applyAlignment="1">
      <alignment horizontal="center"/>
    </xf>
    <xf numFmtId="0" fontId="40" fillId="51" borderId="29" xfId="0" applyFont="1" applyFill="1" applyBorder="1" applyAlignment="1">
      <alignment horizontal="center"/>
    </xf>
    <xf numFmtId="0" fontId="40" fillId="51" borderId="43" xfId="0" applyFont="1" applyFill="1" applyBorder="1" applyAlignment="1">
      <alignment horizontal="center"/>
    </xf>
    <xf numFmtId="0" fontId="40" fillId="51" borderId="12" xfId="0" applyFont="1" applyFill="1" applyBorder="1" applyAlignment="1">
      <alignment horizontal="center"/>
    </xf>
    <xf numFmtId="0" fontId="40" fillId="51" borderId="32" xfId="0" applyFont="1" applyFill="1" applyBorder="1" applyAlignment="1">
      <alignment horizontal="center"/>
    </xf>
    <xf numFmtId="0" fontId="40" fillId="52" borderId="31" xfId="0" applyFont="1" applyFill="1" applyBorder="1" applyAlignment="1">
      <alignment horizontal="center"/>
    </xf>
    <xf numFmtId="0" fontId="40" fillId="52" borderId="12" xfId="0" applyFont="1" applyFill="1" applyBorder="1" applyAlignment="1">
      <alignment horizontal="center"/>
    </xf>
    <xf numFmtId="0" fontId="40" fillId="52" borderId="32" xfId="0" applyFont="1" applyFill="1" applyBorder="1" applyAlignment="1">
      <alignment horizontal="center"/>
    </xf>
    <xf numFmtId="0" fontId="40" fillId="52" borderId="34" xfId="0" applyFont="1" applyFill="1" applyBorder="1" applyAlignment="1">
      <alignment horizontal="center"/>
    </xf>
    <xf numFmtId="0" fontId="40" fillId="53" borderId="33" xfId="0" applyFont="1" applyFill="1" applyBorder="1" applyAlignment="1">
      <alignment horizontal="center"/>
    </xf>
    <xf numFmtId="0" fontId="40" fillId="53" borderId="12" xfId="0" applyFont="1" applyFill="1" applyBorder="1" applyAlignment="1">
      <alignment horizontal="center"/>
    </xf>
    <xf numFmtId="0" fontId="43" fillId="47" borderId="0" xfId="0" applyFont="1" applyFill="1" applyAlignment="1">
      <alignment horizontal="left"/>
    </xf>
    <xf numFmtId="0" fontId="0" fillId="33" borderId="29" xfId="0" applyFill="1" applyBorder="1" applyAlignment="1">
      <alignment horizontal="center"/>
    </xf>
    <xf numFmtId="0" fontId="0" fillId="33" borderId="43" xfId="0" applyFill="1" applyBorder="1" applyAlignment="1">
      <alignment horizontal="center"/>
    </xf>
    <xf numFmtId="0" fontId="0" fillId="33" borderId="3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54" borderId="30" xfId="0" applyFill="1" applyBorder="1"/>
    <xf numFmtId="0" fontId="0" fillId="54" borderId="32" xfId="0" applyFill="1" applyBorder="1"/>
    <xf numFmtId="0" fontId="0" fillId="50" borderId="31" xfId="0" applyFill="1" applyBorder="1" applyAlignment="1">
      <alignment horizontal="center"/>
    </xf>
    <xf numFmtId="0" fontId="0" fillId="50" borderId="12" xfId="0" applyFill="1" applyBorder="1" applyAlignment="1">
      <alignment horizontal="center"/>
    </xf>
    <xf numFmtId="0" fontId="0" fillId="50" borderId="32" xfId="0" applyFill="1" applyBorder="1"/>
    <xf numFmtId="0" fontId="0" fillId="50" borderId="33" xfId="0" applyFill="1" applyBorder="1" applyAlignment="1">
      <alignment horizontal="center"/>
    </xf>
    <xf numFmtId="0" fontId="0" fillId="50" borderId="59" xfId="0" applyFill="1" applyBorder="1" applyAlignment="1">
      <alignment horizontal="center"/>
    </xf>
    <xf numFmtId="0" fontId="0" fillId="50" borderId="34" xfId="0" applyFill="1" applyBorder="1"/>
    <xf numFmtId="0" fontId="0" fillId="33" borderId="30" xfId="0" applyFill="1" applyBorder="1" applyAlignment="1">
      <alignment horizontal="center"/>
    </xf>
    <xf numFmtId="0" fontId="0" fillId="33" borderId="32" xfId="0" applyFill="1" applyBorder="1" applyAlignment="1">
      <alignment horizontal="center"/>
    </xf>
    <xf numFmtId="0" fontId="0" fillId="50" borderId="32" xfId="0" applyFill="1" applyBorder="1" applyAlignment="1">
      <alignment horizontal="center"/>
    </xf>
    <xf numFmtId="0" fontId="0" fillId="50" borderId="34" xfId="0" applyFill="1" applyBorder="1" applyAlignment="1">
      <alignment horizontal="center"/>
    </xf>
    <xf numFmtId="0" fontId="44" fillId="0" borderId="51" xfId="0" applyNumberFormat="1" applyFont="1" applyFill="1" applyBorder="1" applyAlignment="1" applyProtection="1"/>
    <xf numFmtId="0" fontId="44" fillId="0" borderId="55" xfId="0" applyNumberFormat="1" applyFont="1" applyFill="1" applyBorder="1" applyAlignment="1" applyProtection="1"/>
    <xf numFmtId="1" fontId="45" fillId="0" borderId="52" xfId="0" applyNumberFormat="1" applyFont="1" applyFill="1" applyBorder="1" applyAlignment="1">
      <alignment horizontal="center"/>
    </xf>
    <xf numFmtId="0" fontId="44" fillId="0" borderId="25" xfId="0" applyNumberFormat="1" applyFont="1" applyFill="1" applyBorder="1" applyAlignment="1" applyProtection="1"/>
    <xf numFmtId="0" fontId="44" fillId="0" borderId="39" xfId="0" applyNumberFormat="1" applyFont="1" applyFill="1" applyBorder="1" applyAlignment="1" applyProtection="1"/>
    <xf numFmtId="0" fontId="45" fillId="0" borderId="23" xfId="0" applyNumberFormat="1" applyFont="1" applyFill="1" applyBorder="1" applyAlignment="1">
      <alignment horizontal="center"/>
    </xf>
    <xf numFmtId="0" fontId="46" fillId="0" borderId="25" xfId="0" applyNumberFormat="1" applyFont="1" applyFill="1" applyBorder="1" applyAlignment="1" applyProtection="1"/>
    <xf numFmtId="0" fontId="46" fillId="0" borderId="39" xfId="0" applyNumberFormat="1" applyFont="1" applyFill="1" applyBorder="1" applyAlignment="1" applyProtection="1"/>
    <xf numFmtId="164" fontId="47" fillId="0" borderId="12" xfId="0" applyNumberFormat="1" applyFont="1" applyFill="1" applyBorder="1" applyAlignment="1">
      <alignment horizontal="center"/>
    </xf>
    <xf numFmtId="0" fontId="47" fillId="0" borderId="44" xfId="0" applyNumberFormat="1" applyFont="1" applyFill="1" applyBorder="1" applyAlignment="1">
      <alignment horizontal="center"/>
    </xf>
    <xf numFmtId="165" fontId="0" fillId="0" borderId="23" xfId="0" applyNumberFormat="1" applyFill="1" applyBorder="1" applyAlignment="1">
      <alignment horizontal="center"/>
    </xf>
    <xf numFmtId="0" fontId="34" fillId="38" borderId="10" xfId="42" applyFont="1" applyFill="1" applyBorder="1"/>
    <xf numFmtId="0" fontId="34" fillId="38" borderId="38" xfId="42" applyFont="1" applyFill="1" applyBorder="1"/>
    <xf numFmtId="0" fontId="16" fillId="38" borderId="11" xfId="0" applyFont="1" applyFill="1" applyBorder="1" applyAlignment="1">
      <alignment horizontal="center"/>
    </xf>
    <xf numFmtId="0" fontId="35" fillId="38" borderId="28" xfId="0" applyNumberFormat="1" applyFont="1" applyFill="1" applyBorder="1"/>
    <xf numFmtId="0" fontId="30" fillId="38" borderId="12" xfId="42" applyFont="1" applyFill="1" applyBorder="1" applyAlignment="1">
      <alignment horizontal="center"/>
    </xf>
    <xf numFmtId="0" fontId="26" fillId="38" borderId="12" xfId="0" applyFont="1" applyFill="1" applyBorder="1" applyAlignment="1">
      <alignment horizontal="center"/>
    </xf>
    <xf numFmtId="0" fontId="26" fillId="38" borderId="11" xfId="0" applyFont="1" applyFill="1" applyBorder="1" applyAlignment="1">
      <alignment horizontal="center"/>
    </xf>
    <xf numFmtId="0" fontId="48" fillId="38" borderId="27" xfId="0" applyFont="1" applyFill="1" applyBorder="1" applyAlignment="1">
      <alignment horizontal="center"/>
    </xf>
    <xf numFmtId="0" fontId="49" fillId="0" borderId="27" xfId="0" applyNumberFormat="1" applyFont="1" applyFill="1" applyBorder="1" applyAlignment="1">
      <alignment horizontal="center"/>
    </xf>
    <xf numFmtId="0" fontId="0" fillId="55" borderId="0" xfId="0" applyFill="1"/>
    <xf numFmtId="0" fontId="13" fillId="0" borderId="0" xfId="0" applyFont="1" applyFill="1" applyBorder="1"/>
    <xf numFmtId="0" fontId="0" fillId="55" borderId="0" xfId="0" applyFill="1" applyAlignment="1">
      <alignment horizontal="center"/>
    </xf>
    <xf numFmtId="0" fontId="26" fillId="0" borderId="43" xfId="0" applyFont="1" applyFill="1" applyBorder="1" applyAlignment="1">
      <alignment horizontal="center"/>
    </xf>
    <xf numFmtId="0" fontId="26" fillId="0" borderId="30" xfId="0" applyFont="1" applyFill="1" applyBorder="1" applyAlignment="1">
      <alignment horizontal="center"/>
    </xf>
    <xf numFmtId="0" fontId="26" fillId="0" borderId="32" xfId="0" applyFont="1" applyFill="1" applyBorder="1" applyAlignment="1">
      <alignment horizontal="center"/>
    </xf>
    <xf numFmtId="0" fontId="26" fillId="0" borderId="59" xfId="0" applyFont="1" applyFill="1" applyBorder="1" applyAlignment="1">
      <alignment horizontal="center"/>
    </xf>
    <xf numFmtId="0" fontId="26" fillId="0" borderId="34" xfId="0" applyFont="1" applyFill="1" applyBorder="1" applyAlignment="1">
      <alignment horizontal="center"/>
    </xf>
    <xf numFmtId="0" fontId="40" fillId="0" borderId="43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/>
    </xf>
    <xf numFmtId="0" fontId="40" fillId="0" borderId="59" xfId="0" applyFont="1" applyFill="1" applyBorder="1" applyAlignment="1">
      <alignment horizontal="center"/>
    </xf>
    <xf numFmtId="0" fontId="40" fillId="42" borderId="31" xfId="0" applyFont="1" applyFill="1" applyBorder="1" applyAlignment="1">
      <alignment horizontal="center"/>
    </xf>
    <xf numFmtId="0" fontId="40" fillId="42" borderId="59" xfId="0" applyFont="1" applyFill="1" applyBorder="1" applyAlignment="1">
      <alignment horizontal="center"/>
    </xf>
    <xf numFmtId="0" fontId="40" fillId="42" borderId="43" xfId="0" applyFont="1" applyFill="1" applyBorder="1" applyAlignment="1">
      <alignment horizontal="center"/>
    </xf>
    <xf numFmtId="0" fontId="40" fillId="42" borderId="12" xfId="0" applyFont="1" applyFill="1" applyBorder="1" applyAlignment="1">
      <alignment horizontal="center"/>
    </xf>
    <xf numFmtId="0" fontId="40" fillId="56" borderId="33" xfId="0" applyFont="1" applyFill="1" applyBorder="1" applyAlignment="1">
      <alignment horizontal="center"/>
    </xf>
    <xf numFmtId="0" fontId="40" fillId="58" borderId="29" xfId="0" applyFont="1" applyFill="1" applyBorder="1" applyAlignment="1">
      <alignment horizontal="center"/>
    </xf>
    <xf numFmtId="0" fontId="40" fillId="57" borderId="31" xfId="0" applyFont="1" applyFill="1" applyBorder="1" applyAlignment="1">
      <alignment horizontal="center"/>
    </xf>
    <xf numFmtId="0" fontId="40" fillId="56" borderId="59" xfId="0" applyFont="1" applyFill="1" applyBorder="1" applyAlignment="1">
      <alignment horizontal="center"/>
    </xf>
    <xf numFmtId="0" fontId="40" fillId="58" borderId="43" xfId="0" applyFont="1" applyFill="1" applyBorder="1" applyAlignment="1">
      <alignment horizontal="center"/>
    </xf>
    <xf numFmtId="0" fontId="40" fillId="57" borderId="12" xfId="0" applyFont="1" applyFill="1" applyBorder="1" applyAlignment="1">
      <alignment horizontal="center"/>
    </xf>
    <xf numFmtId="0" fontId="40" fillId="56" borderId="12" xfId="0" applyFont="1" applyFill="1" applyBorder="1" applyAlignment="1">
      <alignment horizontal="center"/>
    </xf>
    <xf numFmtId="0" fontId="40" fillId="48" borderId="12" xfId="0" applyFont="1" applyFill="1" applyBorder="1" applyAlignment="1">
      <alignment horizontal="center"/>
    </xf>
    <xf numFmtId="0" fontId="40" fillId="58" borderId="30" xfId="0" applyFont="1" applyFill="1" applyBorder="1" applyAlignment="1">
      <alignment horizontal="center"/>
    </xf>
    <xf numFmtId="0" fontId="40" fillId="56" borderId="32" xfId="0" applyFont="1" applyFill="1" applyBorder="1" applyAlignment="1">
      <alignment horizontal="center"/>
    </xf>
    <xf numFmtId="0" fontId="40" fillId="42" borderId="32" xfId="0" applyFont="1" applyFill="1" applyBorder="1" applyAlignment="1">
      <alignment horizontal="center"/>
    </xf>
    <xf numFmtId="0" fontId="40" fillId="58" borderId="32" xfId="0" applyFont="1" applyFill="1" applyBorder="1" applyAlignment="1">
      <alignment horizontal="center"/>
    </xf>
    <xf numFmtId="0" fontId="40" fillId="42" borderId="34" xfId="0" applyFont="1" applyFill="1" applyBorder="1" applyAlignment="1">
      <alignment horizontal="center"/>
    </xf>
    <xf numFmtId="0" fontId="16" fillId="33" borderId="15" xfId="0" applyFont="1" applyFill="1" applyBorder="1" applyAlignment="1">
      <alignment horizontal="left"/>
    </xf>
    <xf numFmtId="0" fontId="16" fillId="33" borderId="16" xfId="0" applyFont="1" applyFill="1" applyBorder="1" applyAlignment="1">
      <alignment horizontal="left"/>
    </xf>
    <xf numFmtId="0" fontId="16" fillId="33" borderId="17" xfId="0" applyFont="1" applyFill="1" applyBorder="1" applyAlignment="1">
      <alignment horizontal="left"/>
    </xf>
    <xf numFmtId="0" fontId="16" fillId="33" borderId="15" xfId="0" applyFont="1" applyFill="1" applyBorder="1" applyAlignment="1">
      <alignment horizontal="center"/>
    </xf>
    <xf numFmtId="0" fontId="16" fillId="33" borderId="16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0" fontId="19" fillId="35" borderId="0" xfId="0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16" fillId="33" borderId="15" xfId="0" applyFont="1" applyFill="1" applyBorder="1" applyAlignment="1"/>
    <xf numFmtId="0" fontId="16" fillId="0" borderId="16" xfId="0" applyFont="1" applyBorder="1" applyAlignment="1"/>
    <xf numFmtId="0" fontId="16" fillId="0" borderId="17" xfId="0" applyFont="1" applyBorder="1" applyAlignment="1"/>
  </cellXfs>
  <cellStyles count="67">
    <cellStyle name="20% - Dekorfärg1" xfId="19" builtinId="30" customBuiltin="1"/>
    <cellStyle name="20% - Dekorfärg2" xfId="23" builtinId="34" customBuiltin="1"/>
    <cellStyle name="20% - Dekorfärg3" xfId="27" builtinId="38" customBuiltin="1"/>
    <cellStyle name="20% - Dekorfärg4" xfId="31" builtinId="42" customBuiltin="1"/>
    <cellStyle name="20% - Dekorfärg5" xfId="35" builtinId="46" customBuiltin="1"/>
    <cellStyle name="20% - Dekorfärg6" xfId="39" builtinId="50" customBuiltin="1"/>
    <cellStyle name="40% - Dekorfärg1" xfId="20" builtinId="31" customBuiltin="1"/>
    <cellStyle name="40% - Dekorfärg2" xfId="24" builtinId="35" customBuiltin="1"/>
    <cellStyle name="40% - Dekorfärg3" xfId="28" builtinId="39" customBuiltin="1"/>
    <cellStyle name="40% - Dekorfärg4" xfId="32" builtinId="43" customBuiltin="1"/>
    <cellStyle name="40% - Dekorfärg5" xfId="36" builtinId="47" customBuiltin="1"/>
    <cellStyle name="40% - Dekorfärg6" xfId="40" builtinId="51" customBuiltin="1"/>
    <cellStyle name="60% - Dekorfärg1" xfId="21" builtinId="32" customBuiltin="1"/>
    <cellStyle name="60% - Dekorfärg2" xfId="25" builtinId="36" customBuiltin="1"/>
    <cellStyle name="60% - Dekorfärg3" xfId="29" builtinId="40" customBuiltin="1"/>
    <cellStyle name="60% - Dekorfärg4" xfId="33" builtinId="44" customBuiltin="1"/>
    <cellStyle name="60% - Dekorfärg5" xfId="37" builtinId="48" customBuiltin="1"/>
    <cellStyle name="60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t" xfId="7" builtinId="27" customBuilti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rklarande text" xfId="16" builtinId="53" customBuilti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Normal 2" xfId="42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73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left style="medium">
          <color auto="1"/>
        </lef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</border>
    </dxf>
    <dxf>
      <fill>
        <patternFill patternType="solid">
          <fgColor indexed="64"/>
          <bgColor theme="1"/>
        </patternFill>
      </fill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65" formatCode="#,##0.00\ _k_r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thin">
          <color indexed="64"/>
        </left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</border>
    </dxf>
    <dxf>
      <font>
        <b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medium">
          <color auto="1"/>
        </top>
        <bottom style="medium">
          <color auto="1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medium">
          <color auto="1"/>
        </top>
        <bottom style="medium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bottom" textRotation="0" wrapText="0" relative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C00000"/>
        </patternFill>
      </fill>
    </dxf>
    <dxf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C00000"/>
        </patternFill>
      </fill>
    </dxf>
    <dxf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bottom" textRotation="0" wrapText="0" relative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numFmt numFmtId="0" formatCode="General"/>
      <border outline="0">
        <left style="thin">
          <color auto="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auto="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  <protection locked="1" hidden="0"/>
    </dxf>
    <dxf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color rgb="FFFFC000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l3" displayName="Tabell3" ref="B3:N19" totalsRowCount="1" headerRowDxfId="738" dataDxfId="736" totalsRowDxfId="734" headerRowBorderDxfId="737" tableBorderDxfId="735">
  <autoFilter ref="B3:N18"/>
  <tableColumns count="13">
    <tableColumn id="1" name="För" totalsRowDxfId="733" dataCellStyle="Normal 2"/>
    <tableColumn id="2" name="Efter" totalsRowLabel="Snitt" dataDxfId="732" totalsRowDxfId="731" dataCellStyle="Normal 2"/>
    <tableColumn id="3" name="1" totalsRowFunction="custom" dataDxfId="730" totalsRowDxfId="729">
      <totalsRowFormula>SUM(D4+D5+D6+D8+D9+D10+D12+D13+D14+D17+D18)/11</totalsRowFormula>
    </tableColumn>
    <tableColumn id="4" name="2" totalsRowFunction="custom" dataDxfId="728" totalsRowDxfId="727">
      <totalsRowFormula>(E4+E5+E7+E8+E10+E12+E13+E16+E18)/9</totalsRowFormula>
    </tableColumn>
    <tableColumn id="5" name="3" totalsRowFunction="custom" dataDxfId="726" totalsRowDxfId="725">
      <totalsRowFormula>(F4+F5+F6+F8+F9+F10+F11+F13+F14+F16+F18)/11</totalsRowFormula>
    </tableColumn>
    <tableColumn id="6" name="4" totalsRowFunction="custom" dataDxfId="724" totalsRowDxfId="723">
      <totalsRowFormula>(G5+G6+G8+G9+G10+G11+G13+G14+G16+G17+G18)/11</totalsRowFormula>
    </tableColumn>
    <tableColumn id="7" name="5" totalsRowFunction="custom" dataDxfId="722" totalsRowDxfId="721">
      <totalsRowFormula>(H4+H5+H6+H7+H8+H9+H10+H11+H12+H13+H15+H16+H17+H18)/14</totalsRowFormula>
    </tableColumn>
    <tableColumn id="8" name="6" totalsRowFunction="custom" dataDxfId="720" totalsRowDxfId="719">
      <totalsRowFormula>(I4+I5+I6+I8+I10+I11+I13+I16+I17+I18)/10</totalsRowFormula>
    </tableColumn>
    <tableColumn id="9" name="7" totalsRowFunction="custom" dataDxfId="718" totalsRowDxfId="717">
      <totalsRowFormula>(J4+J5+J6+J7+J8+J9+J10+J11+J12+J14+J13+J16+J17+J18)/14</totalsRowFormula>
    </tableColumn>
    <tableColumn id="10" name="8" totalsRowFunction="custom" dataDxfId="716" totalsRowDxfId="715">
      <totalsRowFormula>(K4+K5+K6+K7+K8+K9+K10+K11+K13+K14+K17+K18)/12</totalsRowFormula>
    </tableColumn>
    <tableColumn id="14" name="92" totalsRowFunction="custom" dataDxfId="714" totalsRowDxfId="713">
      <totalsRowFormula>(L17+L16+L15+L14+L13+L12+L10+L9+L8+L7+L6+L5+L4)/13</totalsRowFormula>
    </tableColumn>
    <tableColumn id="11" name="10" totalsRowFunction="custom" dataDxfId="712" totalsRowDxfId="711">
      <totalsRowFormula>SUM(M17+M16+M15+M14+M13+M12+M10+M9+M8+M7+M6+M5+M4)/13</totalsRowFormula>
    </tableColumn>
    <tableColumn id="12" name="Sum" totalsRowFunction="custom" dataDxfId="710" totalsRowDxfId="709">
      <calculatedColumnFormula>SMALL(D4:M4,1)+SMALL(D4:M4,2)+SMALL(D4:M4,3)+SMALL(D4:M4,4)+SMALL(D4:M5,5)</calculatedColumnFormula>
      <totalsRowFormula>(N4+N5+N6+N7+N8+N9+N10+N12+N13+N14+N15+N16+N17+N18)/14</totalsRowFormula>
    </tableColumn>
  </tableColumns>
  <tableStyleInfo name="TableStyleDark4" showFirstColumn="0" showLastColumn="0" showRowStripes="1" showColumnStripes="0"/>
</table>
</file>

<file path=xl/tables/table10.xml><?xml version="1.0" encoding="utf-8"?>
<table xmlns="http://schemas.openxmlformats.org/spreadsheetml/2006/main" id="61" name="Tabell61" displayName="Tabell61" ref="AF3:AF18" totalsRowShown="0" headerRowDxfId="635" dataDxfId="633" headerRowBorderDxfId="634" tableBorderDxfId="632" totalsRowBorderDxfId="631">
  <autoFilter ref="AF3:AF18"/>
  <tableColumns count="1">
    <tableColumn id="1" name="Snittscore" dataDxfId="630">
      <calculatedColumnFormula>Tabell3[[#This Row],[Sum]]/5</calculatedColumnFormula>
    </tableColumn>
  </tableColumns>
  <tableStyleInfo name="TableStyleDark4" showFirstColumn="0" showLastColumn="0" showRowStripes="1" showColumnStripes="0"/>
</table>
</file>

<file path=xl/tables/table11.xml><?xml version="1.0" encoding="utf-8"?>
<table xmlns="http://schemas.openxmlformats.org/spreadsheetml/2006/main" id="63" name="Tabell63" displayName="Tabell63" ref="AC23:AC40" totalsRowCount="1" headerRowDxfId="629" dataDxfId="628" totalsRowDxfId="626" tableBorderDxfId="627">
  <autoFilter ref="AC23:AC39"/>
  <tableColumns count="1">
    <tableColumn id="1" name="Birdies" dataDxfId="625" totalsRowDxfId="624"/>
  </tableColumns>
  <tableStyleInfo name="TableStyleDark1" showFirstColumn="0" showLastColumn="0" showRowStripes="1" showColumnStripes="0"/>
</table>
</file>

<file path=xl/tables/table12.xml><?xml version="1.0" encoding="utf-8"?>
<table xmlns="http://schemas.openxmlformats.org/spreadsheetml/2006/main" id="21" name="Tabell21" displayName="Tabell21" ref="B3:F20" totalsRowCount="1" headerRowDxfId="623" dataDxfId="622" totalsRowDxfId="620" tableBorderDxfId="621" totalsRowBorderDxfId="619">
  <autoFilter ref="B3:F19"/>
  <sortState ref="B4:F17">
    <sortCondition descending="1" ref="E4:E17"/>
  </sortState>
  <tableColumns count="5">
    <tableColumn id="1" name="För" dataDxfId="618" totalsRowDxfId="617" dataCellStyle="Normal 2"/>
    <tableColumn id="2" name="Efter" dataDxfId="616" totalsRowDxfId="615" dataCellStyle="Normal 2"/>
    <tableColumn id="3" name="Öl tid" totalsRowFunction="custom" dataDxfId="614" totalsRowDxfId="613">
      <totalsRowFormula>SUM(D4:D19)</totalsRowFormula>
    </tableColumn>
    <tableColumn id="4" name="Öl i år" totalsRowFunction="custom" dataDxfId="612" totalsRowDxfId="611">
      <calculatedColumnFormula>Tabell11[[#This Row],[Öl]]</calculatedColumnFormula>
      <totalsRowFormula>E4+E5+E6+E7+E8+E9+E10+E11+E12+E13+E14+E15+E16+E17+E18</totalsRowFormula>
    </tableColumn>
    <tableColumn id="5" name="Tot" totalsRowFunction="custom" dataDxfId="610" totalsRowDxfId="609">
      <calculatedColumnFormula>D4+E4</calculatedColumnFormula>
      <totalsRowFormula>SUM(F4:F19)</totalsRowFormula>
    </tableColumn>
  </tableColumns>
  <tableStyleInfo name="TableStyleDark2" showFirstColumn="0" showLastColumn="0" showRowStripes="1" showColumnStripes="0"/>
</table>
</file>

<file path=xl/tables/table13.xml><?xml version="1.0" encoding="utf-8"?>
<table xmlns="http://schemas.openxmlformats.org/spreadsheetml/2006/main" id="22" name="Tabell2123" displayName="Tabell2123" ref="H3:L20" totalsRowCount="1" headerRowDxfId="608" dataDxfId="607" tableBorderDxfId="606">
  <autoFilter ref="H3:L19"/>
  <sortState ref="H4:L17">
    <sortCondition descending="1" ref="K4:K17"/>
  </sortState>
  <tableColumns count="5">
    <tableColumn id="1" name="För" dataDxfId="605" totalsRowDxfId="604" dataCellStyle="Normal 2"/>
    <tableColumn id="2" name="Efter" dataDxfId="603" totalsRowDxfId="602" dataCellStyle="Normal 2"/>
    <tableColumn id="3" name="Birdie tid" totalsRowFunction="custom" dataDxfId="601" totalsRowDxfId="600">
      <totalsRowFormula>SUM(J4:J19)</totalsRowFormula>
    </tableColumn>
    <tableColumn id="4" name="Birdie i år" totalsRowFunction="custom" dataDxfId="599" totalsRowDxfId="598">
      <calculatedColumnFormula>Scoreboard!AC24</calculatedColumnFormula>
      <totalsRowFormula>K4+K5+K6+K7+K8+K9+K10+K11+K12+K13+K14+K15+K16+K17+K18</totalsRowFormula>
    </tableColumn>
    <tableColumn id="5" name="Tot" totalsRowFunction="custom" dataDxfId="597" totalsRowDxfId="596">
      <calculatedColumnFormula>J4+K4</calculatedColumnFormula>
      <totalsRowFormula>(L4+L5+L6+L7+L8+L9+L10+L11+L12+L13+L14+L15+L16+L17+L18+J19)</totalsRowFormula>
    </tableColumn>
  </tableColumns>
  <tableStyleInfo name="TableStyleDark4" showFirstColumn="0" showLastColumn="0" showRowStripes="1" showColumnStripes="0"/>
</table>
</file>

<file path=xl/tables/table14.xml><?xml version="1.0" encoding="utf-8"?>
<table xmlns="http://schemas.openxmlformats.org/spreadsheetml/2006/main" id="65" name="Tabell65" displayName="Tabell65" ref="N3:N17" totalsRowShown="0" headerRowDxfId="595" dataDxfId="594" tableBorderDxfId="593">
  <autoFilter ref="N3:N17"/>
  <tableColumns count="1">
    <tableColumn id="1" name="Anm" dataDxfId="592"/>
  </tableColumns>
  <tableStyleInfo name="TableStyleDark7" showFirstColumn="0" showLastColumn="0" showRowStripes="1" showColumnStripes="0"/>
</table>
</file>

<file path=xl/tables/table15.xml><?xml version="1.0" encoding="utf-8"?>
<table xmlns="http://schemas.openxmlformats.org/spreadsheetml/2006/main" id="23" name="Tabell23" displayName="Tabell23" ref="B3:E18" totalsRowShown="0" tableBorderDxfId="591">
  <autoFilter ref="B3:E18"/>
  <tableColumns count="4">
    <tableColumn id="1" name="För" dataDxfId="590" dataCellStyle="Normal 2"/>
    <tableColumn id="2" name="Efter" dataDxfId="589" dataCellStyle="Normal 2"/>
    <tableColumn id="3" name="I år" dataDxfId="588">
      <calculatedColumnFormula>SMALL(Tabell3[[#This Row],[1]:[10]],1)</calculatedColumnFormula>
    </tableColumn>
    <tableColumn id="4" name="Bäst &quot;Ever&quot;" dataDxfId="587"/>
  </tableColumns>
  <tableStyleInfo name="TableStyleDark7" showFirstColumn="0" showLastColumn="0" showRowStripes="1" showColumnStripes="0"/>
</table>
</file>

<file path=xl/tables/table16.xml><?xml version="1.0" encoding="utf-8"?>
<table xmlns="http://schemas.openxmlformats.org/spreadsheetml/2006/main" id="24" name="Tabell24" displayName="Tabell24" ref="F3:F18" totalsRowShown="0" headerRowDxfId="586" dataDxfId="585" tableBorderDxfId="584">
  <autoFilter ref="F3:F18"/>
  <tableColumns count="1">
    <tableColumn id="1" name="Skillnad" dataDxfId="583">
      <calculatedColumnFormula>Tabell23[[#This Row],[I år]]-E4</calculatedColumnFormula>
    </tableColumn>
  </tableColumns>
  <tableStyleInfo name="TableStyleDark7" showFirstColumn="0" showLastColumn="0" showRowStripes="1" showColumnStripes="0"/>
</table>
</file>

<file path=xl/tables/table17.xml><?xml version="1.0" encoding="utf-8"?>
<table xmlns="http://schemas.openxmlformats.org/spreadsheetml/2006/main" id="25" name="Tabell2326" displayName="Tabell2326" ref="H3:K18" totalsRowShown="0" tableBorderDxfId="582">
  <autoFilter ref="H3:K18"/>
  <tableColumns count="4">
    <tableColumn id="1" name="För" dataDxfId="581" dataCellStyle="Normal 2"/>
    <tableColumn id="2" name="Efter" dataDxfId="580" dataCellStyle="Normal 2"/>
    <tableColumn id="3" name="I år" dataDxfId="579">
      <calculatedColumnFormula>MIN(Scoreboard!D24:M24)</calculatedColumnFormula>
    </tableColumn>
    <tableColumn id="4" name="Bäst &quot;Ever&quot;" dataDxfId="578"/>
  </tableColumns>
  <tableStyleInfo name="TableStyleDark7" showFirstColumn="0" showLastColumn="0" showRowStripes="1" showColumnStripes="0"/>
</table>
</file>

<file path=xl/tables/table18.xml><?xml version="1.0" encoding="utf-8"?>
<table xmlns="http://schemas.openxmlformats.org/spreadsheetml/2006/main" id="26" name="Tabell2427" displayName="Tabell2427" ref="L3:L18" totalsRowShown="0" headerRowDxfId="577" dataDxfId="576" tableBorderDxfId="575">
  <autoFilter ref="L3:L18"/>
  <tableColumns count="1">
    <tableColumn id="1" name="Skillnad" dataDxfId="574">
      <calculatedColumnFormula>Tabell2326[[#This Row],[I år]]-K4</calculatedColumnFormula>
    </tableColumn>
  </tableColumns>
  <tableStyleInfo name="TableStyleDark7" showFirstColumn="0" showLastColumn="0" showRowStripes="1" showColumnStripes="0"/>
</table>
</file>

<file path=xl/tables/table19.xml><?xml version="1.0" encoding="utf-8"?>
<table xmlns="http://schemas.openxmlformats.org/spreadsheetml/2006/main" id="1" name="Tabell1" displayName="Tabell1" ref="B4:G17" totalsRowShown="0" headerRowDxfId="573" dataDxfId="571" headerRowBorderDxfId="572" tableBorderDxfId="570" totalsRowBorderDxfId="569">
  <autoFilter ref="B4:G17"/>
  <tableColumns count="6">
    <tableColumn id="1" name="År" dataDxfId="568"/>
    <tableColumn id="2" name="Ölbollar" dataDxfId="567"/>
    <tableColumn id="3" name="Birdies" dataDxfId="566"/>
    <tableColumn id="4" name="B Netto" dataDxfId="565"/>
    <tableColumn id="5" name="B Brutto" dataDxfId="564"/>
    <tableColumn id="6" name="Slag Snitt" dataDxfId="563">
      <calculatedColumnFormula>#REF!</calculatedColumnFormula>
    </tableColumn>
  </tableColumns>
  <tableStyleInfo name="TableStyleDark3" showFirstColumn="0" showLastColumn="0" showRowStripes="1" showColumnStripes="0"/>
</table>
</file>

<file path=xl/tables/table2.xml><?xml version="1.0" encoding="utf-8"?>
<table xmlns="http://schemas.openxmlformats.org/spreadsheetml/2006/main" id="4" name="Tabell4" displayName="Tabell4" ref="B23:N39" totalsRowShown="0" headerRowDxfId="708" dataDxfId="706" headerRowBorderDxfId="707" tableBorderDxfId="705" totalsRowBorderDxfId="704" headerRowCellStyle="Normal 2">
  <autoFilter ref="B23:N39"/>
  <tableColumns count="13">
    <tableColumn id="1" name="För" dataDxfId="703" dataCellStyle="Normal 2"/>
    <tableColumn id="2" name="Efter" dataDxfId="702" dataCellStyle="Normal 2"/>
    <tableColumn id="3" name="1" dataDxfId="701"/>
    <tableColumn id="4" name="2" dataDxfId="700"/>
    <tableColumn id="5" name="3" dataDxfId="699"/>
    <tableColumn id="6" name="4" dataDxfId="698"/>
    <tableColumn id="7" name="5" dataDxfId="697"/>
    <tableColumn id="8" name="6" dataDxfId="696"/>
    <tableColumn id="9" name="7" dataDxfId="695"/>
    <tableColumn id="10" name="8" dataDxfId="694"/>
    <tableColumn id="13" name="9" dataDxfId="693" dataCellStyle="Normal 2"/>
    <tableColumn id="11" name="10" dataDxfId="692"/>
    <tableColumn id="12" name="Sum" dataDxfId="691">
      <calculatedColumnFormula>SMALL(D24:M24,1)+SMALL(D24:M24,2)+SMALL(D24:M24,3)+SMALL(D24:M24,4)++SMALL(D24:M24,5)</calculatedColumnFormula>
    </tableColumn>
  </tableColumns>
  <tableStyleInfo name="TableStyleDark7" showFirstColumn="0" showLastColumn="0" showRowStripes="1" showColumnStripes="0"/>
</table>
</file>

<file path=xl/tables/table20.xml><?xml version="1.0" encoding="utf-8"?>
<table xmlns="http://schemas.openxmlformats.org/spreadsheetml/2006/main" id="2" name="Tabell2" displayName="Tabell2" ref="I4:L39" totalsRowCount="1" headerRowDxfId="562" dataDxfId="560" headerRowBorderDxfId="561" tableBorderDxfId="559" totalsRowBorderDxfId="558">
  <autoFilter ref="I4:L38"/>
  <sortState ref="I5:L34">
    <sortCondition descending="1" ref="L4:L34"/>
  </sortState>
  <tableColumns count="4">
    <tableColumn id="1" name="Bana" dataDxfId="557" totalsRowDxfId="556"/>
    <tableColumn id="2" name="Brutto" dataDxfId="555" totalsRowDxfId="554"/>
    <tableColumn id="3" name="Netto" dataDxfId="553" totalsRowDxfId="552"/>
    <tableColumn id="4" name="Antal ggr" totalsRowFunction="custom" dataDxfId="551" totalsRowDxfId="550">
      <totalsRowFormula>SUM(L5:L38)</totalsRowFormula>
    </tableColumn>
  </tableColumns>
  <tableStyleInfo name="TableStyleDark3" showFirstColumn="0" showLastColumn="0" showRowStripes="1" showColumnStripes="0"/>
</table>
</file>

<file path=xl/tables/table21.xml><?xml version="1.0" encoding="utf-8"?>
<table xmlns="http://schemas.openxmlformats.org/spreadsheetml/2006/main" id="27" name="Tabell27" displayName="Tabell27" ref="B3:F18" totalsRowShown="0" headerRowDxfId="549" dataDxfId="547" headerRowBorderDxfId="548" tableBorderDxfId="546" totalsRowBorderDxfId="545" headerRowCellStyle="Normal 2">
  <autoFilter ref="B3:F18"/>
  <sortState ref="B4:F17">
    <sortCondition ref="E3:E17"/>
  </sortState>
  <tableColumns count="5">
    <tableColumn id="1" name="För" dataDxfId="544" dataCellStyle="Normal 2"/>
    <tableColumn id="2" name="Efter" dataDxfId="543" dataCellStyle="Normal 2"/>
    <tableColumn id="5" name="Summa" dataDxfId="542" dataCellStyle="Normal 2">
      <calculatedColumnFormula>Scoreboard!Z4</calculatedColumnFormula>
    </tableColumn>
    <tableColumn id="3" name="Plac" dataDxfId="541">
      <calculatedColumnFormula>Tabell8[[#This Row],[Plac]]</calculatedColumnFormula>
    </tableColumn>
    <tableColumn id="4" name="Att slå" dataDxfId="540"/>
  </tableColumns>
  <tableStyleInfo name="TableStyleDark1" showFirstColumn="0" showLastColumn="0" showRowStripes="1" showColumnStripes="0"/>
</table>
</file>

<file path=xl/tables/table22.xml><?xml version="1.0" encoding="utf-8"?>
<table xmlns="http://schemas.openxmlformats.org/spreadsheetml/2006/main" id="28" name="Tabell2729" displayName="Tabell2729" ref="H3:L18" totalsRowShown="0" headerRowDxfId="539" dataDxfId="537" headerRowBorderDxfId="538" tableBorderDxfId="536" totalsRowBorderDxfId="535" headerRowCellStyle="Normal 2">
  <autoFilter ref="H3:L18"/>
  <sortState ref="H4:L17">
    <sortCondition ref="K3:K17"/>
  </sortState>
  <tableColumns count="5">
    <tableColumn id="1" name="För" dataDxfId="534" dataCellStyle="Normal 2"/>
    <tableColumn id="2" name="Efter" dataDxfId="533" dataCellStyle="Normal 2"/>
    <tableColumn id="5" name="Summa" dataDxfId="532" dataCellStyle="Normal 2">
      <calculatedColumnFormula>Scoreboard!Z24</calculatedColumnFormula>
    </tableColumn>
    <tableColumn id="3" name="Plac" dataDxfId="531" dataCellStyle="Normal 2">
      <calculatedColumnFormula>RANK(J4,J4:J18,1)</calculatedColumnFormula>
    </tableColumn>
    <tableColumn id="4" name="Att slå" dataDxfId="530">
      <calculatedColumnFormula>SMALL(Scoreboard!P24:Y24,4)</calculatedColumnFormula>
    </tableColumn>
  </tableColumns>
  <tableStyleInfo name="TableStyleDark1" showFirstColumn="0" showLastColumn="0" showRowStripes="1" showColumnStripes="0"/>
</table>
</file>

<file path=xl/tables/table23.xml><?xml version="1.0" encoding="utf-8"?>
<table xmlns="http://schemas.openxmlformats.org/spreadsheetml/2006/main" id="68" name="Tabell272969" displayName="Tabell272969" ref="B22:F37" totalsRowShown="0" headerRowDxfId="529" dataDxfId="527" headerRowBorderDxfId="528" tableBorderDxfId="526" totalsRowBorderDxfId="525" headerRowCellStyle="Normal 2">
  <autoFilter ref="B22:F37"/>
  <sortState ref="B23:F36">
    <sortCondition ref="E3:E17"/>
  </sortState>
  <tableColumns count="5">
    <tableColumn id="1" name="För" dataDxfId="524" dataCellStyle="Normal 2"/>
    <tableColumn id="2" name="Efter" dataDxfId="523" dataCellStyle="Normal 2"/>
    <tableColumn id="5" name="Summa" dataDxfId="522" dataCellStyle="Normal 2">
      <calculatedColumnFormula>Scoreboard!T43</calculatedColumnFormula>
    </tableColumn>
    <tableColumn id="3" name="Plac" dataDxfId="521" dataCellStyle="Normal 2">
      <calculatedColumnFormula>RANK(D23,D23:D37,1)</calculatedColumnFormula>
    </tableColumn>
    <tableColumn id="4" name="Att slå" dataDxfId="520">
      <calculatedColumnFormula>SMALL(Scoreboard!J43:S43,4)</calculatedColumnFormula>
    </tableColumn>
  </tableColumns>
  <tableStyleInfo name="TableStyleDark1" showFirstColumn="0" showLastColumn="0" showRowStripes="1" showColumnStripes="0"/>
</table>
</file>

<file path=xl/tables/table24.xml><?xml version="1.0" encoding="utf-8"?>
<table xmlns="http://schemas.openxmlformats.org/spreadsheetml/2006/main" id="5" name="Tabell5" displayName="Tabell5" ref="B4:V19" totalsRowShown="0" headerRowDxfId="513" dataDxfId="511" headerRowBorderDxfId="512" tableBorderDxfId="510">
  <autoFilter ref="B4:V19"/>
  <tableColumns count="21">
    <tableColumn id="1" name="För" dataDxfId="509" dataCellStyle="Normal 2"/>
    <tableColumn id="2" name="Efter" dataDxfId="508" dataCellStyle="Normal 2"/>
    <tableColumn id="3" name="1" dataDxfId="507"/>
    <tableColumn id="4" name="2" dataDxfId="506"/>
    <tableColumn id="5" name="3" dataDxfId="505"/>
    <tableColumn id="6" name="4" dataDxfId="504"/>
    <tableColumn id="7" name="5" dataDxfId="503"/>
    <tableColumn id="8" name="6" dataDxfId="502"/>
    <tableColumn id="9" name="7" dataDxfId="501"/>
    <tableColumn id="10" name="8" dataDxfId="500"/>
    <tableColumn id="11" name="9" dataDxfId="499"/>
    <tableColumn id="12" name="10" dataDxfId="498"/>
    <tableColumn id="13" name="11" dataDxfId="497"/>
    <tableColumn id="14" name="12" dataDxfId="496"/>
    <tableColumn id="15" name="13" dataDxfId="495"/>
    <tableColumn id="16" name="14" dataDxfId="494"/>
    <tableColumn id="17" name="15" dataDxfId="493"/>
    <tableColumn id="18" name="16" dataDxfId="492"/>
    <tableColumn id="19" name="17" dataDxfId="491"/>
    <tableColumn id="20" name="18" dataDxfId="490"/>
    <tableColumn id="21" name="Tot" dataDxfId="489">
      <calculatedColumnFormula>SUM(D5:U5)</calculatedColumnFormula>
    </tableColumn>
  </tableColumns>
  <tableStyleInfo name="TableStyleDark7" showFirstColumn="0" showLastColumn="0" showRowStripes="1" showColumnStripes="0"/>
</table>
</file>

<file path=xl/tables/table25.xml><?xml version="1.0" encoding="utf-8"?>
<table xmlns="http://schemas.openxmlformats.org/spreadsheetml/2006/main" id="7" name="Tabell7" displayName="Tabell7" ref="B24:V34" totalsRowShown="0" headerRowDxfId="488" dataDxfId="486" headerRowBorderDxfId="487" tableBorderDxfId="485">
  <autoFilter ref="B24:V34"/>
  <tableColumns count="21">
    <tableColumn id="1" name="För" dataDxfId="484" dataCellStyle="Normal 2"/>
    <tableColumn id="2" name="Efter" dataDxfId="483" dataCellStyle="Normal 2"/>
    <tableColumn id="3" name="1" dataDxfId="482"/>
    <tableColumn id="4" name="2" dataDxfId="481"/>
    <tableColumn id="5" name="3" dataDxfId="480"/>
    <tableColumn id="6" name="4" dataDxfId="479"/>
    <tableColumn id="7" name="5" dataDxfId="478"/>
    <tableColumn id="8" name="6" dataDxfId="477"/>
    <tableColumn id="9" name="7" dataDxfId="476"/>
    <tableColumn id="10" name="8" dataDxfId="475"/>
    <tableColumn id="11" name="9" dataDxfId="474"/>
    <tableColumn id="12" name="10" dataDxfId="473"/>
    <tableColumn id="13" name="11" dataDxfId="472"/>
    <tableColumn id="14" name="12" dataDxfId="471"/>
    <tableColumn id="15" name="13" dataDxfId="470"/>
    <tableColumn id="16" name="14" dataDxfId="469"/>
    <tableColumn id="17" name="15" dataDxfId="468"/>
    <tableColumn id="18" name="16" dataDxfId="467"/>
    <tableColumn id="19" name="17" dataDxfId="466"/>
    <tableColumn id="20" name="18" dataDxfId="465"/>
    <tableColumn id="21" name="Tot" dataDxfId="464">
      <calculatedColumnFormula>SUM(D25:U25)</calculatedColumnFormula>
    </tableColumn>
  </tableColumns>
  <tableStyleInfo name="TableStyleDark3" showFirstColumn="0" showLastColumn="0" showRowStripes="1" showColumnStripes="0"/>
</table>
</file>

<file path=xl/tables/table26.xml><?xml version="1.0" encoding="utf-8"?>
<table xmlns="http://schemas.openxmlformats.org/spreadsheetml/2006/main" id="13" name="Tabell714" displayName="Tabell714" ref="B36:V46" totalsRowShown="0" headerRowDxfId="463" dataDxfId="461" headerRowBorderDxfId="462" tableBorderDxfId="460">
  <autoFilter ref="B36:V46"/>
  <tableColumns count="21">
    <tableColumn id="1" name="För" dataDxfId="459" dataCellStyle="Normal 2"/>
    <tableColumn id="2" name="Efter" dataDxfId="458" dataCellStyle="Normal 2"/>
    <tableColumn id="3" name="1" dataDxfId="457"/>
    <tableColumn id="4" name="2" dataDxfId="456"/>
    <tableColumn id="5" name="3" dataDxfId="455"/>
    <tableColumn id="6" name="4" dataDxfId="454"/>
    <tableColumn id="7" name="5" dataDxfId="453"/>
    <tableColumn id="8" name="6" dataDxfId="452"/>
    <tableColumn id="9" name="7" dataDxfId="451"/>
    <tableColumn id="10" name="8" dataDxfId="450"/>
    <tableColumn id="11" name="9" dataDxfId="449"/>
    <tableColumn id="12" name="10" dataDxfId="448"/>
    <tableColumn id="13" name="11" dataDxfId="447"/>
    <tableColumn id="14" name="12" dataDxfId="446"/>
    <tableColumn id="15" name="13" dataDxfId="445"/>
    <tableColumn id="16" name="14" dataDxfId="444"/>
    <tableColumn id="17" name="15" dataDxfId="443"/>
    <tableColumn id="18" name="16" dataDxfId="442"/>
    <tableColumn id="19" name="17" dataDxfId="441"/>
    <tableColumn id="20" name="18" dataDxfId="440"/>
    <tableColumn id="21" name="Tot" dataDxfId="439">
      <calculatedColumnFormula>SUM(D37:U37)</calculatedColumnFormula>
    </tableColumn>
  </tableColumns>
  <tableStyleInfo name="TableStyleDark3" showFirstColumn="0" showLastColumn="0" showRowStripes="1" showColumnStripes="0"/>
</table>
</file>

<file path=xl/tables/table27.xml><?xml version="1.0" encoding="utf-8"?>
<table xmlns="http://schemas.openxmlformats.org/spreadsheetml/2006/main" id="14" name="Tabell71415" displayName="Tabell71415" ref="B49:V59" totalsRowShown="0" headerRowDxfId="438" dataDxfId="436" headerRowBorderDxfId="437" tableBorderDxfId="435">
  <autoFilter ref="B49:V59"/>
  <tableColumns count="21">
    <tableColumn id="1" name="För" dataDxfId="434" dataCellStyle="Normal 2"/>
    <tableColumn id="2" name="Efter" dataDxfId="433" dataCellStyle="Normal 2"/>
    <tableColumn id="3" name="1" dataDxfId="432"/>
    <tableColumn id="4" name="2" dataDxfId="431"/>
    <tableColumn id="5" name="3" dataDxfId="430"/>
    <tableColumn id="6" name="4" dataDxfId="429"/>
    <tableColumn id="7" name="5" dataDxfId="428"/>
    <tableColumn id="8" name="6" dataDxfId="427"/>
    <tableColumn id="9" name="7" dataDxfId="426"/>
    <tableColumn id="10" name="8" dataDxfId="425"/>
    <tableColumn id="11" name="9" dataDxfId="424"/>
    <tableColumn id="12" name="10" dataDxfId="423"/>
    <tableColumn id="13" name="11" dataDxfId="422"/>
    <tableColumn id="14" name="12" dataDxfId="421"/>
    <tableColumn id="15" name="13" dataDxfId="420"/>
    <tableColumn id="16" name="14" dataDxfId="419"/>
    <tableColumn id="17" name="15" dataDxfId="418"/>
    <tableColumn id="18" name="16" dataDxfId="417"/>
    <tableColumn id="19" name="17" dataDxfId="416"/>
    <tableColumn id="20" name="18" dataDxfId="415"/>
    <tableColumn id="21" name="Tot" dataDxfId="414">
      <calculatedColumnFormula>SUM(D50:U50)</calculatedColumnFormula>
    </tableColumn>
  </tableColumns>
  <tableStyleInfo name="TableStyleDark3" showFirstColumn="0" showLastColumn="0" showRowStripes="1" showColumnStripes="0"/>
</table>
</file>

<file path=xl/tables/table28.xml><?xml version="1.0" encoding="utf-8"?>
<table xmlns="http://schemas.openxmlformats.org/spreadsheetml/2006/main" id="19" name="Tabell7141520" displayName="Tabell7141520" ref="B61:V71" totalsRowShown="0" headerRowDxfId="413" dataDxfId="411" headerRowBorderDxfId="412" tableBorderDxfId="410">
  <autoFilter ref="B61:V71"/>
  <tableColumns count="21">
    <tableColumn id="1" name="För" dataDxfId="409" dataCellStyle="Normal 2"/>
    <tableColumn id="2" name="Efter" dataDxfId="408" dataCellStyle="Normal 2"/>
    <tableColumn id="3" name="1" dataDxfId="407"/>
    <tableColumn id="4" name="2" dataDxfId="406"/>
    <tableColumn id="5" name="3" dataDxfId="405"/>
    <tableColumn id="6" name="4" dataDxfId="404"/>
    <tableColumn id="7" name="5" dataDxfId="403"/>
    <tableColumn id="8" name="6" dataDxfId="402"/>
    <tableColumn id="9" name="7" dataDxfId="401"/>
    <tableColumn id="10" name="8" dataDxfId="400"/>
    <tableColumn id="11" name="9" dataDxfId="399"/>
    <tableColumn id="12" name="10" dataDxfId="398"/>
    <tableColumn id="13" name="11" dataDxfId="397"/>
    <tableColumn id="14" name="12" dataDxfId="396"/>
    <tableColumn id="15" name="13" dataDxfId="395"/>
    <tableColumn id="16" name="14" dataDxfId="394"/>
    <tableColumn id="17" name="15" dataDxfId="393"/>
    <tableColumn id="18" name="16" dataDxfId="392"/>
    <tableColumn id="19" name="17" dataDxfId="391"/>
    <tableColumn id="20" name="18" dataDxfId="390"/>
    <tableColumn id="21" name="Tot" dataDxfId="389">
      <calculatedColumnFormula>SUM(D62:U62)</calculatedColumnFormula>
    </tableColumn>
  </tableColumns>
  <tableStyleInfo name="TableStyleDark3" showFirstColumn="0" showLastColumn="0" showRowStripes="1" showColumnStripes="0"/>
</table>
</file>

<file path=xl/tables/table29.xml><?xml version="1.0" encoding="utf-8"?>
<table xmlns="http://schemas.openxmlformats.org/spreadsheetml/2006/main" id="20" name="Tabell714152021" displayName="Tabell714152021" ref="B73:V83" totalsRowShown="0" headerRowDxfId="388" dataDxfId="386" headerRowBorderDxfId="387" tableBorderDxfId="385">
  <autoFilter ref="B73:V83"/>
  <tableColumns count="21">
    <tableColumn id="1" name="För" dataDxfId="384" dataCellStyle="Normal 2"/>
    <tableColumn id="2" name="Efter" dataDxfId="383" dataCellStyle="Normal 2"/>
    <tableColumn id="3" name="1" dataDxfId="382"/>
    <tableColumn id="4" name="2" dataDxfId="381"/>
    <tableColumn id="5" name="3" dataDxfId="380"/>
    <tableColumn id="6" name="4" dataDxfId="379"/>
    <tableColumn id="7" name="5" dataDxfId="378"/>
    <tableColumn id="8" name="6" dataDxfId="377"/>
    <tableColumn id="9" name="7" dataDxfId="376"/>
    <tableColumn id="10" name="8" dataDxfId="375"/>
    <tableColumn id="11" name="9" dataDxfId="374"/>
    <tableColumn id="12" name="10" dataDxfId="373"/>
    <tableColumn id="13" name="11" dataDxfId="372"/>
    <tableColumn id="14" name="12" dataDxfId="371"/>
    <tableColumn id="15" name="13" dataDxfId="370"/>
    <tableColumn id="16" name="14" dataDxfId="369"/>
    <tableColumn id="17" name="15" dataDxfId="368"/>
    <tableColumn id="18" name="16" dataDxfId="367"/>
    <tableColumn id="19" name="17" dataDxfId="366"/>
    <tableColumn id="20" name="18" dataDxfId="365"/>
    <tableColumn id="21" name="Tot" dataDxfId="364">
      <calculatedColumnFormula>SUM(D74:U74)</calculatedColumnFormula>
    </tableColumn>
  </tableColumns>
  <tableStyleInfo name="TableStyleDark3" showFirstColumn="0" showLastColumn="0" showRowStripes="1" showColumnStripes="0"/>
</table>
</file>

<file path=xl/tables/table3.xml><?xml version="1.0" encoding="utf-8"?>
<table xmlns="http://schemas.openxmlformats.org/spreadsheetml/2006/main" id="6" name="Tabell6" displayName="Tabell6" ref="P23:Z39" totalsRowShown="0" headerRowDxfId="690" dataDxfId="689" tableBorderDxfId="688">
  <autoFilter ref="P23:Z39"/>
  <tableColumns count="11">
    <tableColumn id="1" name="1" dataDxfId="687"/>
    <tableColumn id="2" name="2" dataDxfId="686"/>
    <tableColumn id="3" name="3" dataDxfId="685"/>
    <tableColumn id="4" name="4" dataDxfId="684"/>
    <tableColumn id="5" name="5" dataDxfId="683"/>
    <tableColumn id="6" name="6" dataDxfId="682"/>
    <tableColumn id="7" name="7" dataDxfId="681"/>
    <tableColumn id="8" name="8" dataDxfId="680"/>
    <tableColumn id="11" name="9" dataDxfId="679"/>
    <tableColumn id="9" name="10" dataDxfId="678"/>
    <tableColumn id="10" name="Sum" dataDxfId="677">
      <calculatedColumnFormula>SMALL(P24:Y24,1)+SMALL(P24:Y24,2)+SMALL(P24:Y24,3)+SMALL(P24:Y24,4)</calculatedColumnFormula>
    </tableColumn>
  </tableColumns>
  <tableStyleInfo name="TableStyleDark7" showFirstColumn="0" showLastColumn="0" showRowStripes="1" showColumnStripes="0"/>
</table>
</file>

<file path=xl/tables/table30.xml><?xml version="1.0" encoding="utf-8"?>
<table xmlns="http://schemas.openxmlformats.org/spreadsheetml/2006/main" id="33" name="Tabell71415202134" displayName="Tabell71415202134" ref="B85:V95" totalsRowShown="0" headerRowDxfId="363" dataDxfId="361" headerRowBorderDxfId="362" tableBorderDxfId="360">
  <autoFilter ref="B85:V95"/>
  <tableColumns count="21">
    <tableColumn id="1" name="För" dataDxfId="359" dataCellStyle="Normal 2"/>
    <tableColumn id="2" name="Efter" dataDxfId="358" dataCellStyle="Normal 2"/>
    <tableColumn id="3" name="1" dataDxfId="357"/>
    <tableColumn id="4" name="2" dataDxfId="356"/>
    <tableColumn id="5" name="3" dataDxfId="355"/>
    <tableColumn id="6" name="4" dataDxfId="354"/>
    <tableColumn id="7" name="5" dataDxfId="353"/>
    <tableColumn id="8" name="6" dataDxfId="352"/>
    <tableColumn id="9" name="7" dataDxfId="351"/>
    <tableColumn id="10" name="8" dataDxfId="350"/>
    <tableColumn id="11" name="9" dataDxfId="349"/>
    <tableColumn id="12" name="10" dataDxfId="348"/>
    <tableColumn id="13" name="11" dataDxfId="347"/>
    <tableColumn id="14" name="12" dataDxfId="346"/>
    <tableColumn id="15" name="13" dataDxfId="345"/>
    <tableColumn id="16" name="14" dataDxfId="344"/>
    <tableColumn id="17" name="15" dataDxfId="343"/>
    <tableColumn id="18" name="16" dataDxfId="342"/>
    <tableColumn id="19" name="17" dataDxfId="341"/>
    <tableColumn id="20" name="18" dataDxfId="340"/>
    <tableColumn id="21" name="Tot" dataDxfId="339">
      <calculatedColumnFormula>SUM(D86:U86)</calculatedColumnFormula>
    </tableColumn>
  </tableColumns>
  <tableStyleInfo name="TableStyleDark3" showFirstColumn="0" showLastColumn="0" showRowStripes="1" showColumnStripes="0"/>
</table>
</file>

<file path=xl/tables/table31.xml><?xml version="1.0" encoding="utf-8"?>
<table xmlns="http://schemas.openxmlformats.org/spreadsheetml/2006/main" id="34" name="Tabell7141520213435" displayName="Tabell7141520213435" ref="B97:V107" totalsRowShown="0" headerRowDxfId="338" dataDxfId="336" headerRowBorderDxfId="337" tableBorderDxfId="335">
  <autoFilter ref="B97:V107"/>
  <tableColumns count="21">
    <tableColumn id="1" name="För" dataDxfId="334" dataCellStyle="Normal 2"/>
    <tableColumn id="2" name="Efter" dataDxfId="333" dataCellStyle="Normal 2"/>
    <tableColumn id="3" name="1" dataDxfId="332"/>
    <tableColumn id="4" name="2" dataDxfId="331"/>
    <tableColumn id="5" name="3" dataDxfId="330"/>
    <tableColumn id="6" name="4" dataDxfId="329"/>
    <tableColumn id="7" name="5" dataDxfId="328"/>
    <tableColumn id="8" name="6" dataDxfId="327"/>
    <tableColumn id="9" name="7" dataDxfId="326"/>
    <tableColumn id="10" name="8" dataDxfId="325"/>
    <tableColumn id="11" name="9" dataDxfId="324"/>
    <tableColumn id="12" name="10" dataDxfId="323"/>
    <tableColumn id="13" name="11" dataDxfId="322"/>
    <tableColumn id="14" name="12" dataDxfId="321"/>
    <tableColumn id="15" name="13" dataDxfId="320"/>
    <tableColumn id="16" name="14" dataDxfId="319"/>
    <tableColumn id="17" name="15" dataDxfId="318"/>
    <tableColumn id="18" name="16" dataDxfId="317"/>
    <tableColumn id="19" name="17" dataDxfId="316"/>
    <tableColumn id="20" name="18" dataDxfId="315"/>
    <tableColumn id="21" name="Tot" dataDxfId="314">
      <calculatedColumnFormula>SUM(D98:U98)</calculatedColumnFormula>
    </tableColumn>
  </tableColumns>
  <tableStyleInfo name="TableStyleDark3" showFirstColumn="0" showLastColumn="0" showRowStripes="1" showColumnStripes="0"/>
</table>
</file>

<file path=xl/tables/table32.xml><?xml version="1.0" encoding="utf-8"?>
<table xmlns="http://schemas.openxmlformats.org/spreadsheetml/2006/main" id="35" name="Tabell714152021343536" displayName="Tabell714152021343536" ref="B109:V119" totalsRowShown="0" headerRowDxfId="313" dataDxfId="311" headerRowBorderDxfId="312" tableBorderDxfId="310">
  <autoFilter ref="B109:V119"/>
  <tableColumns count="21">
    <tableColumn id="1" name="För" dataDxfId="309" dataCellStyle="Normal 2"/>
    <tableColumn id="2" name="Efter" dataDxfId="308" dataCellStyle="Normal 2"/>
    <tableColumn id="3" name="1" dataDxfId="307"/>
    <tableColumn id="4" name="2" dataDxfId="306"/>
    <tableColumn id="5" name="3" dataDxfId="305"/>
    <tableColumn id="6" name="4" dataDxfId="304"/>
    <tableColumn id="7" name="5" dataDxfId="303"/>
    <tableColumn id="8" name="6" dataDxfId="302"/>
    <tableColumn id="9" name="7" dataDxfId="301"/>
    <tableColumn id="10" name="8" dataDxfId="300"/>
    <tableColumn id="11" name="9" dataDxfId="299"/>
    <tableColumn id="12" name="10" dataDxfId="298"/>
    <tableColumn id="13" name="11" dataDxfId="297"/>
    <tableColumn id="14" name="12" dataDxfId="296"/>
    <tableColumn id="15" name="13" dataDxfId="295"/>
    <tableColumn id="16" name="14" dataDxfId="294"/>
    <tableColumn id="17" name="15" dataDxfId="293"/>
    <tableColumn id="18" name="16" dataDxfId="292"/>
    <tableColumn id="19" name="17" dataDxfId="291"/>
    <tableColumn id="20" name="18" dataDxfId="290"/>
    <tableColumn id="21" name="Tot" dataDxfId="289">
      <calculatedColumnFormula>SUM(D110:U110)</calculatedColumnFormula>
    </tableColumn>
  </tableColumns>
  <tableStyleInfo name="TableStyleDark3" showFirstColumn="0" showLastColumn="0" showRowStripes="1" showColumnStripes="0"/>
</table>
</file>

<file path=xl/tables/table33.xml><?xml version="1.0" encoding="utf-8"?>
<table xmlns="http://schemas.openxmlformats.org/spreadsheetml/2006/main" id="36" name="Tabell71415202134353637" displayName="Tabell71415202134353637" ref="B121:V131" totalsRowShown="0" headerRowDxfId="288" dataDxfId="286" headerRowBorderDxfId="287" tableBorderDxfId="285">
  <autoFilter ref="B121:V131"/>
  <tableColumns count="21">
    <tableColumn id="1" name="För" dataDxfId="284" dataCellStyle="Normal 2"/>
    <tableColumn id="2" name="Efter" dataDxfId="283" dataCellStyle="Normal 2"/>
    <tableColumn id="3" name="1" dataDxfId="282"/>
    <tableColumn id="4" name="2" dataDxfId="281"/>
    <tableColumn id="5" name="3" dataDxfId="280"/>
    <tableColumn id="6" name="4" dataDxfId="279"/>
    <tableColumn id="7" name="5" dataDxfId="278"/>
    <tableColumn id="8" name="6" dataDxfId="277"/>
    <tableColumn id="9" name="7" dataDxfId="276"/>
    <tableColumn id="10" name="8" dataDxfId="275"/>
    <tableColumn id="11" name="9" dataDxfId="274"/>
    <tableColumn id="12" name="10" dataDxfId="273"/>
    <tableColumn id="13" name="11" dataDxfId="272"/>
    <tableColumn id="14" name="12" dataDxfId="271"/>
    <tableColumn id="15" name="13" dataDxfId="270"/>
    <tableColumn id="16" name="14" dataDxfId="269"/>
    <tableColumn id="17" name="15" dataDxfId="268"/>
    <tableColumn id="18" name="16" dataDxfId="267"/>
    <tableColumn id="19" name="17" dataDxfId="266"/>
    <tableColumn id="20" name="18" dataDxfId="265"/>
    <tableColumn id="21" name="Tot" dataDxfId="264">
      <calculatedColumnFormula>SUM(D122:U122)</calculatedColumnFormula>
    </tableColumn>
  </tableColumns>
  <tableStyleInfo name="TableStyleDark3" showFirstColumn="0" showLastColumn="0" showRowStripes="1" showColumnStripes="0"/>
</table>
</file>

<file path=xl/tables/table34.xml><?xml version="1.0" encoding="utf-8"?>
<table xmlns="http://schemas.openxmlformats.org/spreadsheetml/2006/main" id="37" name="Tabell7141520213435363738" displayName="Tabell7141520213435363738" ref="B133:V143" totalsRowShown="0" headerRowDxfId="263" dataDxfId="261" headerRowBorderDxfId="262" tableBorderDxfId="260">
  <autoFilter ref="B133:V143"/>
  <tableColumns count="21">
    <tableColumn id="1" name="För" dataDxfId="259" dataCellStyle="Normal 2"/>
    <tableColumn id="2" name="Efter" dataDxfId="258" dataCellStyle="Normal 2"/>
    <tableColumn id="3" name="1" dataDxfId="257"/>
    <tableColumn id="4" name="2" dataDxfId="256"/>
    <tableColumn id="5" name="3" dataDxfId="255"/>
    <tableColumn id="6" name="4" dataDxfId="254"/>
    <tableColumn id="7" name="5" dataDxfId="253"/>
    <tableColumn id="8" name="6" dataDxfId="252"/>
    <tableColumn id="9" name="7" dataDxfId="251"/>
    <tableColumn id="10" name="8" dataDxfId="250"/>
    <tableColumn id="11" name="9" dataDxfId="249"/>
    <tableColumn id="12" name="10" dataDxfId="248"/>
    <tableColumn id="13" name="11" dataDxfId="247"/>
    <tableColumn id="14" name="12" dataDxfId="246"/>
    <tableColumn id="15" name="13" dataDxfId="245"/>
    <tableColumn id="16" name="14" dataDxfId="244"/>
    <tableColumn id="17" name="15" dataDxfId="243"/>
    <tableColumn id="18" name="16" dataDxfId="242"/>
    <tableColumn id="19" name="17" dataDxfId="241"/>
    <tableColumn id="20" name="18" dataDxfId="240"/>
    <tableColumn id="21" name="Tot" dataDxfId="239">
      <calculatedColumnFormula>SUM(D134:U134)</calculatedColumnFormula>
    </tableColumn>
  </tableColumns>
  <tableStyleInfo name="TableStyleDark3" showFirstColumn="0" showLastColumn="0" showRowStripes="1" showColumnStripes="0"/>
</table>
</file>

<file path=xl/tables/table35.xml><?xml version="1.0" encoding="utf-8"?>
<table xmlns="http://schemas.openxmlformats.org/spreadsheetml/2006/main" id="38" name="Tabell714152021343536373839" displayName="Tabell714152021343536373839" ref="B145:V155" totalsRowShown="0" headerRowDxfId="238" dataDxfId="236" headerRowBorderDxfId="237" tableBorderDxfId="235">
  <autoFilter ref="B145:V155"/>
  <tableColumns count="21">
    <tableColumn id="1" name="För" dataDxfId="234" dataCellStyle="Normal 2"/>
    <tableColumn id="2" name="Efter" dataDxfId="233" dataCellStyle="Normal 2"/>
    <tableColumn id="3" name="1" dataDxfId="232"/>
    <tableColumn id="4" name="2" dataDxfId="231"/>
    <tableColumn id="5" name="3" dataDxfId="230"/>
    <tableColumn id="6" name="4" dataDxfId="229"/>
    <tableColumn id="7" name="5" dataDxfId="228"/>
    <tableColumn id="8" name="6" dataDxfId="227"/>
    <tableColumn id="9" name="7" dataDxfId="226"/>
    <tableColumn id="10" name="8" dataDxfId="225"/>
    <tableColumn id="11" name="9" dataDxfId="224"/>
    <tableColumn id="12" name="10" dataDxfId="223"/>
    <tableColumn id="13" name="11" dataDxfId="222"/>
    <tableColumn id="14" name="12" dataDxfId="221"/>
    <tableColumn id="15" name="13" dataDxfId="220"/>
    <tableColumn id="16" name="14" dataDxfId="219"/>
    <tableColumn id="17" name="15" dataDxfId="218"/>
    <tableColumn id="18" name="16" dataDxfId="217"/>
    <tableColumn id="19" name="17" dataDxfId="216"/>
    <tableColumn id="20" name="18" dataDxfId="215"/>
    <tableColumn id="21" name="Tot" dataDxfId="214">
      <calculatedColumnFormula>SUM(D146:U146)-0</calculatedColumnFormula>
    </tableColumn>
  </tableColumns>
  <tableStyleInfo name="TableStyleDark3" showFirstColumn="0" showLastColumn="0" showRowStripes="1" showColumnStripes="0"/>
</table>
</file>

<file path=xl/tables/table36.xml><?xml version="1.0" encoding="utf-8"?>
<table xmlns="http://schemas.openxmlformats.org/spreadsheetml/2006/main" id="39" name="Tabell71415202134353637383940" displayName="Tabell71415202134353637383940" ref="B157:V167" totalsRowShown="0" headerRowDxfId="213" dataDxfId="211" headerRowBorderDxfId="212" tableBorderDxfId="210">
  <autoFilter ref="B157:V167"/>
  <tableColumns count="21">
    <tableColumn id="1" name="För" dataDxfId="209" dataCellStyle="Normal 2"/>
    <tableColumn id="2" name="Efter" dataDxfId="208" dataCellStyle="Normal 2"/>
    <tableColumn id="3" name="1" dataDxfId="207"/>
    <tableColumn id="4" name="2" dataDxfId="206"/>
    <tableColumn id="5" name="3" dataDxfId="205"/>
    <tableColumn id="6" name="4" dataDxfId="204"/>
    <tableColumn id="7" name="5" dataDxfId="203"/>
    <tableColumn id="8" name="6" dataDxfId="202"/>
    <tableColumn id="9" name="7" dataDxfId="201"/>
    <tableColumn id="10" name="8" dataDxfId="200"/>
    <tableColumn id="11" name="9" dataDxfId="199"/>
    <tableColumn id="12" name="10" dataDxfId="198"/>
    <tableColumn id="13" name="11" dataDxfId="197"/>
    <tableColumn id="14" name="12" dataDxfId="196"/>
    <tableColumn id="15" name="13" dataDxfId="195"/>
    <tableColumn id="16" name="14" dataDxfId="194"/>
    <tableColumn id="17" name="15" dataDxfId="193"/>
    <tableColumn id="18" name="16" dataDxfId="192"/>
    <tableColumn id="19" name="17" dataDxfId="191"/>
    <tableColumn id="20" name="18" dataDxfId="190"/>
    <tableColumn id="21" name="Tot" dataDxfId="189">
      <calculatedColumnFormula>SUM(D158:U158)</calculatedColumnFormula>
    </tableColumn>
  </tableColumns>
  <tableStyleInfo name="TableStyleDark3" showFirstColumn="0" showLastColumn="0" showRowStripes="1" showColumnStripes="0"/>
</table>
</file>

<file path=xl/tables/table37.xml><?xml version="1.0" encoding="utf-8"?>
<table xmlns="http://schemas.openxmlformats.org/spreadsheetml/2006/main" id="40" name="Tabell7141520213435363738394041" displayName="Tabell7141520213435363738394041" ref="B169:V179" totalsRowShown="0" headerRowDxfId="188" dataDxfId="186" headerRowBorderDxfId="187" tableBorderDxfId="185">
  <autoFilter ref="B169:V179"/>
  <tableColumns count="21">
    <tableColumn id="1" name="För" dataDxfId="184" dataCellStyle="Normal 2"/>
    <tableColumn id="2" name="Efter" dataDxfId="183" dataCellStyle="Normal 2"/>
    <tableColumn id="3" name="1" dataDxfId="182"/>
    <tableColumn id="4" name="2" dataDxfId="181"/>
    <tableColumn id="5" name="3" dataDxfId="180"/>
    <tableColumn id="6" name="4" dataDxfId="179"/>
    <tableColumn id="7" name="5" dataDxfId="178"/>
    <tableColumn id="8" name="6" dataDxfId="177"/>
    <tableColumn id="9" name="7" dataDxfId="176"/>
    <tableColumn id="10" name="8" dataDxfId="175"/>
    <tableColumn id="11" name="9" dataDxfId="174"/>
    <tableColumn id="12" name="10" dataDxfId="173"/>
    <tableColumn id="13" name="11" dataDxfId="172"/>
    <tableColumn id="14" name="12" dataDxfId="171"/>
    <tableColumn id="15" name="13" dataDxfId="170"/>
    <tableColumn id="16" name="14" dataDxfId="169"/>
    <tableColumn id="17" name="15" dataDxfId="168"/>
    <tableColumn id="18" name="16" dataDxfId="167"/>
    <tableColumn id="19" name="17" dataDxfId="166"/>
    <tableColumn id="20" name="18" dataDxfId="165"/>
    <tableColumn id="21" name="Tot" dataDxfId="164">
      <calculatedColumnFormula>SUM(D170:U170)</calculatedColumnFormula>
    </tableColumn>
  </tableColumns>
  <tableStyleInfo name="TableStyleDark3" showFirstColumn="0" showLastColumn="0" showRowStripes="1" showColumnStripes="0"/>
</table>
</file>

<file path=xl/tables/table38.xml><?xml version="1.0" encoding="utf-8"?>
<table xmlns="http://schemas.openxmlformats.org/spreadsheetml/2006/main" id="41" name="Tabell714152021343536373839404142" displayName="Tabell714152021343536373839404142" ref="B181:V191" totalsRowShown="0" headerRowDxfId="163" dataDxfId="161" headerRowBorderDxfId="162" tableBorderDxfId="160">
  <autoFilter ref="B181:V191"/>
  <tableColumns count="21">
    <tableColumn id="1" name="För" dataDxfId="159" dataCellStyle="Normal 2"/>
    <tableColumn id="2" name="Efter" dataDxfId="158" dataCellStyle="Normal 2"/>
    <tableColumn id="3" name="1" dataDxfId="157"/>
    <tableColumn id="4" name="2" dataDxfId="156"/>
    <tableColumn id="5" name="3" dataDxfId="155"/>
    <tableColumn id="6" name="4" dataDxfId="154"/>
    <tableColumn id="7" name="5" dataDxfId="153"/>
    <tableColumn id="8" name="6" dataDxfId="152"/>
    <tableColumn id="9" name="7" dataDxfId="151"/>
    <tableColumn id="10" name="8" dataDxfId="150"/>
    <tableColumn id="11" name="9" dataDxfId="149"/>
    <tableColumn id="12" name="10" dataDxfId="148"/>
    <tableColumn id="13" name="11" dataDxfId="147"/>
    <tableColumn id="14" name="12" dataDxfId="146"/>
    <tableColumn id="15" name="13" dataDxfId="145"/>
    <tableColumn id="16" name="14" dataDxfId="144"/>
    <tableColumn id="17" name="15" dataDxfId="143"/>
    <tableColumn id="18" name="16" dataDxfId="142"/>
    <tableColumn id="19" name="17" dataDxfId="141"/>
    <tableColumn id="20" name="18" dataDxfId="140"/>
    <tableColumn id="21" name="Tot" dataDxfId="139">
      <calculatedColumnFormula>SUM(D182:U182)</calculatedColumnFormula>
    </tableColumn>
  </tableColumns>
  <tableStyleInfo name="TableStyleDark3" showFirstColumn="0" showLastColumn="0" showRowStripes="1" showColumnStripes="0"/>
</table>
</file>

<file path=xl/tables/table39.xml><?xml version="1.0" encoding="utf-8"?>
<table xmlns="http://schemas.openxmlformats.org/spreadsheetml/2006/main" id="42" name="Tabell42" displayName="Tabell42" ref="X4:X19" totalsRowShown="0" headerRowDxfId="138" dataDxfId="136" headerRowBorderDxfId="137" tableBorderDxfId="135" totalsRowBorderDxfId="134">
  <autoFilter ref="X4:X19"/>
  <tableColumns count="1">
    <tableColumn id="1" name="Score" dataDxfId="133">
      <calculatedColumnFormula>72-Tabell5[[#This Row],[Tot]]</calculatedColumnFormula>
    </tableColumn>
  </tableColumns>
  <tableStyleInfo name="TableStyleDark7" showFirstColumn="0" showLastColumn="0" showRowStripes="1" showColumnStripes="0"/>
</table>
</file>

<file path=xl/tables/table4.xml><?xml version="1.0" encoding="utf-8"?>
<table xmlns="http://schemas.openxmlformats.org/spreadsheetml/2006/main" id="8" name="Tabell8" displayName="Tabell8" ref="AA3:AA18" totalsRowShown="0" headerRowDxfId="676" dataDxfId="674" headerRowBorderDxfId="675" tableBorderDxfId="673">
  <autoFilter ref="AA3:AA18"/>
  <tableColumns count="1">
    <tableColumn id="1" name="Plac" dataDxfId="672"/>
  </tableColumns>
  <tableStyleInfo name="TableStyleDark4" showFirstColumn="0" showLastColumn="0" showRowStripes="1" showColumnStripes="0"/>
</table>
</file>

<file path=xl/tables/table40.xml><?xml version="1.0" encoding="utf-8"?>
<table xmlns="http://schemas.openxmlformats.org/spreadsheetml/2006/main" id="43" name="Tabell43" displayName="Tabell43" ref="X24:X34" totalsRowShown="0" headerRowDxfId="132" dataDxfId="130" headerRowBorderDxfId="131" tableBorderDxfId="129" totalsRowBorderDxfId="128">
  <autoFilter ref="X24:X34"/>
  <tableColumns count="1">
    <tableColumn id="1" name="Score" dataDxfId="127">
      <calculatedColumnFormula>70+Tabell7[[#This Row],[Tot]]</calculatedColumnFormula>
    </tableColumn>
  </tableColumns>
  <tableStyleInfo name="TableStyleDark3" showFirstColumn="0" showLastColumn="0" showRowStripes="1" showColumnStripes="0"/>
</table>
</file>

<file path=xl/tables/table41.xml><?xml version="1.0" encoding="utf-8"?>
<table xmlns="http://schemas.openxmlformats.org/spreadsheetml/2006/main" id="44" name="Tabell4345" displayName="Tabell4345" ref="X36:X46" totalsRowShown="0" headerRowDxfId="126" dataDxfId="124" headerRowBorderDxfId="125" tableBorderDxfId="123" totalsRowBorderDxfId="122">
  <autoFilter ref="X36:X46"/>
  <tableColumns count="1">
    <tableColumn id="1" name="Score" dataDxfId="121">
      <calculatedColumnFormula>70+Tabell714[[#This Row],[Tot]]</calculatedColumnFormula>
    </tableColumn>
  </tableColumns>
  <tableStyleInfo name="TableStyleDark3" showFirstColumn="0" showLastColumn="0" showRowStripes="1" showColumnStripes="0"/>
</table>
</file>

<file path=xl/tables/table42.xml><?xml version="1.0" encoding="utf-8"?>
<table xmlns="http://schemas.openxmlformats.org/spreadsheetml/2006/main" id="46" name="Tabell43454647" displayName="Tabell43454647" ref="X61:X71" totalsRowShown="0" headerRowDxfId="120" dataDxfId="118" headerRowBorderDxfId="119" tableBorderDxfId="117" totalsRowBorderDxfId="116">
  <autoFilter ref="X61:X71"/>
  <tableColumns count="1">
    <tableColumn id="1" name="Score" dataDxfId="115"/>
  </tableColumns>
  <tableStyleInfo name="TableStyleDark3" showFirstColumn="0" showLastColumn="0" showRowStripes="1" showColumnStripes="0"/>
</table>
</file>

<file path=xl/tables/table43.xml><?xml version="1.0" encoding="utf-8"?>
<table xmlns="http://schemas.openxmlformats.org/spreadsheetml/2006/main" id="47" name="Tabell43454648" displayName="Tabell43454648" ref="X73:X83" totalsRowShown="0" headerRowDxfId="114" dataDxfId="112" headerRowBorderDxfId="113" tableBorderDxfId="111" totalsRowBorderDxfId="110">
  <autoFilter ref="X73:X83"/>
  <tableColumns count="1">
    <tableColumn id="1" name="Score" dataDxfId="109"/>
  </tableColumns>
  <tableStyleInfo name="TableStyleDark3" showFirstColumn="0" showLastColumn="0" showRowStripes="1" showColumnStripes="0"/>
</table>
</file>

<file path=xl/tables/table44.xml><?xml version="1.0" encoding="utf-8"?>
<table xmlns="http://schemas.openxmlformats.org/spreadsheetml/2006/main" id="48" name="Tabell43454649" displayName="Tabell43454649" ref="X85:X95" totalsRowShown="0" headerRowDxfId="108" dataDxfId="106" headerRowBorderDxfId="107" tableBorderDxfId="105" totalsRowBorderDxfId="104">
  <autoFilter ref="X85:X95"/>
  <tableColumns count="1">
    <tableColumn id="1" name="Score" dataDxfId="103"/>
  </tableColumns>
  <tableStyleInfo name="TableStyleDark3" showFirstColumn="0" showLastColumn="0" showRowStripes="1" showColumnStripes="0"/>
</table>
</file>

<file path=xl/tables/table45.xml><?xml version="1.0" encoding="utf-8"?>
<table xmlns="http://schemas.openxmlformats.org/spreadsheetml/2006/main" id="49" name="Tabell43454650" displayName="Tabell43454650" ref="X97:X107" totalsRowShown="0" headerRowDxfId="102" dataDxfId="100" headerRowBorderDxfId="101" tableBorderDxfId="99" totalsRowBorderDxfId="98">
  <autoFilter ref="X97:X107"/>
  <tableColumns count="1">
    <tableColumn id="1" name="Score" dataDxfId="97"/>
  </tableColumns>
  <tableStyleInfo name="TableStyleDark3" showFirstColumn="0" showLastColumn="0" showRowStripes="1" showColumnStripes="0"/>
</table>
</file>

<file path=xl/tables/table46.xml><?xml version="1.0" encoding="utf-8"?>
<table xmlns="http://schemas.openxmlformats.org/spreadsheetml/2006/main" id="50" name="Tabell43454651" displayName="Tabell43454651" ref="X109:X119" totalsRowShown="0" headerRowDxfId="96" dataDxfId="94" headerRowBorderDxfId="95" tableBorderDxfId="93" totalsRowBorderDxfId="92">
  <autoFilter ref="X109:X119"/>
  <tableColumns count="1">
    <tableColumn id="1" name="Score" dataDxfId="91"/>
  </tableColumns>
  <tableStyleInfo name="TableStyleDark3" showFirstColumn="0" showLastColumn="0" showRowStripes="1" showColumnStripes="0"/>
</table>
</file>

<file path=xl/tables/table47.xml><?xml version="1.0" encoding="utf-8"?>
<table xmlns="http://schemas.openxmlformats.org/spreadsheetml/2006/main" id="51" name="Tabell43454652" displayName="Tabell43454652" ref="X121:X131" totalsRowShown="0" headerRowDxfId="90" dataDxfId="88" headerRowBorderDxfId="89" tableBorderDxfId="87" totalsRowBorderDxfId="86">
  <autoFilter ref="X121:X131"/>
  <tableColumns count="1">
    <tableColumn id="1" name="Score" dataDxfId="85">
      <calculatedColumnFormula>71+V122</calculatedColumnFormula>
    </tableColumn>
  </tableColumns>
  <tableStyleInfo name="TableStyleDark3" showFirstColumn="0" showLastColumn="0" showRowStripes="1" showColumnStripes="0"/>
</table>
</file>

<file path=xl/tables/table48.xml><?xml version="1.0" encoding="utf-8"?>
<table xmlns="http://schemas.openxmlformats.org/spreadsheetml/2006/main" id="52" name="Tabell43454653" displayName="Tabell43454653" ref="X133:X143" totalsRowShown="0" headerRowDxfId="84" dataDxfId="82" headerRowBorderDxfId="83" tableBorderDxfId="81" totalsRowBorderDxfId="80">
  <autoFilter ref="X133:X143"/>
  <tableColumns count="1">
    <tableColumn id="1" name="Score" dataDxfId="79">
      <calculatedColumnFormula>70+V134</calculatedColumnFormula>
    </tableColumn>
  </tableColumns>
  <tableStyleInfo name="TableStyleDark3" showFirstColumn="0" showLastColumn="0" showRowStripes="1" showColumnStripes="0"/>
</table>
</file>

<file path=xl/tables/table49.xml><?xml version="1.0" encoding="utf-8"?>
<table xmlns="http://schemas.openxmlformats.org/spreadsheetml/2006/main" id="53" name="Tabell43454654" displayName="Tabell43454654" ref="X145:X155" totalsRowShown="0" headerRowDxfId="78" dataDxfId="76" headerRowBorderDxfId="77" tableBorderDxfId="75" totalsRowBorderDxfId="74">
  <autoFilter ref="X145:X155"/>
  <tableColumns count="1">
    <tableColumn id="1" name="Score" dataDxfId="73"/>
  </tableColumns>
  <tableStyleInfo name="TableStyleDark3" showFirstColumn="0" showLastColumn="0" showRowStripes="1" showColumnStripes="0"/>
</table>
</file>

<file path=xl/tables/table5.xml><?xml version="1.0" encoding="utf-8"?>
<table xmlns="http://schemas.openxmlformats.org/spreadsheetml/2006/main" id="9" name="Tabell810" displayName="Tabell810" ref="AA23:AA38" totalsRowShown="0" headerRowDxfId="671" dataDxfId="669" headerRowBorderDxfId="670" tableBorderDxfId="668">
  <autoFilter ref="AA23:AA38"/>
  <tableColumns count="1">
    <tableColumn id="1" name="Plac" dataDxfId="667">
      <calculatedColumnFormula>RANK(Z24,Z24:Z38,1)</calculatedColumnFormula>
    </tableColumn>
  </tableColumns>
  <tableStyleInfo name="TableStyleDark7" showFirstColumn="0" showLastColumn="0" showRowStripes="1" showColumnStripes="0"/>
</table>
</file>

<file path=xl/tables/table50.xml><?xml version="1.0" encoding="utf-8"?>
<table xmlns="http://schemas.openxmlformats.org/spreadsheetml/2006/main" id="54" name="Tabell43454655" displayName="Tabell43454655" ref="X157:X167" totalsRowShown="0" headerRowDxfId="72" dataDxfId="70" headerRowBorderDxfId="71" tableBorderDxfId="69" totalsRowBorderDxfId="68">
  <autoFilter ref="X157:X167"/>
  <tableColumns count="1">
    <tableColumn id="1" name="Score" dataDxfId="67">
      <calculatedColumnFormula>70+V158</calculatedColumnFormula>
    </tableColumn>
  </tableColumns>
  <tableStyleInfo name="TableStyleDark3" showFirstColumn="0" showLastColumn="0" showRowStripes="1" showColumnStripes="0"/>
</table>
</file>

<file path=xl/tables/table51.xml><?xml version="1.0" encoding="utf-8"?>
<table xmlns="http://schemas.openxmlformats.org/spreadsheetml/2006/main" id="55" name="Tabell43454656" displayName="Tabell43454656" ref="X169:X179" totalsRowShown="0" headerRowDxfId="66" dataDxfId="64" headerRowBorderDxfId="65" tableBorderDxfId="63" totalsRowBorderDxfId="62">
  <autoFilter ref="X169:X179"/>
  <tableColumns count="1">
    <tableColumn id="1" name="Score" dataDxfId="61">
      <calculatedColumnFormula>70+V170</calculatedColumnFormula>
    </tableColumn>
  </tableColumns>
  <tableStyleInfo name="TableStyleDark3" showFirstColumn="0" showLastColumn="0" showRowStripes="1" showColumnStripes="0"/>
</table>
</file>

<file path=xl/tables/table52.xml><?xml version="1.0" encoding="utf-8"?>
<table xmlns="http://schemas.openxmlformats.org/spreadsheetml/2006/main" id="56" name="Tabell43454657" displayName="Tabell43454657" ref="X181:X190" totalsRowShown="0" headerRowDxfId="60" dataDxfId="58" headerRowBorderDxfId="59" tableBorderDxfId="57" totalsRowBorderDxfId="56">
  <autoFilter ref="X181:X190"/>
  <tableColumns count="1">
    <tableColumn id="1" name="Score" dataDxfId="55">
      <calculatedColumnFormula>72+V182</calculatedColumnFormula>
    </tableColumn>
  </tableColumns>
  <tableStyleInfo name="TableStyleDark3" showFirstColumn="0" showLastColumn="0" showRowStripes="1" showColumnStripes="0"/>
</table>
</file>

<file path=xl/tables/table53.xml><?xml version="1.0" encoding="utf-8"?>
<table xmlns="http://schemas.openxmlformats.org/spreadsheetml/2006/main" id="57" name="Tabell57" displayName="Tabell57" ref="Z4:Z19" totalsRowShown="0" headerRowDxfId="54" dataDxfId="53">
  <autoFilter ref="Z4:Z19"/>
  <tableColumns count="1">
    <tableColumn id="1" name="PL" dataDxfId="52">
      <calculatedColumnFormula>RANK(X5,Tabell42[Score],0)</calculatedColumnFormula>
    </tableColumn>
  </tableColumns>
  <tableStyleInfo name="TableStyleDark7" showFirstColumn="0" showLastColumn="0" showRowStripes="1" showColumnStripes="0"/>
</table>
</file>

<file path=xl/tables/table54.xml><?xml version="1.0" encoding="utf-8"?>
<table xmlns="http://schemas.openxmlformats.org/spreadsheetml/2006/main" id="58" name="Tabell58" displayName="Tabell58" ref="AB4:AB19" totalsRowShown="0" headerRowDxfId="51" dataDxfId="50">
  <autoFilter ref="AB4:AB19"/>
  <tableColumns count="1">
    <tableColumn id="1" name="Ahead" dataDxfId="49">
      <calculatedColumnFormula>X5-SMALL(X5:X19,1)</calculatedColumnFormula>
    </tableColumn>
  </tableColumns>
  <tableStyleInfo name="TableStyleDark7" showFirstColumn="0" showLastColumn="0" showRowStripes="1" showColumnStripes="0"/>
</table>
</file>

<file path=xl/tables/table55.xml><?xml version="1.0" encoding="utf-8"?>
<table xmlns="http://schemas.openxmlformats.org/spreadsheetml/2006/main" id="62" name="Tabell62" displayName="Tabell62" ref="AD4:AD19" totalsRowShown="0" headerRowDxfId="48" dataDxfId="47">
  <autoFilter ref="AD4:AD19"/>
  <tableColumns count="1">
    <tableColumn id="1" name="Bästa" dataDxfId="46"/>
  </tableColumns>
  <tableStyleInfo name="TableStyleDark7" showFirstColumn="0" showLastColumn="0" showRowStripes="1" showColumnStripes="0"/>
</table>
</file>

<file path=xl/tables/table56.xml><?xml version="1.0" encoding="utf-8"?>
<table xmlns="http://schemas.openxmlformats.org/spreadsheetml/2006/main" id="45" name="Tabell434546" displayName="Tabell434546" ref="X49:X59" totalsRowShown="0" headerRowDxfId="45" dataDxfId="43" headerRowBorderDxfId="44" tableBorderDxfId="42" totalsRowBorderDxfId="41">
  <autoFilter ref="X49:X59"/>
  <tableColumns count="1">
    <tableColumn id="1" name="Score" dataDxfId="40">
      <calculatedColumnFormula>70+Tabell71415[[#This Row],[Tot]]</calculatedColumnFormula>
    </tableColumn>
  </tableColumns>
  <tableStyleInfo name="TableStyleDark3" showFirstColumn="0" showLastColumn="0" showRowStripes="1" showColumnStripes="0"/>
</table>
</file>

<file path=xl/tables/table57.xml><?xml version="1.0" encoding="utf-8"?>
<table xmlns="http://schemas.openxmlformats.org/spreadsheetml/2006/main" id="71" name="Tabell71415202134353637383940414272" displayName="Tabell71415202134353637383940414272" ref="B192:V202" totalsRowShown="0" headerRowDxfId="39" dataDxfId="37" headerRowBorderDxfId="38" tableBorderDxfId="36">
  <autoFilter ref="B192:V202"/>
  <tableColumns count="21">
    <tableColumn id="1" name="För" dataDxfId="35" dataCellStyle="Normal 2"/>
    <tableColumn id="2" name="Efter" dataDxfId="34" dataCellStyle="Normal 2"/>
    <tableColumn id="3" name="1" dataDxfId="33"/>
    <tableColumn id="4" name="2" dataDxfId="32"/>
    <tableColumn id="5" name="3" dataDxfId="31"/>
    <tableColumn id="6" name="4" dataDxfId="30"/>
    <tableColumn id="7" name="5" dataDxfId="29"/>
    <tableColumn id="8" name="6" dataDxfId="28"/>
    <tableColumn id="9" name="7" dataDxfId="27"/>
    <tableColumn id="10" name="8" dataDxfId="26"/>
    <tableColumn id="11" name="9" dataDxfId="25"/>
    <tableColumn id="12" name="10" dataDxfId="24"/>
    <tableColumn id="13" name="11" dataDxfId="23"/>
    <tableColumn id="14" name="12" dataDxfId="22"/>
    <tableColumn id="15" name="13" dataDxfId="21"/>
    <tableColumn id="16" name="14" dataDxfId="20"/>
    <tableColumn id="17" name="15" dataDxfId="19"/>
    <tableColumn id="18" name="16" dataDxfId="18"/>
    <tableColumn id="19" name="17" dataDxfId="17"/>
    <tableColumn id="20" name="18" dataDxfId="16"/>
    <tableColumn id="21" name="Tot" dataDxfId="15">
      <calculatedColumnFormula>SUM(D193:U193)</calculatedColumnFormula>
    </tableColumn>
  </tableColumns>
  <tableStyleInfo name="TableStyleDark3" showFirstColumn="0" showLastColumn="0" showRowStripes="1" showColumnStripes="0"/>
</table>
</file>

<file path=xl/tables/table58.xml><?xml version="1.0" encoding="utf-8"?>
<table xmlns="http://schemas.openxmlformats.org/spreadsheetml/2006/main" id="72" name="Tabell4345465773" displayName="Tabell4345465773" ref="X192:X201" totalsRowShown="0" headerRowDxfId="14" dataDxfId="12" headerRowBorderDxfId="13" tableBorderDxfId="11" totalsRowBorderDxfId="10">
  <autoFilter ref="X192:X201"/>
  <tableColumns count="1">
    <tableColumn id="1" name="Score" dataDxfId="9">
      <calculatedColumnFormula>70+V193</calculatedColumnFormula>
    </tableColumn>
  </tableColumns>
  <tableStyleInfo name="TableStyleDark3" showFirstColumn="0" showLastColumn="0" showRowStripes="1" showColumnStripes="0"/>
</table>
</file>

<file path=xl/tables/table59.xml><?xml version="1.0" encoding="utf-8"?>
<table xmlns="http://schemas.openxmlformats.org/spreadsheetml/2006/main" id="12" name="Tabell12" displayName="Tabell12" ref="B2:G17" totalsRowShown="0" headerRowDxfId="8" dataDxfId="7" tableBorderDxfId="6">
  <autoFilter ref="B2:G17"/>
  <sortState ref="B3:G17">
    <sortCondition ref="G2:G17"/>
  </sortState>
  <tableColumns count="6">
    <tableColumn id="1" name="För" dataDxfId="3" dataCellStyle="Normal 2"/>
    <tableColumn id="2" name="Efter" dataDxfId="2" dataCellStyle="Normal 2"/>
    <tableColumn id="3" name="1" dataDxfId="1" dataCellStyle="Normal 2"/>
    <tableColumn id="4" name="2" dataDxfId="0" dataCellStyle="Normal 2"/>
    <tableColumn id="5" name="3" dataDxfId="5"/>
    <tableColumn id="6" name="Summa" dataDxfId="4">
      <calculatedColumnFormula>SUM(D3:F3)</calculatedColumnFormula>
    </tableColumn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id="10" name="Tabell10" displayName="Tabell10" ref="P3:Y18" totalsRowShown="0" headerRowDxfId="666" dataDxfId="664" headerRowBorderDxfId="665" tableBorderDxfId="663">
  <autoFilter ref="P3:Y18"/>
  <tableColumns count="10">
    <tableColumn id="1" name="1" dataDxfId="662"/>
    <tableColumn id="2" name="2" dataDxfId="661"/>
    <tableColumn id="3" name="3" dataDxfId="660"/>
    <tableColumn id="4" name="4" dataDxfId="659"/>
    <tableColumn id="5" name="5" dataDxfId="658"/>
    <tableColumn id="6" name="6" dataDxfId="657"/>
    <tableColumn id="7" name="7" dataDxfId="656"/>
    <tableColumn id="8" name="8" dataDxfId="655"/>
    <tableColumn id="9" name="9" dataDxfId="654"/>
    <tableColumn id="10" name="10" dataDxfId="653"/>
  </tableColumns>
  <tableStyleInfo name="TableStyleDark4" showFirstColumn="0" showLastColumn="0" showRowStripes="1" showColumnStripes="0"/>
</table>
</file>

<file path=xl/tables/table7.xml><?xml version="1.0" encoding="utf-8"?>
<table xmlns="http://schemas.openxmlformats.org/spreadsheetml/2006/main" id="11" name="Tabell11" displayName="Tabell11" ref="AC3:AC20" totalsRowCount="1" headerRowDxfId="652" dataDxfId="651" totalsRowDxfId="650">
  <autoFilter ref="AC3:AC19"/>
  <tableColumns count="1">
    <tableColumn id="1" name="Öl" dataDxfId="649" totalsRowDxfId="648"/>
  </tableColumns>
  <tableStyleInfo name="TableStyleDark1" showFirstColumn="0" showLastColumn="0" showRowStripes="1" showColumnStripes="0"/>
</table>
</file>

<file path=xl/tables/table8.xml><?xml version="1.0" encoding="utf-8"?>
<table xmlns="http://schemas.openxmlformats.org/spreadsheetml/2006/main" id="59" name="Tabell59" displayName="Tabell59" ref="AE3:AE18" totalsRowShown="0" headerRowDxfId="647" dataDxfId="645" headerRowBorderDxfId="646" tableBorderDxfId="644" totalsRowBorderDxfId="643">
  <autoFilter ref="AE3:AE18"/>
  <tableColumns count="1">
    <tableColumn id="1" name="HCP" dataDxfId="642"/>
  </tableColumns>
  <tableStyleInfo name="TableStyleDark3" showFirstColumn="0" showLastColumn="0" showRowStripes="1" showColumnStripes="0"/>
</table>
</file>

<file path=xl/tables/table9.xml><?xml version="1.0" encoding="utf-8"?>
<table xmlns="http://schemas.openxmlformats.org/spreadsheetml/2006/main" id="60" name="Tabell60" displayName="Tabell60" ref="AE22:AE38" totalsRowShown="0" headerRowDxfId="641" dataDxfId="639" headerRowBorderDxfId="640" tableBorderDxfId="638" totalsRowBorderDxfId="637">
  <autoFilter ref="AE22:AE38"/>
  <tableColumns count="1">
    <tableColumn id="1" name="Snittscore" dataDxfId="636">
      <calculatedColumnFormula>Tabell4[[#This Row],[Sum]]/5</calculatedColumnFormula>
    </tableColumn>
  </tableColumns>
  <tableStyleInfo name="TableStyleDark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table" Target="../tables/table15.xml"/><Relationship Id="rId4" Type="http://schemas.openxmlformats.org/officeDocument/2006/relationships/table" Target="../tables/table1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table" Target="../tables/table1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table" Target="../tables/table2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0.xml"/><Relationship Id="rId13" Type="http://schemas.openxmlformats.org/officeDocument/2006/relationships/table" Target="../tables/table35.xml"/><Relationship Id="rId18" Type="http://schemas.openxmlformats.org/officeDocument/2006/relationships/table" Target="../tables/table40.xml"/><Relationship Id="rId26" Type="http://schemas.openxmlformats.org/officeDocument/2006/relationships/table" Target="../tables/table48.xml"/><Relationship Id="rId3" Type="http://schemas.openxmlformats.org/officeDocument/2006/relationships/table" Target="../tables/table25.xml"/><Relationship Id="rId21" Type="http://schemas.openxmlformats.org/officeDocument/2006/relationships/table" Target="../tables/table43.xml"/><Relationship Id="rId34" Type="http://schemas.openxmlformats.org/officeDocument/2006/relationships/table" Target="../tables/table56.xml"/><Relationship Id="rId7" Type="http://schemas.openxmlformats.org/officeDocument/2006/relationships/table" Target="../tables/table29.xml"/><Relationship Id="rId12" Type="http://schemas.openxmlformats.org/officeDocument/2006/relationships/table" Target="../tables/table34.xml"/><Relationship Id="rId17" Type="http://schemas.openxmlformats.org/officeDocument/2006/relationships/table" Target="../tables/table39.xml"/><Relationship Id="rId25" Type="http://schemas.openxmlformats.org/officeDocument/2006/relationships/table" Target="../tables/table47.xml"/><Relationship Id="rId33" Type="http://schemas.openxmlformats.org/officeDocument/2006/relationships/table" Target="../tables/table55.xml"/><Relationship Id="rId2" Type="http://schemas.openxmlformats.org/officeDocument/2006/relationships/table" Target="../tables/table24.xml"/><Relationship Id="rId16" Type="http://schemas.openxmlformats.org/officeDocument/2006/relationships/table" Target="../tables/table38.xml"/><Relationship Id="rId20" Type="http://schemas.openxmlformats.org/officeDocument/2006/relationships/table" Target="../tables/table42.xml"/><Relationship Id="rId29" Type="http://schemas.openxmlformats.org/officeDocument/2006/relationships/table" Target="../tables/table5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8.xml"/><Relationship Id="rId11" Type="http://schemas.openxmlformats.org/officeDocument/2006/relationships/table" Target="../tables/table33.xml"/><Relationship Id="rId24" Type="http://schemas.openxmlformats.org/officeDocument/2006/relationships/table" Target="../tables/table46.xml"/><Relationship Id="rId32" Type="http://schemas.openxmlformats.org/officeDocument/2006/relationships/table" Target="../tables/table54.xml"/><Relationship Id="rId5" Type="http://schemas.openxmlformats.org/officeDocument/2006/relationships/table" Target="../tables/table27.xml"/><Relationship Id="rId15" Type="http://schemas.openxmlformats.org/officeDocument/2006/relationships/table" Target="../tables/table37.xml"/><Relationship Id="rId23" Type="http://schemas.openxmlformats.org/officeDocument/2006/relationships/table" Target="../tables/table45.xml"/><Relationship Id="rId28" Type="http://schemas.openxmlformats.org/officeDocument/2006/relationships/table" Target="../tables/table50.xml"/><Relationship Id="rId36" Type="http://schemas.openxmlformats.org/officeDocument/2006/relationships/table" Target="../tables/table58.xml"/><Relationship Id="rId10" Type="http://schemas.openxmlformats.org/officeDocument/2006/relationships/table" Target="../tables/table32.xml"/><Relationship Id="rId19" Type="http://schemas.openxmlformats.org/officeDocument/2006/relationships/table" Target="../tables/table41.xml"/><Relationship Id="rId31" Type="http://schemas.openxmlformats.org/officeDocument/2006/relationships/table" Target="../tables/table53.xml"/><Relationship Id="rId4" Type="http://schemas.openxmlformats.org/officeDocument/2006/relationships/table" Target="../tables/table26.xml"/><Relationship Id="rId9" Type="http://schemas.openxmlformats.org/officeDocument/2006/relationships/table" Target="../tables/table31.xml"/><Relationship Id="rId14" Type="http://schemas.openxmlformats.org/officeDocument/2006/relationships/table" Target="../tables/table36.xml"/><Relationship Id="rId22" Type="http://schemas.openxmlformats.org/officeDocument/2006/relationships/table" Target="../tables/table44.xml"/><Relationship Id="rId27" Type="http://schemas.openxmlformats.org/officeDocument/2006/relationships/table" Target="../tables/table49.xml"/><Relationship Id="rId30" Type="http://schemas.openxmlformats.org/officeDocument/2006/relationships/table" Target="../tables/table52.xml"/><Relationship Id="rId35" Type="http://schemas.openxmlformats.org/officeDocument/2006/relationships/table" Target="../tables/table5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G39"/>
  <sheetViews>
    <sheetView topLeftCell="A20" workbookViewId="0">
      <selection activeCell="L24" sqref="L24:M38"/>
    </sheetView>
  </sheetViews>
  <sheetFormatPr defaultColWidth="8.85546875" defaultRowHeight="15"/>
  <cols>
    <col min="1" max="1" width="3.42578125" style="3" customWidth="1"/>
    <col min="2" max="2" width="9.140625" style="3" bestFit="1" customWidth="1"/>
    <col min="3" max="3" width="15.42578125" style="3" bestFit="1" customWidth="1"/>
    <col min="4" max="4" width="6.140625" style="3" bestFit="1" customWidth="1"/>
    <col min="5" max="5" width="5.7109375" style="3" customWidth="1"/>
    <col min="6" max="7" width="5.42578125" style="3" bestFit="1" customWidth="1"/>
    <col min="8" max="8" width="5.7109375" style="3" bestFit="1" customWidth="1"/>
    <col min="9" max="9" width="5.7109375" style="3" customWidth="1"/>
    <col min="10" max="10" width="6" style="3" bestFit="1" customWidth="1"/>
    <col min="11" max="12" width="7" style="3" bestFit="1" customWidth="1"/>
    <col min="13" max="13" width="6.42578125" style="19" bestFit="1" customWidth="1"/>
    <col min="14" max="14" width="7.7109375" style="3" customWidth="1"/>
    <col min="15" max="23" width="4.140625" style="19" customWidth="1"/>
    <col min="24" max="24" width="5" style="19" customWidth="1"/>
    <col min="25" max="25" width="4.85546875" style="19" customWidth="1"/>
    <col min="26" max="26" width="8.85546875" style="3" customWidth="1"/>
    <col min="27" max="27" width="9.42578125" style="19" customWidth="1"/>
    <col min="28" max="28" width="2.42578125" style="3" customWidth="1"/>
    <col min="29" max="29" width="11.42578125" style="19" bestFit="1" customWidth="1"/>
    <col min="30" max="30" width="5.42578125" style="3" customWidth="1"/>
    <col min="31" max="31" width="12" style="19" customWidth="1"/>
    <col min="32" max="16384" width="8.85546875" style="3"/>
  </cols>
  <sheetData>
    <row r="1" spans="2:32" ht="15.75" thickBot="1"/>
    <row r="2" spans="2:32" ht="15.75" thickBot="1">
      <c r="D2" s="332" t="s">
        <v>45</v>
      </c>
      <c r="E2" s="333"/>
      <c r="F2" s="333"/>
      <c r="G2" s="333"/>
      <c r="H2" s="333"/>
      <c r="I2" s="333"/>
      <c r="J2" s="333"/>
      <c r="K2" s="333"/>
      <c r="L2" s="334"/>
      <c r="P2" s="153" t="s">
        <v>106</v>
      </c>
      <c r="Q2" s="154"/>
      <c r="R2" s="154"/>
      <c r="S2" s="154"/>
      <c r="T2" s="154"/>
      <c r="U2" s="154"/>
      <c r="V2" s="154"/>
      <c r="W2" s="154"/>
      <c r="X2" s="155"/>
    </row>
    <row r="3" spans="2:32" ht="15.75" thickBot="1">
      <c r="B3" s="10" t="s">
        <v>21</v>
      </c>
      <c r="C3" s="10" t="s">
        <v>22</v>
      </c>
      <c r="D3" s="14" t="s">
        <v>23</v>
      </c>
      <c r="E3" s="14" t="s">
        <v>24</v>
      </c>
      <c r="F3" s="14" t="s">
        <v>25</v>
      </c>
      <c r="G3" s="14" t="s">
        <v>26</v>
      </c>
      <c r="H3" s="14" t="s">
        <v>27</v>
      </c>
      <c r="I3" s="14" t="s">
        <v>28</v>
      </c>
      <c r="J3" s="14" t="s">
        <v>29</v>
      </c>
      <c r="K3" s="14" t="s">
        <v>30</v>
      </c>
      <c r="L3" s="14" t="s">
        <v>105</v>
      </c>
      <c r="M3" s="14" t="s">
        <v>81</v>
      </c>
      <c r="N3" s="25" t="s">
        <v>32</v>
      </c>
      <c r="O3" s="3"/>
      <c r="P3" s="31" t="s">
        <v>23</v>
      </c>
      <c r="Q3" s="32" t="s">
        <v>24</v>
      </c>
      <c r="R3" s="32" t="s">
        <v>25</v>
      </c>
      <c r="S3" s="32" t="s">
        <v>26</v>
      </c>
      <c r="T3" s="32" t="s">
        <v>27</v>
      </c>
      <c r="U3" s="32" t="s">
        <v>28</v>
      </c>
      <c r="V3" s="32" t="s">
        <v>29</v>
      </c>
      <c r="W3" s="32" t="s">
        <v>30</v>
      </c>
      <c r="X3" s="33" t="s">
        <v>31</v>
      </c>
      <c r="Y3" s="32" t="s">
        <v>81</v>
      </c>
      <c r="Z3" s="20" t="s">
        <v>32</v>
      </c>
      <c r="AA3" s="27" t="s">
        <v>33</v>
      </c>
      <c r="AC3" s="35" t="s">
        <v>34</v>
      </c>
      <c r="AE3" s="44" t="s">
        <v>98</v>
      </c>
      <c r="AF3" s="44" t="s">
        <v>101</v>
      </c>
    </row>
    <row r="4" spans="2:32">
      <c r="B4" s="4" t="s">
        <v>2</v>
      </c>
      <c r="C4" s="5" t="s">
        <v>3</v>
      </c>
      <c r="D4" s="172">
        <v>93</v>
      </c>
      <c r="E4" s="172">
        <v>87</v>
      </c>
      <c r="F4" s="172">
        <v>92</v>
      </c>
      <c r="G4" s="300">
        <v>162</v>
      </c>
      <c r="H4" s="172">
        <v>102</v>
      </c>
      <c r="I4" s="172">
        <v>97</v>
      </c>
      <c r="J4" s="172">
        <v>90</v>
      </c>
      <c r="K4" s="172">
        <v>88</v>
      </c>
      <c r="L4" s="172">
        <v>90</v>
      </c>
      <c r="M4" s="172">
        <v>97</v>
      </c>
      <c r="N4" s="165">
        <f t="shared" ref="N4:N18" si="0">SMALL(D4:M4,1)+SMALL(D4:M4,2)+SMALL(D4:M4,3)+SMALL(D4:M4,4)+SMALL(D4:M5,5)</f>
        <v>444</v>
      </c>
      <c r="O4" s="3"/>
      <c r="P4" s="171">
        <v>3</v>
      </c>
      <c r="Q4" s="171">
        <v>1</v>
      </c>
      <c r="R4" s="171">
        <v>4</v>
      </c>
      <c r="S4" s="300">
        <v>15</v>
      </c>
      <c r="T4" s="171">
        <v>5</v>
      </c>
      <c r="U4" s="171">
        <v>2</v>
      </c>
      <c r="V4" s="171">
        <v>2</v>
      </c>
      <c r="W4" s="171">
        <v>1</v>
      </c>
      <c r="X4" s="171">
        <v>2</v>
      </c>
      <c r="Y4" s="171">
        <v>2</v>
      </c>
      <c r="Z4" s="21">
        <f>SMALL(P4:Y4,1)+SMALL(P4:Y4,2)+SMALL(P4:Y4,3)+SMALL(P4:Y4,4)+SMALL(P4:Y4,5)</f>
        <v>8</v>
      </c>
      <c r="AA4" s="28">
        <f>RANK(Z4,Z4:Z18,1)</f>
        <v>3</v>
      </c>
      <c r="AC4" s="36"/>
      <c r="AE4" s="139"/>
      <c r="AF4" s="152">
        <f>Tabell3[[#This Row],[Sum]]/5</f>
        <v>88.8</v>
      </c>
    </row>
    <row r="5" spans="2:32">
      <c r="B5" s="6" t="s">
        <v>0</v>
      </c>
      <c r="C5" s="7" t="s">
        <v>1</v>
      </c>
      <c r="D5" s="172">
        <v>85</v>
      </c>
      <c r="E5" s="172">
        <v>96</v>
      </c>
      <c r="F5" s="172">
        <v>95</v>
      </c>
      <c r="G5" s="172">
        <v>88</v>
      </c>
      <c r="H5" s="172">
        <v>100</v>
      </c>
      <c r="I5" s="172">
        <v>100</v>
      </c>
      <c r="J5" s="172">
        <v>98</v>
      </c>
      <c r="K5" s="172">
        <v>90</v>
      </c>
      <c r="L5" s="172">
        <v>89</v>
      </c>
      <c r="M5" s="172">
        <v>95</v>
      </c>
      <c r="N5" s="165">
        <f t="shared" si="0"/>
        <v>446</v>
      </c>
      <c r="O5" s="1"/>
      <c r="P5" s="171">
        <v>1</v>
      </c>
      <c r="Q5" s="171">
        <v>4</v>
      </c>
      <c r="R5" s="171">
        <v>5</v>
      </c>
      <c r="S5" s="171">
        <v>1</v>
      </c>
      <c r="T5" s="171">
        <v>3</v>
      </c>
      <c r="U5" s="171">
        <v>3</v>
      </c>
      <c r="V5" s="171">
        <v>4</v>
      </c>
      <c r="W5" s="171">
        <v>2</v>
      </c>
      <c r="X5" s="171">
        <v>1</v>
      </c>
      <c r="Y5" s="171">
        <v>1</v>
      </c>
      <c r="Z5" s="21">
        <f t="shared" ref="Z5:Z18" si="1">SMALL(P5:Y5,1)+SMALL(P5:Y5,2)+SMALL(P5:Y5,3)+SMALL(P5:Y5,4)+SMALL(P5:Y5,5)</f>
        <v>6</v>
      </c>
      <c r="AA5" s="29">
        <f>RANK(Z5,Z4:Z18,1)</f>
        <v>1</v>
      </c>
      <c r="AC5" s="36"/>
      <c r="AE5" s="139"/>
      <c r="AF5" s="152">
        <f>Tabell3[[#This Row],[Sum]]/5</f>
        <v>89.2</v>
      </c>
    </row>
    <row r="6" spans="2:32">
      <c r="B6" s="6" t="s">
        <v>4</v>
      </c>
      <c r="C6" s="7" t="s">
        <v>5</v>
      </c>
      <c r="D6" s="172">
        <v>99</v>
      </c>
      <c r="E6" s="300">
        <v>162</v>
      </c>
      <c r="F6" s="172">
        <v>101</v>
      </c>
      <c r="G6" s="172">
        <v>102</v>
      </c>
      <c r="H6" s="172">
        <v>99</v>
      </c>
      <c r="I6" s="172">
        <v>109</v>
      </c>
      <c r="J6" s="172">
        <v>99</v>
      </c>
      <c r="K6" s="172">
        <v>94</v>
      </c>
      <c r="L6" s="172">
        <v>108</v>
      </c>
      <c r="M6" s="172">
        <v>111</v>
      </c>
      <c r="N6" s="165">
        <f t="shared" si="0"/>
        <v>490</v>
      </c>
      <c r="O6" s="1"/>
      <c r="P6" s="171">
        <v>6</v>
      </c>
      <c r="Q6" s="301">
        <v>15</v>
      </c>
      <c r="R6" s="171">
        <v>8</v>
      </c>
      <c r="S6" s="171">
        <v>8</v>
      </c>
      <c r="T6" s="171">
        <v>1</v>
      </c>
      <c r="U6" s="171">
        <v>8</v>
      </c>
      <c r="V6" s="171">
        <v>10</v>
      </c>
      <c r="W6" s="171">
        <v>3</v>
      </c>
      <c r="X6" s="171">
        <v>6</v>
      </c>
      <c r="Y6" s="171">
        <v>7</v>
      </c>
      <c r="Z6" s="21">
        <f t="shared" si="1"/>
        <v>23</v>
      </c>
      <c r="AA6" s="29">
        <f>RANK(Z6,Z4:Z18,1)</f>
        <v>8</v>
      </c>
      <c r="AC6" s="36"/>
      <c r="AE6" s="139"/>
      <c r="AF6" s="152">
        <f>Tabell3[[#This Row],[Sum]]/5</f>
        <v>98</v>
      </c>
    </row>
    <row r="7" spans="2:32">
      <c r="B7" s="6" t="s">
        <v>14</v>
      </c>
      <c r="C7" s="7" t="s">
        <v>13</v>
      </c>
      <c r="D7" s="300">
        <v>162</v>
      </c>
      <c r="E7" s="172">
        <v>103</v>
      </c>
      <c r="F7" s="300">
        <v>162</v>
      </c>
      <c r="G7" s="300">
        <v>162</v>
      </c>
      <c r="H7" s="172">
        <v>99</v>
      </c>
      <c r="I7" s="300">
        <v>162</v>
      </c>
      <c r="J7" s="172">
        <v>106</v>
      </c>
      <c r="K7" s="172">
        <v>100</v>
      </c>
      <c r="L7" s="172">
        <v>112</v>
      </c>
      <c r="M7" s="172">
        <v>116</v>
      </c>
      <c r="N7" s="165">
        <f t="shared" si="0"/>
        <v>505</v>
      </c>
      <c r="O7" s="1"/>
      <c r="P7" s="301">
        <v>15</v>
      </c>
      <c r="Q7" s="171">
        <v>8</v>
      </c>
      <c r="R7" s="301">
        <v>15</v>
      </c>
      <c r="S7" s="300">
        <v>15</v>
      </c>
      <c r="T7" s="171">
        <v>1</v>
      </c>
      <c r="U7" s="301">
        <v>15</v>
      </c>
      <c r="V7" s="171">
        <v>8</v>
      </c>
      <c r="W7" s="171">
        <v>6</v>
      </c>
      <c r="X7" s="171">
        <v>7</v>
      </c>
      <c r="Y7" s="171">
        <v>10</v>
      </c>
      <c r="Z7" s="21">
        <f t="shared" si="1"/>
        <v>30</v>
      </c>
      <c r="AA7" s="29">
        <f>RANK(Z7,Z4:Z18,1)</f>
        <v>9</v>
      </c>
      <c r="AC7" s="36">
        <v>3</v>
      </c>
      <c r="AE7" s="139"/>
      <c r="AF7" s="152">
        <f>Tabell3[[#This Row],[Sum]]/5</f>
        <v>101</v>
      </c>
    </row>
    <row r="8" spans="2:32">
      <c r="B8" s="6" t="s">
        <v>10</v>
      </c>
      <c r="C8" s="7" t="s">
        <v>11</v>
      </c>
      <c r="D8" s="172">
        <v>95</v>
      </c>
      <c r="E8" s="172">
        <v>97</v>
      </c>
      <c r="F8" s="172">
        <v>95</v>
      </c>
      <c r="G8" s="172">
        <v>89</v>
      </c>
      <c r="H8" s="172">
        <v>102</v>
      </c>
      <c r="I8" s="172">
        <v>102</v>
      </c>
      <c r="J8" s="172">
        <v>97</v>
      </c>
      <c r="K8" s="172">
        <v>99</v>
      </c>
      <c r="L8" s="172">
        <v>107</v>
      </c>
      <c r="M8" s="172">
        <v>112</v>
      </c>
      <c r="N8" s="165">
        <f t="shared" si="0"/>
        <v>472</v>
      </c>
      <c r="O8" s="1"/>
      <c r="P8" s="171">
        <v>4</v>
      </c>
      <c r="Q8" s="171">
        <v>5</v>
      </c>
      <c r="R8" s="171">
        <v>5</v>
      </c>
      <c r="S8" s="171">
        <v>2</v>
      </c>
      <c r="T8" s="171">
        <v>5</v>
      </c>
      <c r="U8" s="171">
        <v>4</v>
      </c>
      <c r="V8" s="171">
        <v>3</v>
      </c>
      <c r="W8" s="171">
        <v>5</v>
      </c>
      <c r="X8" s="171">
        <v>5</v>
      </c>
      <c r="Y8" s="171">
        <v>8</v>
      </c>
      <c r="Z8" s="21">
        <f t="shared" si="1"/>
        <v>18</v>
      </c>
      <c r="AA8" s="29">
        <f>RANK(Z8,Z4:Z18,1)</f>
        <v>4</v>
      </c>
      <c r="AC8" s="36">
        <v>2</v>
      </c>
      <c r="AE8" s="139"/>
      <c r="AF8" s="152">
        <f>Tabell3[[#This Row],[Sum]]/5</f>
        <v>94.4</v>
      </c>
    </row>
    <row r="9" spans="2:32">
      <c r="B9" s="6" t="s">
        <v>6</v>
      </c>
      <c r="C9" s="7" t="s">
        <v>7</v>
      </c>
      <c r="D9" s="172">
        <v>96</v>
      </c>
      <c r="E9" s="300">
        <v>162</v>
      </c>
      <c r="F9" s="172">
        <v>89</v>
      </c>
      <c r="G9" s="172">
        <v>97</v>
      </c>
      <c r="H9" s="172">
        <v>113</v>
      </c>
      <c r="I9" s="300">
        <v>162</v>
      </c>
      <c r="J9" s="172">
        <v>104</v>
      </c>
      <c r="K9" s="172">
        <v>100</v>
      </c>
      <c r="L9" s="172">
        <v>118</v>
      </c>
      <c r="M9" s="172">
        <v>98</v>
      </c>
      <c r="N9" s="165">
        <f t="shared" si="0"/>
        <v>475</v>
      </c>
      <c r="O9" s="1"/>
      <c r="P9" s="171">
        <v>5</v>
      </c>
      <c r="Q9" s="301">
        <v>15</v>
      </c>
      <c r="R9" s="171">
        <v>2</v>
      </c>
      <c r="S9" s="171">
        <v>5</v>
      </c>
      <c r="T9" s="171">
        <v>12</v>
      </c>
      <c r="U9" s="301">
        <v>15</v>
      </c>
      <c r="V9" s="171">
        <v>7</v>
      </c>
      <c r="W9" s="171">
        <v>6</v>
      </c>
      <c r="X9" s="171">
        <v>11</v>
      </c>
      <c r="Y9" s="171">
        <v>3</v>
      </c>
      <c r="Z9" s="21">
        <f t="shared" si="1"/>
        <v>21</v>
      </c>
      <c r="AA9" s="29">
        <f>RANK(Z9,Z4:Z18,1)</f>
        <v>7</v>
      </c>
      <c r="AC9" s="36">
        <v>2</v>
      </c>
      <c r="AE9" s="139"/>
      <c r="AF9" s="152">
        <f>Tabell3[[#This Row],[Sum]]/5</f>
        <v>95</v>
      </c>
    </row>
    <row r="10" spans="2:32">
      <c r="B10" s="6" t="s">
        <v>8</v>
      </c>
      <c r="C10" s="7" t="s">
        <v>9</v>
      </c>
      <c r="D10" s="172">
        <v>102</v>
      </c>
      <c r="E10" s="172">
        <v>94</v>
      </c>
      <c r="F10" s="172">
        <v>95</v>
      </c>
      <c r="G10" s="172">
        <v>90</v>
      </c>
      <c r="H10" s="172">
        <v>104</v>
      </c>
      <c r="I10" s="172">
        <v>104</v>
      </c>
      <c r="J10" s="172">
        <v>100</v>
      </c>
      <c r="K10" s="172">
        <v>99</v>
      </c>
      <c r="L10" s="172">
        <v>92</v>
      </c>
      <c r="M10" s="172">
        <v>106</v>
      </c>
      <c r="N10" s="165">
        <f t="shared" si="0"/>
        <v>468</v>
      </c>
      <c r="O10" s="1"/>
      <c r="P10" s="171">
        <v>8</v>
      </c>
      <c r="Q10" s="171">
        <v>3</v>
      </c>
      <c r="R10" s="171">
        <v>5</v>
      </c>
      <c r="S10" s="171">
        <v>3</v>
      </c>
      <c r="T10" s="171">
        <v>9</v>
      </c>
      <c r="U10" s="171">
        <v>5</v>
      </c>
      <c r="V10" s="171">
        <v>6</v>
      </c>
      <c r="W10" s="171">
        <v>4</v>
      </c>
      <c r="X10" s="171">
        <v>3</v>
      </c>
      <c r="Y10" s="171">
        <v>6</v>
      </c>
      <c r="Z10" s="21">
        <f t="shared" si="1"/>
        <v>18</v>
      </c>
      <c r="AA10" s="29">
        <f>RANK(Z10,Z4:Z18,1)</f>
        <v>4</v>
      </c>
      <c r="AC10" s="36"/>
      <c r="AE10" s="139"/>
      <c r="AF10" s="152">
        <f>Tabell3[[#This Row],[Sum]]/5</f>
        <v>93.6</v>
      </c>
    </row>
    <row r="11" spans="2:32">
      <c r="B11" s="6" t="s">
        <v>141</v>
      </c>
      <c r="C11" s="7" t="s">
        <v>142</v>
      </c>
      <c r="D11" s="300">
        <v>162</v>
      </c>
      <c r="E11" s="300">
        <v>162</v>
      </c>
      <c r="F11" s="172">
        <v>104</v>
      </c>
      <c r="G11" s="172">
        <v>97</v>
      </c>
      <c r="H11" s="172">
        <v>102</v>
      </c>
      <c r="I11" s="172">
        <v>104</v>
      </c>
      <c r="J11" s="172">
        <v>111</v>
      </c>
      <c r="K11" s="172">
        <v>122</v>
      </c>
      <c r="L11" s="300">
        <v>162</v>
      </c>
      <c r="M11" s="300">
        <v>162</v>
      </c>
      <c r="N11" s="165">
        <f t="shared" si="0"/>
        <v>511</v>
      </c>
      <c r="O11" s="1"/>
      <c r="P11" s="301">
        <v>15</v>
      </c>
      <c r="Q11" s="301">
        <v>15</v>
      </c>
      <c r="R11" s="171">
        <v>10</v>
      </c>
      <c r="S11" s="171">
        <v>5</v>
      </c>
      <c r="T11" s="171">
        <v>5</v>
      </c>
      <c r="U11" s="171">
        <v>5</v>
      </c>
      <c r="V11" s="171">
        <v>12</v>
      </c>
      <c r="W11" s="171">
        <v>12</v>
      </c>
      <c r="X11" s="301">
        <v>15</v>
      </c>
      <c r="Y11" s="301">
        <v>15</v>
      </c>
      <c r="Z11" s="21">
        <f t="shared" si="1"/>
        <v>37</v>
      </c>
      <c r="AA11" s="29">
        <f>RANK(Z11,Z4:Z18,1)</f>
        <v>10</v>
      </c>
      <c r="AC11" s="36"/>
      <c r="AE11" s="139"/>
      <c r="AF11" s="152">
        <f>Tabell3[[#This Row],[Sum]]/5</f>
        <v>102.2</v>
      </c>
    </row>
    <row r="12" spans="2:32">
      <c r="B12" s="6" t="s">
        <v>17</v>
      </c>
      <c r="C12" s="7" t="s">
        <v>18</v>
      </c>
      <c r="D12" s="172">
        <v>99</v>
      </c>
      <c r="E12" s="172">
        <v>98</v>
      </c>
      <c r="F12" s="300">
        <v>162</v>
      </c>
      <c r="G12" s="300">
        <v>162</v>
      </c>
      <c r="H12" s="172">
        <v>114</v>
      </c>
      <c r="I12" s="300">
        <v>162</v>
      </c>
      <c r="J12" s="172">
        <v>109</v>
      </c>
      <c r="K12" s="300">
        <v>162</v>
      </c>
      <c r="L12" s="172">
        <v>113</v>
      </c>
      <c r="M12" s="172">
        <v>116</v>
      </c>
      <c r="N12" s="165">
        <f t="shared" si="0"/>
        <v>518</v>
      </c>
      <c r="O12" s="1"/>
      <c r="P12" s="171">
        <v>6</v>
      </c>
      <c r="Q12" s="171">
        <v>6</v>
      </c>
      <c r="R12" s="301">
        <v>15</v>
      </c>
      <c r="S12" s="300">
        <v>15</v>
      </c>
      <c r="T12" s="171">
        <v>15</v>
      </c>
      <c r="U12" s="301">
        <v>15</v>
      </c>
      <c r="V12" s="171">
        <v>10</v>
      </c>
      <c r="W12" s="301">
        <v>15</v>
      </c>
      <c r="X12" s="171">
        <v>8</v>
      </c>
      <c r="Y12" s="171">
        <v>10</v>
      </c>
      <c r="Z12" s="21">
        <f t="shared" si="1"/>
        <v>40</v>
      </c>
      <c r="AA12" s="29">
        <f>RANK(Z12,Z4:Z18,1)</f>
        <v>12</v>
      </c>
      <c r="AC12" s="36">
        <v>1</v>
      </c>
      <c r="AE12" s="139"/>
      <c r="AF12" s="152">
        <f>Tabell3[[#This Row],[Sum]]/5</f>
        <v>103.6</v>
      </c>
    </row>
    <row r="13" spans="2:32">
      <c r="B13" s="6" t="s">
        <v>15</v>
      </c>
      <c r="C13" s="7" t="s">
        <v>16</v>
      </c>
      <c r="D13" s="172">
        <v>106</v>
      </c>
      <c r="E13" s="172">
        <v>100</v>
      </c>
      <c r="F13" s="172">
        <v>90</v>
      </c>
      <c r="G13" s="172">
        <v>93</v>
      </c>
      <c r="H13" s="172">
        <v>108</v>
      </c>
      <c r="I13" s="172">
        <v>104</v>
      </c>
      <c r="J13" s="172">
        <v>98</v>
      </c>
      <c r="K13" s="172">
        <v>108</v>
      </c>
      <c r="L13" s="172">
        <v>104</v>
      </c>
      <c r="M13" s="172">
        <v>114</v>
      </c>
      <c r="N13" s="165">
        <f t="shared" si="0"/>
        <v>481</v>
      </c>
      <c r="O13" s="1"/>
      <c r="P13" s="171">
        <v>10</v>
      </c>
      <c r="Q13" s="171">
        <v>7</v>
      </c>
      <c r="R13" s="171">
        <v>3</v>
      </c>
      <c r="S13" s="171">
        <v>4</v>
      </c>
      <c r="T13" s="171">
        <v>10</v>
      </c>
      <c r="U13" s="171">
        <v>5</v>
      </c>
      <c r="V13" s="171">
        <v>4</v>
      </c>
      <c r="W13" s="171">
        <v>10</v>
      </c>
      <c r="X13" s="171">
        <v>4</v>
      </c>
      <c r="Y13" s="171">
        <v>9</v>
      </c>
      <c r="Z13" s="21">
        <f t="shared" si="1"/>
        <v>20</v>
      </c>
      <c r="AA13" s="29">
        <f>RANK(Z13,Z4:Z18,1)</f>
        <v>6</v>
      </c>
      <c r="AC13" s="36">
        <v>6</v>
      </c>
      <c r="AE13" s="139"/>
      <c r="AF13" s="152">
        <f>Tabell3[[#This Row],[Sum]]/5</f>
        <v>96.2</v>
      </c>
    </row>
    <row r="14" spans="2:32">
      <c r="B14" s="6" t="s">
        <v>113</v>
      </c>
      <c r="C14" s="7" t="s">
        <v>114</v>
      </c>
      <c r="D14" s="172">
        <v>115</v>
      </c>
      <c r="E14" s="300">
        <v>162</v>
      </c>
      <c r="F14" s="172">
        <v>102</v>
      </c>
      <c r="G14" s="172">
        <v>105</v>
      </c>
      <c r="H14" s="300">
        <v>162</v>
      </c>
      <c r="I14" s="300">
        <v>162</v>
      </c>
      <c r="J14" s="172">
        <v>111</v>
      </c>
      <c r="K14" s="172">
        <v>104</v>
      </c>
      <c r="L14" s="172">
        <v>114</v>
      </c>
      <c r="M14" s="172">
        <v>100</v>
      </c>
      <c r="N14" s="165">
        <f t="shared" si="0"/>
        <v>522</v>
      </c>
      <c r="O14" s="1"/>
      <c r="P14" s="171">
        <v>11</v>
      </c>
      <c r="Q14" s="301">
        <v>15</v>
      </c>
      <c r="R14" s="171">
        <v>9</v>
      </c>
      <c r="S14" s="171">
        <v>9</v>
      </c>
      <c r="T14" s="301">
        <v>15</v>
      </c>
      <c r="U14" s="301">
        <v>15</v>
      </c>
      <c r="V14" s="171">
        <v>12</v>
      </c>
      <c r="W14" s="171">
        <v>9</v>
      </c>
      <c r="X14" s="171">
        <v>10</v>
      </c>
      <c r="Y14" s="171">
        <v>4</v>
      </c>
      <c r="Z14" s="21">
        <f t="shared" si="1"/>
        <v>41</v>
      </c>
      <c r="AA14" s="29">
        <f>RANK(Z14,Z4:Z18,1)</f>
        <v>13</v>
      </c>
      <c r="AC14" s="36">
        <v>3</v>
      </c>
      <c r="AE14" s="139"/>
      <c r="AF14" s="152">
        <f>Tabell3[[#This Row],[Sum]]/5</f>
        <v>104.4</v>
      </c>
    </row>
    <row r="15" spans="2:32">
      <c r="B15" s="6" t="s">
        <v>8</v>
      </c>
      <c r="C15" s="7" t="s">
        <v>19</v>
      </c>
      <c r="D15" s="300">
        <v>162</v>
      </c>
      <c r="E15" s="300">
        <v>162</v>
      </c>
      <c r="F15" s="300">
        <v>162</v>
      </c>
      <c r="G15" s="300">
        <v>162</v>
      </c>
      <c r="H15" s="172">
        <v>125</v>
      </c>
      <c r="I15" s="300">
        <v>162</v>
      </c>
      <c r="J15" s="300">
        <v>162</v>
      </c>
      <c r="K15" s="300">
        <v>162</v>
      </c>
      <c r="L15" s="172">
        <v>113</v>
      </c>
      <c r="M15" s="172">
        <v>122</v>
      </c>
      <c r="N15" s="165">
        <f t="shared" si="0"/>
        <v>639</v>
      </c>
      <c r="O15" s="1"/>
      <c r="P15" s="301">
        <v>15</v>
      </c>
      <c r="Q15" s="301">
        <v>15</v>
      </c>
      <c r="R15" s="301">
        <v>15</v>
      </c>
      <c r="S15" s="300">
        <v>15</v>
      </c>
      <c r="T15" s="171">
        <v>14</v>
      </c>
      <c r="U15" s="301">
        <v>15</v>
      </c>
      <c r="V15" s="301">
        <v>15</v>
      </c>
      <c r="W15" s="301">
        <v>15</v>
      </c>
      <c r="X15" s="171">
        <v>8</v>
      </c>
      <c r="Y15" s="171">
        <v>13</v>
      </c>
      <c r="Z15" s="21">
        <f t="shared" si="1"/>
        <v>65</v>
      </c>
      <c r="AA15" s="29">
        <f>RANK(Z15,Z4:Z18,1)</f>
        <v>15</v>
      </c>
      <c r="AC15" s="36">
        <v>3</v>
      </c>
      <c r="AE15" s="139"/>
      <c r="AF15" s="152">
        <f>Tabell3[[#This Row],[Sum]]/5</f>
        <v>127.8</v>
      </c>
    </row>
    <row r="16" spans="2:32">
      <c r="B16" s="6" t="s">
        <v>12</v>
      </c>
      <c r="C16" s="7" t="s">
        <v>13</v>
      </c>
      <c r="D16" s="300">
        <v>162</v>
      </c>
      <c r="E16" s="172">
        <v>113</v>
      </c>
      <c r="F16" s="172">
        <v>109</v>
      </c>
      <c r="G16" s="172">
        <v>129</v>
      </c>
      <c r="H16" s="172">
        <v>123</v>
      </c>
      <c r="I16" s="172">
        <v>124</v>
      </c>
      <c r="J16" s="172">
        <v>111</v>
      </c>
      <c r="K16" s="300">
        <v>162</v>
      </c>
      <c r="L16" s="172">
        <v>125</v>
      </c>
      <c r="M16" s="172">
        <v>117</v>
      </c>
      <c r="N16" s="165">
        <f t="shared" si="0"/>
        <v>558</v>
      </c>
      <c r="O16" s="1"/>
      <c r="P16" s="301">
        <v>15</v>
      </c>
      <c r="Q16" s="171">
        <v>9</v>
      </c>
      <c r="R16" s="171">
        <v>11</v>
      </c>
      <c r="S16" s="171">
        <v>11</v>
      </c>
      <c r="T16" s="171">
        <v>13</v>
      </c>
      <c r="U16" s="171">
        <v>10</v>
      </c>
      <c r="V16" s="171">
        <v>12</v>
      </c>
      <c r="W16" s="301">
        <v>15</v>
      </c>
      <c r="X16" s="171">
        <v>13</v>
      </c>
      <c r="Y16" s="171">
        <v>12</v>
      </c>
      <c r="Z16" s="21">
        <f t="shared" si="1"/>
        <v>53</v>
      </c>
      <c r="AA16" s="29">
        <f>RANK(Z16,Z4:Z18,1)</f>
        <v>14</v>
      </c>
      <c r="AC16" s="36">
        <v>9</v>
      </c>
      <c r="AE16" s="139"/>
      <c r="AF16" s="152">
        <f>Tabell3[[#This Row],[Sum]]/5</f>
        <v>111.6</v>
      </c>
    </row>
    <row r="17" spans="2:33">
      <c r="B17" s="8" t="s">
        <v>122</v>
      </c>
      <c r="C17" s="9" t="s">
        <v>123</v>
      </c>
      <c r="D17" s="172">
        <v>105</v>
      </c>
      <c r="E17" s="300">
        <v>162</v>
      </c>
      <c r="F17" s="300">
        <v>162</v>
      </c>
      <c r="G17" s="172">
        <v>105</v>
      </c>
      <c r="H17" s="172">
        <v>110</v>
      </c>
      <c r="I17" s="172">
        <v>120</v>
      </c>
      <c r="J17" s="172">
        <v>108</v>
      </c>
      <c r="K17" s="172">
        <v>100</v>
      </c>
      <c r="L17" s="172">
        <v>120</v>
      </c>
      <c r="M17" s="172">
        <v>100</v>
      </c>
      <c r="N17" s="165">
        <f t="shared" si="0"/>
        <v>505</v>
      </c>
      <c r="O17" s="1"/>
      <c r="P17" s="171">
        <v>9</v>
      </c>
      <c r="Q17" s="301">
        <v>15</v>
      </c>
      <c r="R17" s="301">
        <v>15</v>
      </c>
      <c r="S17" s="171">
        <v>9</v>
      </c>
      <c r="T17" s="171">
        <v>11</v>
      </c>
      <c r="U17" s="171">
        <v>9</v>
      </c>
      <c r="V17" s="171">
        <v>9</v>
      </c>
      <c r="W17" s="171">
        <v>6</v>
      </c>
      <c r="X17" s="171">
        <v>12</v>
      </c>
      <c r="Y17" s="171">
        <v>4</v>
      </c>
      <c r="Z17" s="21">
        <f t="shared" si="1"/>
        <v>37</v>
      </c>
      <c r="AA17" s="30">
        <f>RANK(Z17,Z4:Z18,1)</f>
        <v>10</v>
      </c>
      <c r="AC17" s="36">
        <v>2</v>
      </c>
      <c r="AE17" s="140"/>
      <c r="AF17" s="152">
        <f>Tabell3[[#This Row],[Sum]]/5</f>
        <v>101</v>
      </c>
    </row>
    <row r="18" spans="2:33" s="90" customFormat="1" ht="15.75" thickBot="1">
      <c r="B18" s="175" t="s">
        <v>117</v>
      </c>
      <c r="C18" s="175" t="s">
        <v>118</v>
      </c>
      <c r="D18" s="172">
        <v>86</v>
      </c>
      <c r="E18" s="172">
        <v>89</v>
      </c>
      <c r="F18" s="172">
        <v>86</v>
      </c>
      <c r="G18" s="172">
        <v>100</v>
      </c>
      <c r="H18" s="172">
        <v>102</v>
      </c>
      <c r="I18" s="172">
        <v>95</v>
      </c>
      <c r="J18" s="172">
        <v>88</v>
      </c>
      <c r="K18" s="172">
        <v>110</v>
      </c>
      <c r="L18" s="300">
        <v>162</v>
      </c>
      <c r="M18" s="300">
        <v>162</v>
      </c>
      <c r="N18" s="165">
        <f t="shared" si="0"/>
        <v>444</v>
      </c>
      <c r="O18" s="88"/>
      <c r="P18" s="171">
        <v>2</v>
      </c>
      <c r="Q18" s="171">
        <v>2</v>
      </c>
      <c r="R18" s="171">
        <v>1</v>
      </c>
      <c r="S18" s="171">
        <v>7</v>
      </c>
      <c r="T18" s="171">
        <v>3</v>
      </c>
      <c r="U18" s="171">
        <v>1</v>
      </c>
      <c r="V18" s="171">
        <v>1</v>
      </c>
      <c r="W18" s="171">
        <v>11</v>
      </c>
      <c r="X18" s="301">
        <v>15</v>
      </c>
      <c r="Y18" s="301">
        <v>15</v>
      </c>
      <c r="Z18" s="21">
        <f t="shared" si="1"/>
        <v>7</v>
      </c>
      <c r="AA18" s="30">
        <f>RANK(Z18,Z4:Z18,1)</f>
        <v>2</v>
      </c>
      <c r="AC18" s="36">
        <v>1</v>
      </c>
      <c r="AD18" s="89"/>
      <c r="AE18" s="140"/>
      <c r="AF18" s="152">
        <f>Tabell3[[#This Row],[Sum]]/5</f>
        <v>88.8</v>
      </c>
    </row>
    <row r="19" spans="2:33" ht="15.75" thickBot="1">
      <c r="B19" s="290"/>
      <c r="C19" s="291" t="s">
        <v>50</v>
      </c>
      <c r="D19" s="292">
        <f>SUM(D4+D5+D6+D8+D9+D10+D12+D13+D14+D17+D18)/11</f>
        <v>98.272727272727266</v>
      </c>
      <c r="E19" s="292">
        <f>(E4+E5+E7+E8+E10+E12+E13+E16+E18)/9</f>
        <v>97.444444444444443</v>
      </c>
      <c r="F19" s="292">
        <f>(F4+F5+F6+F8+F9+F10+F11+F13+F14+F16+F18)/11</f>
        <v>96.181818181818187</v>
      </c>
      <c r="G19" s="292">
        <f>(G5+G6+G8+G9+G10+G11+G13+G14+G16+G17+G18)/11</f>
        <v>99.545454545454547</v>
      </c>
      <c r="H19" s="292">
        <f>(H4+H5+H6+H7+H8+H9+H10+H11+H12+H13+H15+H16+H17+H18)/14</f>
        <v>107.35714285714286</v>
      </c>
      <c r="I19" s="292">
        <f>(I4+I5+I6+I8+I10+I11+I13+I16+I17+I18)/10</f>
        <v>105.9</v>
      </c>
      <c r="J19" s="292">
        <f>(J4+J5+J6+J7+J8+J9+J10+J11+J12+J14+J13+J16+J17+J18)/14</f>
        <v>102.14285714285714</v>
      </c>
      <c r="K19" s="292">
        <f>(K4+K5+K6+K7+K8+K9+K10+K11+K13+K14+K17+K18)/12</f>
        <v>101.16666666666667</v>
      </c>
      <c r="L19" s="292">
        <f>(L17+L16+L15+L14+L13+L12+L10+L9+L8+L7+L6+L5+L4)/13</f>
        <v>108.07692307692308</v>
      </c>
      <c r="M19" s="292">
        <f>SUM(M17+M16+M15+M14+M13+M12+M10+M9+M8+M7+M6+M5+M4)/13</f>
        <v>108</v>
      </c>
      <c r="N19" s="293">
        <f>(N4+N5+N6+N7+N8+N9+N10+N12+N13+N14+N15+N16+N17+N18)/14</f>
        <v>497.64285714285717</v>
      </c>
      <c r="AA19" s="87"/>
      <c r="AC19" s="176">
        <f>SUM(AC4:AC18)</f>
        <v>32</v>
      </c>
    </row>
    <row r="20" spans="2:33">
      <c r="B20" s="2"/>
      <c r="C20" s="1"/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AA20" s="87"/>
      <c r="AC20" s="3"/>
    </row>
    <row r="21" spans="2:33" ht="15.75" thickBot="1">
      <c r="B21" s="2"/>
      <c r="C21" s="1"/>
      <c r="D21" s="19"/>
      <c r="E21" s="1"/>
      <c r="F21" s="1"/>
      <c r="G21" s="1"/>
      <c r="H21" s="1"/>
      <c r="I21" s="1"/>
      <c r="J21" s="1"/>
      <c r="K21" s="1"/>
      <c r="L21" s="1"/>
      <c r="M21" s="1"/>
      <c r="N21" s="1"/>
      <c r="P21" s="3"/>
      <c r="Q21" s="3"/>
      <c r="R21" s="3"/>
      <c r="S21" s="3"/>
      <c r="T21" s="3"/>
      <c r="U21" s="3"/>
      <c r="V21" s="3"/>
      <c r="W21" s="3"/>
      <c r="X21" s="3"/>
      <c r="Y21" s="3"/>
      <c r="AA21" s="3"/>
      <c r="AC21" s="89"/>
    </row>
    <row r="22" spans="2:33" s="11" customFormat="1" ht="15.75" thickBot="1">
      <c r="B22" s="2"/>
      <c r="C22" s="1"/>
      <c r="D22" s="335" t="s">
        <v>57</v>
      </c>
      <c r="E22" s="336"/>
      <c r="F22" s="336"/>
      <c r="G22" s="336"/>
      <c r="H22" s="336"/>
      <c r="I22" s="336"/>
      <c r="J22" s="336"/>
      <c r="K22" s="336"/>
      <c r="L22" s="337"/>
      <c r="M22" s="1"/>
      <c r="N22" s="1"/>
      <c r="P22" s="153" t="s">
        <v>36</v>
      </c>
      <c r="Q22" s="154"/>
      <c r="R22" s="154"/>
      <c r="S22" s="154"/>
      <c r="T22" s="154"/>
      <c r="U22" s="154"/>
      <c r="V22" s="154"/>
      <c r="W22" s="154"/>
      <c r="X22" s="155"/>
      <c r="Y22" s="19"/>
      <c r="Z22" s="3"/>
      <c r="AA22" s="19"/>
      <c r="AC22" s="19" t="s">
        <v>100</v>
      </c>
      <c r="AE22" s="145" t="s">
        <v>101</v>
      </c>
      <c r="AG22" s="138"/>
    </row>
    <row r="23" spans="2:33" s="11" customFormat="1" ht="15.75" thickBot="1">
      <c r="B23" s="12" t="s">
        <v>21</v>
      </c>
      <c r="C23" s="13" t="s">
        <v>22</v>
      </c>
      <c r="D23" s="26" t="s">
        <v>23</v>
      </c>
      <c r="E23" s="26" t="s">
        <v>24</v>
      </c>
      <c r="F23" s="26" t="s">
        <v>25</v>
      </c>
      <c r="G23" s="26" t="s">
        <v>26</v>
      </c>
      <c r="H23" s="26" t="s">
        <v>27</v>
      </c>
      <c r="I23" s="26" t="s">
        <v>28</v>
      </c>
      <c r="J23" s="26" t="s">
        <v>29</v>
      </c>
      <c r="K23" s="26" t="s">
        <v>30</v>
      </c>
      <c r="L23" s="26" t="s">
        <v>31</v>
      </c>
      <c r="M23" s="26" t="s">
        <v>81</v>
      </c>
      <c r="N23" s="26" t="s">
        <v>32</v>
      </c>
      <c r="P23" s="22" t="s">
        <v>23</v>
      </c>
      <c r="Q23" s="22" t="s">
        <v>24</v>
      </c>
      <c r="R23" s="22" t="s">
        <v>25</v>
      </c>
      <c r="S23" s="22" t="s">
        <v>26</v>
      </c>
      <c r="T23" s="22" t="s">
        <v>27</v>
      </c>
      <c r="U23" s="22" t="s">
        <v>28</v>
      </c>
      <c r="V23" s="22" t="s">
        <v>29</v>
      </c>
      <c r="W23" s="22" t="s">
        <v>30</v>
      </c>
      <c r="X23" s="22" t="s">
        <v>31</v>
      </c>
      <c r="Y23" s="23" t="s">
        <v>81</v>
      </c>
      <c r="Z23" s="24" t="s">
        <v>32</v>
      </c>
      <c r="AA23" s="27" t="s">
        <v>33</v>
      </c>
      <c r="AC23" s="169" t="s">
        <v>35</v>
      </c>
      <c r="AE23" s="302" t="e">
        <f>Tabell4[[#This Row],[Sum]]/5</f>
        <v>#VALUE!</v>
      </c>
      <c r="AG23" s="138"/>
    </row>
    <row r="24" spans="2:33" ht="15.75" thickBot="1">
      <c r="B24" s="16" t="s">
        <v>2</v>
      </c>
      <c r="C24" s="17" t="s">
        <v>3</v>
      </c>
      <c r="D24" s="173">
        <v>78</v>
      </c>
      <c r="E24" s="173">
        <v>70</v>
      </c>
      <c r="F24" s="173">
        <v>77</v>
      </c>
      <c r="G24" s="299">
        <v>126</v>
      </c>
      <c r="H24" s="173">
        <v>87</v>
      </c>
      <c r="I24" s="173">
        <v>81</v>
      </c>
      <c r="J24" s="173">
        <v>74</v>
      </c>
      <c r="K24" s="173">
        <v>71</v>
      </c>
      <c r="L24" s="173">
        <v>76</v>
      </c>
      <c r="M24" s="173">
        <v>85</v>
      </c>
      <c r="N24" s="164">
        <f>SMALL(D24:M24,1)+SMALL(D24:M24,2)+SMALL(D24:M24,3)+SMALL(D24:M24,4)++SMALL(D24:M24,5)</f>
        <v>368</v>
      </c>
      <c r="O24" s="3"/>
      <c r="P24" s="172">
        <v>5</v>
      </c>
      <c r="Q24" s="172">
        <v>1</v>
      </c>
      <c r="R24" s="172">
        <v>5</v>
      </c>
      <c r="S24" s="300">
        <v>15</v>
      </c>
      <c r="T24" s="172">
        <v>6</v>
      </c>
      <c r="U24" s="172">
        <v>2</v>
      </c>
      <c r="V24" s="172">
        <v>2</v>
      </c>
      <c r="W24" s="172">
        <v>1</v>
      </c>
      <c r="X24" s="172">
        <v>3</v>
      </c>
      <c r="Y24" s="172">
        <v>4</v>
      </c>
      <c r="Z24" s="170">
        <f>SMALL(P24:Y24,1)+SMALL(P24:Y24,2)+SMALL(P24:Y24,3)+SMALL(P24:Y24,4)+SMALL(P24:Y24,5)</f>
        <v>9</v>
      </c>
      <c r="AA24" s="178">
        <f t="shared" ref="AA24" si="2">RANK(Z24,Z24:Z38,1)</f>
        <v>1</v>
      </c>
      <c r="AC24" s="163">
        <v>3</v>
      </c>
      <c r="AE24" s="151">
        <f>Tabell4[[#This Row],[Sum]]/5</f>
        <v>73.599999999999994</v>
      </c>
      <c r="AG24" s="19"/>
    </row>
    <row r="25" spans="2:33" ht="15.75" thickBot="1">
      <c r="B25" s="6" t="s">
        <v>0</v>
      </c>
      <c r="C25" s="7" t="s">
        <v>1</v>
      </c>
      <c r="D25" s="173">
        <v>72</v>
      </c>
      <c r="E25" s="173">
        <v>81</v>
      </c>
      <c r="F25" s="173">
        <v>82</v>
      </c>
      <c r="G25" s="173">
        <v>76</v>
      </c>
      <c r="H25" s="173">
        <v>86</v>
      </c>
      <c r="I25" s="173">
        <v>86</v>
      </c>
      <c r="J25" s="173">
        <v>84</v>
      </c>
      <c r="K25" s="173">
        <v>73</v>
      </c>
      <c r="L25" s="173">
        <v>74</v>
      </c>
      <c r="M25" s="173">
        <v>83</v>
      </c>
      <c r="N25" s="164">
        <f t="shared" ref="N25:N39" si="3">SMALL(D25:M25,1)+SMALL(D25:M25,2)+SMALL(D25:M25,3)+SMALL(D25:M25,4)++SMALL(D25:M25,5)</f>
        <v>376</v>
      </c>
      <c r="O25" s="3"/>
      <c r="P25" s="172">
        <v>1</v>
      </c>
      <c r="Q25" s="172">
        <v>7</v>
      </c>
      <c r="R25" s="172">
        <v>8</v>
      </c>
      <c r="S25" s="172">
        <v>4</v>
      </c>
      <c r="T25" s="172">
        <v>5</v>
      </c>
      <c r="U25" s="172">
        <v>7</v>
      </c>
      <c r="V25" s="172">
        <v>8</v>
      </c>
      <c r="W25" s="172">
        <v>3</v>
      </c>
      <c r="X25" s="172">
        <v>1</v>
      </c>
      <c r="Y25" s="172">
        <v>3</v>
      </c>
      <c r="Z25" s="170">
        <f t="shared" ref="Z25:Z39" si="4">SMALL(P25:Y25,1)+SMALL(P25:Y25,2)+SMALL(P25:Y25,3)+SMALL(P25:Y25,4)+SMALL(P25:Y25,5)</f>
        <v>12</v>
      </c>
      <c r="AA25" s="178">
        <f>RANK(Z25,Z24:Z38,1)</f>
        <v>3</v>
      </c>
      <c r="AC25" s="163">
        <v>4</v>
      </c>
      <c r="AE25" s="151">
        <f>Tabell4[[#This Row],[Sum]]/5</f>
        <v>75.2</v>
      </c>
      <c r="AG25" s="19"/>
    </row>
    <row r="26" spans="2:33" ht="15.75" thickBot="1">
      <c r="B26" s="6" t="s">
        <v>4</v>
      </c>
      <c r="C26" s="7" t="s">
        <v>5</v>
      </c>
      <c r="D26" s="173">
        <v>79</v>
      </c>
      <c r="E26" s="299">
        <v>126</v>
      </c>
      <c r="F26" s="173">
        <v>81</v>
      </c>
      <c r="G26" s="173">
        <v>83</v>
      </c>
      <c r="H26" s="173">
        <v>80</v>
      </c>
      <c r="I26" s="173">
        <v>89</v>
      </c>
      <c r="J26" s="173">
        <v>79</v>
      </c>
      <c r="K26" s="173">
        <v>71</v>
      </c>
      <c r="L26" s="173">
        <v>87</v>
      </c>
      <c r="M26" s="173">
        <v>92</v>
      </c>
      <c r="N26" s="164">
        <f t="shared" si="3"/>
        <v>390</v>
      </c>
      <c r="O26" s="3"/>
      <c r="P26" s="172">
        <v>7</v>
      </c>
      <c r="Q26" s="300">
        <v>15</v>
      </c>
      <c r="R26" s="172">
        <v>7</v>
      </c>
      <c r="S26" s="172">
        <v>7</v>
      </c>
      <c r="T26" s="172">
        <v>1</v>
      </c>
      <c r="U26" s="172">
        <v>8</v>
      </c>
      <c r="V26" s="172">
        <v>6</v>
      </c>
      <c r="W26" s="172">
        <v>2</v>
      </c>
      <c r="X26" s="172">
        <v>7</v>
      </c>
      <c r="Y26" s="172">
        <v>7</v>
      </c>
      <c r="Z26" s="170">
        <f t="shared" si="4"/>
        <v>23</v>
      </c>
      <c r="AA26" s="178">
        <f>RANK(Z26,Z24:Z38,1)</f>
        <v>8</v>
      </c>
      <c r="AC26" s="163"/>
      <c r="AE26" s="151">
        <f>Tabell4[[#This Row],[Sum]]/5</f>
        <v>78</v>
      </c>
      <c r="AG26" s="19"/>
    </row>
    <row r="27" spans="2:33" ht="15.75" thickBot="1">
      <c r="B27" s="6" t="s">
        <v>14</v>
      </c>
      <c r="C27" s="7" t="s">
        <v>13</v>
      </c>
      <c r="D27" s="299">
        <v>126</v>
      </c>
      <c r="E27" s="173">
        <v>85</v>
      </c>
      <c r="F27" s="299">
        <v>126</v>
      </c>
      <c r="G27" s="299">
        <v>126</v>
      </c>
      <c r="H27" s="173">
        <v>82</v>
      </c>
      <c r="I27" s="299">
        <v>126</v>
      </c>
      <c r="J27" s="173">
        <v>86</v>
      </c>
      <c r="K27" s="173">
        <v>79</v>
      </c>
      <c r="L27" s="173">
        <v>94</v>
      </c>
      <c r="M27" s="173">
        <v>100</v>
      </c>
      <c r="N27" s="164">
        <f t="shared" si="3"/>
        <v>426</v>
      </c>
      <c r="O27" s="3"/>
      <c r="P27" s="300">
        <v>15</v>
      </c>
      <c r="Q27" s="172">
        <v>8</v>
      </c>
      <c r="R27" s="300">
        <v>15</v>
      </c>
      <c r="S27" s="300">
        <v>15</v>
      </c>
      <c r="T27" s="172">
        <v>2</v>
      </c>
      <c r="U27" s="172">
        <v>15</v>
      </c>
      <c r="V27" s="172">
        <v>10</v>
      </c>
      <c r="W27" s="172">
        <v>7</v>
      </c>
      <c r="X27" s="172">
        <v>10</v>
      </c>
      <c r="Y27" s="172">
        <v>15</v>
      </c>
      <c r="Z27" s="170">
        <f t="shared" si="4"/>
        <v>37</v>
      </c>
      <c r="AA27" s="178">
        <f>RANK(Z27,Z24:Z38,1)</f>
        <v>10</v>
      </c>
      <c r="AC27" s="163"/>
      <c r="AE27" s="151">
        <f>Tabell4[[#This Row],[Sum]]/5</f>
        <v>85.2</v>
      </c>
      <c r="AG27" s="19"/>
    </row>
    <row r="28" spans="2:33" ht="15.75" thickBot="1">
      <c r="B28" s="6" t="s">
        <v>10</v>
      </c>
      <c r="C28" s="7" t="s">
        <v>11</v>
      </c>
      <c r="D28" s="173">
        <v>75</v>
      </c>
      <c r="E28" s="173">
        <v>75</v>
      </c>
      <c r="F28" s="173">
        <v>75</v>
      </c>
      <c r="G28" s="173">
        <v>70</v>
      </c>
      <c r="H28" s="173">
        <v>83</v>
      </c>
      <c r="I28" s="173">
        <v>82</v>
      </c>
      <c r="J28" s="173">
        <v>77</v>
      </c>
      <c r="K28" s="173">
        <v>76</v>
      </c>
      <c r="L28" s="173">
        <v>86</v>
      </c>
      <c r="M28" s="173">
        <v>94</v>
      </c>
      <c r="N28" s="164">
        <f t="shared" si="3"/>
        <v>371</v>
      </c>
      <c r="O28" s="3"/>
      <c r="P28" s="172">
        <v>4</v>
      </c>
      <c r="Q28" s="172">
        <v>4</v>
      </c>
      <c r="R28" s="172">
        <v>4</v>
      </c>
      <c r="S28" s="172">
        <v>1</v>
      </c>
      <c r="T28" s="172">
        <v>3</v>
      </c>
      <c r="U28" s="172">
        <v>3</v>
      </c>
      <c r="V28" s="172">
        <v>3</v>
      </c>
      <c r="W28" s="172">
        <v>6</v>
      </c>
      <c r="X28" s="172">
        <v>5</v>
      </c>
      <c r="Y28" s="172">
        <v>8</v>
      </c>
      <c r="Z28" s="170">
        <f t="shared" si="4"/>
        <v>14</v>
      </c>
      <c r="AA28" s="178">
        <f>RANK(Z28,Z24:Z38,1)</f>
        <v>4</v>
      </c>
      <c r="AC28" s="163">
        <v>2</v>
      </c>
      <c r="AE28" s="151">
        <f>Tabell4[[#This Row],[Sum]]/5</f>
        <v>74.2</v>
      </c>
      <c r="AG28" s="19"/>
    </row>
    <row r="29" spans="2:33" ht="15.75" thickBot="1">
      <c r="B29" s="6" t="s">
        <v>6</v>
      </c>
      <c r="C29" s="7" t="s">
        <v>7</v>
      </c>
      <c r="D29" s="173">
        <v>73</v>
      </c>
      <c r="E29" s="299">
        <v>126</v>
      </c>
      <c r="F29" s="173">
        <v>66</v>
      </c>
      <c r="G29" s="173">
        <v>76</v>
      </c>
      <c r="H29" s="173">
        <v>91</v>
      </c>
      <c r="I29" s="299">
        <v>126</v>
      </c>
      <c r="J29" s="173">
        <v>81</v>
      </c>
      <c r="K29" s="173">
        <v>74</v>
      </c>
      <c r="L29" s="173">
        <v>93</v>
      </c>
      <c r="M29" s="173">
        <v>77</v>
      </c>
      <c r="N29" s="164">
        <f t="shared" si="3"/>
        <v>366</v>
      </c>
      <c r="O29" s="3"/>
      <c r="P29" s="172">
        <v>3</v>
      </c>
      <c r="Q29" s="300">
        <v>15</v>
      </c>
      <c r="R29" s="172">
        <v>1</v>
      </c>
      <c r="S29" s="172">
        <v>5</v>
      </c>
      <c r="T29" s="172">
        <v>11</v>
      </c>
      <c r="U29" s="300">
        <v>15</v>
      </c>
      <c r="V29" s="172">
        <v>7</v>
      </c>
      <c r="W29" s="172">
        <v>4</v>
      </c>
      <c r="X29" s="172">
        <v>9</v>
      </c>
      <c r="Y29" s="172">
        <v>1</v>
      </c>
      <c r="Z29" s="170">
        <f t="shared" si="4"/>
        <v>14</v>
      </c>
      <c r="AA29" s="178">
        <f>RANK(Z29,Z24:Z38,1)</f>
        <v>4</v>
      </c>
      <c r="AC29" s="163"/>
      <c r="AE29" s="151">
        <f>Tabell4[[#This Row],[Sum]]/5</f>
        <v>73.2</v>
      </c>
      <c r="AG29" s="19"/>
    </row>
    <row r="30" spans="2:33" ht="15.75" thickBot="1">
      <c r="B30" s="6" t="s">
        <v>8</v>
      </c>
      <c r="C30" s="7" t="s">
        <v>9</v>
      </c>
      <c r="D30" s="173">
        <v>84</v>
      </c>
      <c r="E30" s="173">
        <v>75</v>
      </c>
      <c r="F30" s="173">
        <v>77</v>
      </c>
      <c r="G30" s="173">
        <v>75</v>
      </c>
      <c r="H30" s="173">
        <v>89</v>
      </c>
      <c r="I30" s="173">
        <v>88</v>
      </c>
      <c r="J30" s="173">
        <v>84</v>
      </c>
      <c r="K30" s="173">
        <v>80</v>
      </c>
      <c r="L30" s="173">
        <v>75</v>
      </c>
      <c r="M30" s="173">
        <v>92</v>
      </c>
      <c r="N30" s="164">
        <f t="shared" si="3"/>
        <v>382</v>
      </c>
      <c r="O30" s="3"/>
      <c r="P30" s="172">
        <v>8</v>
      </c>
      <c r="Q30" s="172">
        <v>3</v>
      </c>
      <c r="R30" s="172">
        <v>6</v>
      </c>
      <c r="S30" s="172">
        <v>2</v>
      </c>
      <c r="T30" s="172">
        <v>8</v>
      </c>
      <c r="U30" s="300">
        <v>15</v>
      </c>
      <c r="V30" s="172">
        <v>9</v>
      </c>
      <c r="W30" s="172">
        <v>8</v>
      </c>
      <c r="X30" s="172">
        <v>2</v>
      </c>
      <c r="Y30" s="172">
        <v>6</v>
      </c>
      <c r="Z30" s="170">
        <f t="shared" si="4"/>
        <v>19</v>
      </c>
      <c r="AA30" s="178">
        <f>RANK(Z30,Z24:Z38,1)</f>
        <v>7</v>
      </c>
      <c r="AC30" s="163">
        <v>3</v>
      </c>
      <c r="AE30" s="151">
        <f>Tabell4[[#This Row],[Sum]]/5</f>
        <v>76.400000000000006</v>
      </c>
      <c r="AG30" s="19"/>
    </row>
    <row r="31" spans="2:33" ht="15.75" thickBot="1">
      <c r="B31" s="6" t="s">
        <v>141</v>
      </c>
      <c r="C31" s="7" t="s">
        <v>142</v>
      </c>
      <c r="D31" s="299">
        <v>126</v>
      </c>
      <c r="E31" s="299">
        <v>126</v>
      </c>
      <c r="F31" s="173">
        <v>87</v>
      </c>
      <c r="G31" s="173">
        <v>81</v>
      </c>
      <c r="H31" s="173">
        <v>84</v>
      </c>
      <c r="I31" s="173">
        <v>85</v>
      </c>
      <c r="J31" s="173">
        <v>93</v>
      </c>
      <c r="K31" s="173">
        <v>102</v>
      </c>
      <c r="L31" s="299">
        <v>126</v>
      </c>
      <c r="M31" s="299">
        <v>126</v>
      </c>
      <c r="N31" s="164">
        <f t="shared" si="3"/>
        <v>430</v>
      </c>
      <c r="O31" s="3"/>
      <c r="P31" s="300">
        <v>15</v>
      </c>
      <c r="Q31" s="300">
        <v>15</v>
      </c>
      <c r="R31" s="172">
        <v>11</v>
      </c>
      <c r="S31" s="172">
        <v>6</v>
      </c>
      <c r="T31" s="172">
        <v>4</v>
      </c>
      <c r="U31" s="172">
        <v>6</v>
      </c>
      <c r="V31" s="172">
        <v>13</v>
      </c>
      <c r="W31" s="172">
        <v>12</v>
      </c>
      <c r="X31" s="172">
        <v>15</v>
      </c>
      <c r="Y31" s="172">
        <v>15</v>
      </c>
      <c r="Z31" s="170">
        <f t="shared" si="4"/>
        <v>39</v>
      </c>
      <c r="AA31" s="178">
        <f>RANK(Z31,Z24:Z38,1)</f>
        <v>11</v>
      </c>
      <c r="AC31" s="163"/>
      <c r="AE31" s="151">
        <f>Tabell4[[#This Row],[Sum]]/5</f>
        <v>86</v>
      </c>
      <c r="AG31" s="19"/>
    </row>
    <row r="32" spans="2:33" ht="15.75" thickBot="1">
      <c r="B32" s="6" t="s">
        <v>17</v>
      </c>
      <c r="C32" s="7" t="s">
        <v>18</v>
      </c>
      <c r="D32" s="173">
        <v>78</v>
      </c>
      <c r="E32" s="173">
        <v>75</v>
      </c>
      <c r="F32" s="299">
        <v>126</v>
      </c>
      <c r="G32" s="299">
        <v>126</v>
      </c>
      <c r="H32" s="173">
        <v>93</v>
      </c>
      <c r="I32" s="299">
        <v>126</v>
      </c>
      <c r="J32" s="173">
        <v>88</v>
      </c>
      <c r="K32" s="299">
        <v>126</v>
      </c>
      <c r="L32" s="173">
        <v>91</v>
      </c>
      <c r="M32" s="173">
        <v>96</v>
      </c>
      <c r="N32" s="164">
        <f t="shared" si="3"/>
        <v>425</v>
      </c>
      <c r="O32" s="3"/>
      <c r="P32" s="172">
        <v>6</v>
      </c>
      <c r="Q32" s="172">
        <v>5</v>
      </c>
      <c r="R32" s="300">
        <v>15</v>
      </c>
      <c r="S32" s="300">
        <v>15</v>
      </c>
      <c r="T32" s="172">
        <v>12</v>
      </c>
      <c r="U32" s="300">
        <v>15</v>
      </c>
      <c r="V32" s="172">
        <v>12</v>
      </c>
      <c r="W32" s="300">
        <v>15</v>
      </c>
      <c r="X32" s="172">
        <v>8</v>
      </c>
      <c r="Y32" s="172">
        <v>11</v>
      </c>
      <c r="Z32" s="170">
        <f t="shared" si="4"/>
        <v>42</v>
      </c>
      <c r="AA32" s="178">
        <f>RANK(Z32,Z24:Z38,1)</f>
        <v>12</v>
      </c>
      <c r="AC32" s="163">
        <v>1</v>
      </c>
      <c r="AE32" s="151">
        <f>Tabell4[[#This Row],[Sum]]/5</f>
        <v>85</v>
      </c>
      <c r="AG32" s="19"/>
    </row>
    <row r="33" spans="2:33" ht="15.75" thickBot="1">
      <c r="B33" s="6" t="s">
        <v>15</v>
      </c>
      <c r="C33" s="7" t="s">
        <v>16</v>
      </c>
      <c r="D33" s="173">
        <v>87</v>
      </c>
      <c r="E33" s="173">
        <v>79</v>
      </c>
      <c r="F33" s="173">
        <v>71</v>
      </c>
      <c r="G33" s="173">
        <v>75</v>
      </c>
      <c r="H33" s="173">
        <v>89</v>
      </c>
      <c r="I33" s="173">
        <v>84</v>
      </c>
      <c r="J33" s="173">
        <v>78</v>
      </c>
      <c r="K33" s="173">
        <v>85</v>
      </c>
      <c r="L33" s="173">
        <v>83</v>
      </c>
      <c r="M33" s="173">
        <v>96</v>
      </c>
      <c r="N33" s="164">
        <f t="shared" si="3"/>
        <v>386</v>
      </c>
      <c r="O33" s="3"/>
      <c r="P33" s="172">
        <v>10</v>
      </c>
      <c r="Q33" s="172">
        <v>6</v>
      </c>
      <c r="R33" s="172">
        <v>2</v>
      </c>
      <c r="S33" s="172">
        <v>3</v>
      </c>
      <c r="T33" s="172">
        <v>9</v>
      </c>
      <c r="U33" s="172">
        <v>4</v>
      </c>
      <c r="V33" s="172">
        <v>4</v>
      </c>
      <c r="W33" s="172">
        <v>9</v>
      </c>
      <c r="X33" s="172">
        <v>4</v>
      </c>
      <c r="Y33" s="172">
        <v>10</v>
      </c>
      <c r="Z33" s="170">
        <f t="shared" si="4"/>
        <v>17</v>
      </c>
      <c r="AA33" s="178">
        <f>RANK(Z33,Z24:Z38,1)</f>
        <v>6</v>
      </c>
      <c r="AC33" s="163">
        <v>2</v>
      </c>
      <c r="AE33" s="151">
        <f>Tabell4[[#This Row],[Sum]]/5</f>
        <v>77.2</v>
      </c>
      <c r="AG33" s="19"/>
    </row>
    <row r="34" spans="2:33" ht="15.75" thickBot="1">
      <c r="B34" s="6" t="s">
        <v>113</v>
      </c>
      <c r="C34" s="7" t="s">
        <v>114</v>
      </c>
      <c r="D34" s="173">
        <v>100</v>
      </c>
      <c r="E34" s="299">
        <v>126</v>
      </c>
      <c r="F34" s="173">
        <v>87</v>
      </c>
      <c r="G34" s="173">
        <v>91</v>
      </c>
      <c r="H34" s="299">
        <v>126</v>
      </c>
      <c r="I34" s="299">
        <v>126</v>
      </c>
      <c r="J34" s="173">
        <v>96</v>
      </c>
      <c r="K34" s="173">
        <v>86</v>
      </c>
      <c r="L34" s="173">
        <v>99</v>
      </c>
      <c r="M34" s="173">
        <v>87</v>
      </c>
      <c r="N34" s="164">
        <f t="shared" si="3"/>
        <v>447</v>
      </c>
      <c r="O34" s="3"/>
      <c r="P34" s="172">
        <v>11</v>
      </c>
      <c r="Q34" s="300">
        <v>15</v>
      </c>
      <c r="R34" s="172">
        <v>10</v>
      </c>
      <c r="S34" s="172">
        <v>10</v>
      </c>
      <c r="T34" s="300">
        <v>15</v>
      </c>
      <c r="U34" s="300">
        <v>15</v>
      </c>
      <c r="V34" s="172">
        <v>14</v>
      </c>
      <c r="W34" s="172">
        <v>10</v>
      </c>
      <c r="X34" s="172">
        <v>12</v>
      </c>
      <c r="Y34" s="172">
        <v>5</v>
      </c>
      <c r="Z34" s="170">
        <f t="shared" si="4"/>
        <v>46</v>
      </c>
      <c r="AA34" s="178">
        <f>RANK(Z34,Z24:Z38,1)</f>
        <v>13</v>
      </c>
      <c r="AC34" s="163">
        <v>1</v>
      </c>
      <c r="AE34" s="151">
        <f>Tabell4[[#This Row],[Sum]]/5</f>
        <v>89.4</v>
      </c>
      <c r="AG34" s="19"/>
    </row>
    <row r="35" spans="2:33" ht="15.75" thickBot="1">
      <c r="B35" s="6" t="s">
        <v>8</v>
      </c>
      <c r="C35" s="7" t="s">
        <v>19</v>
      </c>
      <c r="D35" s="299">
        <v>126</v>
      </c>
      <c r="E35" s="299">
        <v>126</v>
      </c>
      <c r="F35" s="299">
        <v>126</v>
      </c>
      <c r="G35" s="299">
        <v>126</v>
      </c>
      <c r="H35" s="173">
        <v>98</v>
      </c>
      <c r="I35" s="299">
        <v>126</v>
      </c>
      <c r="J35" s="299">
        <v>126</v>
      </c>
      <c r="K35" s="299">
        <v>126</v>
      </c>
      <c r="L35" s="173">
        <v>86</v>
      </c>
      <c r="M35" s="173">
        <v>98</v>
      </c>
      <c r="N35" s="164">
        <f t="shared" si="3"/>
        <v>534</v>
      </c>
      <c r="O35" s="3"/>
      <c r="P35" s="300">
        <v>15</v>
      </c>
      <c r="Q35" s="300">
        <v>15</v>
      </c>
      <c r="R35" s="300">
        <v>15</v>
      </c>
      <c r="S35" s="300">
        <v>15</v>
      </c>
      <c r="T35" s="172">
        <v>14</v>
      </c>
      <c r="U35" s="300">
        <v>15</v>
      </c>
      <c r="V35" s="300">
        <v>15</v>
      </c>
      <c r="W35" s="300">
        <v>15</v>
      </c>
      <c r="X35" s="172">
        <v>6</v>
      </c>
      <c r="Y35" s="172">
        <v>12</v>
      </c>
      <c r="Z35" s="170">
        <f t="shared" si="4"/>
        <v>62</v>
      </c>
      <c r="AA35" s="178">
        <f>RANK(Z35,Z24:Z38,1)</f>
        <v>15</v>
      </c>
      <c r="AC35" s="163"/>
      <c r="AE35" s="151">
        <f>Tabell4[[#This Row],[Sum]]/5</f>
        <v>106.8</v>
      </c>
      <c r="AG35" s="19"/>
    </row>
    <row r="36" spans="2:33" ht="15.75" thickBot="1">
      <c r="B36" s="6" t="s">
        <v>12</v>
      </c>
      <c r="C36" s="7" t="s">
        <v>13</v>
      </c>
      <c r="D36" s="299">
        <v>126</v>
      </c>
      <c r="E36" s="173">
        <v>87</v>
      </c>
      <c r="F36" s="173">
        <v>85</v>
      </c>
      <c r="G36" s="173">
        <v>106</v>
      </c>
      <c r="H36" s="173">
        <v>98</v>
      </c>
      <c r="I36" s="173">
        <v>99</v>
      </c>
      <c r="J36" s="173">
        <v>86</v>
      </c>
      <c r="K36" s="299">
        <v>126</v>
      </c>
      <c r="L36" s="173">
        <v>99</v>
      </c>
      <c r="M36" s="173">
        <v>94</v>
      </c>
      <c r="N36" s="164">
        <f t="shared" si="3"/>
        <v>450</v>
      </c>
      <c r="O36" s="3"/>
      <c r="P36" s="300">
        <v>15</v>
      </c>
      <c r="Q36" s="172">
        <v>9</v>
      </c>
      <c r="R36" s="172">
        <v>9</v>
      </c>
      <c r="S36" s="172">
        <v>11</v>
      </c>
      <c r="T36" s="172">
        <v>13</v>
      </c>
      <c r="U36" s="172">
        <v>10</v>
      </c>
      <c r="V36" s="172">
        <v>11</v>
      </c>
      <c r="W36" s="300">
        <v>15</v>
      </c>
      <c r="X36" s="172">
        <v>13</v>
      </c>
      <c r="Y36" s="172">
        <v>9</v>
      </c>
      <c r="Z36" s="170">
        <f t="shared" si="4"/>
        <v>48</v>
      </c>
      <c r="AA36" s="178">
        <f>RANK(Z36,Z24:Z38,1)</f>
        <v>14</v>
      </c>
      <c r="AC36" s="163"/>
      <c r="AE36" s="151">
        <f>Tabell4[[#This Row],[Sum]]/5</f>
        <v>90</v>
      </c>
      <c r="AG36" s="19"/>
    </row>
    <row r="37" spans="2:33" ht="15.75" thickBot="1">
      <c r="B37" s="8" t="s">
        <v>122</v>
      </c>
      <c r="C37" s="9" t="s">
        <v>123</v>
      </c>
      <c r="D37" s="173">
        <v>84</v>
      </c>
      <c r="E37" s="299">
        <v>126</v>
      </c>
      <c r="F37" s="299">
        <v>126</v>
      </c>
      <c r="G37" s="173">
        <v>85</v>
      </c>
      <c r="H37" s="173">
        <v>89</v>
      </c>
      <c r="I37" s="173">
        <v>98</v>
      </c>
      <c r="J37" s="173">
        <v>78</v>
      </c>
      <c r="K37" s="173">
        <v>75</v>
      </c>
      <c r="L37" s="173">
        <v>97</v>
      </c>
      <c r="M37" s="173">
        <v>80</v>
      </c>
      <c r="N37" s="164">
        <f t="shared" si="3"/>
        <v>402</v>
      </c>
      <c r="O37" s="3"/>
      <c r="P37" s="172">
        <v>9</v>
      </c>
      <c r="Q37" s="300">
        <v>15</v>
      </c>
      <c r="R37" s="300">
        <v>15</v>
      </c>
      <c r="S37" s="172">
        <v>8</v>
      </c>
      <c r="T37" s="172">
        <v>10</v>
      </c>
      <c r="U37" s="172">
        <v>9</v>
      </c>
      <c r="V37" s="172">
        <v>5</v>
      </c>
      <c r="W37" s="172">
        <v>5</v>
      </c>
      <c r="X37" s="172">
        <v>11</v>
      </c>
      <c r="Y37" s="172">
        <v>2</v>
      </c>
      <c r="Z37" s="170">
        <f t="shared" si="4"/>
        <v>29</v>
      </c>
      <c r="AA37" s="178">
        <f>RANK(Z37,Z24:Z38,1)</f>
        <v>9</v>
      </c>
      <c r="AC37" s="163">
        <v>1</v>
      </c>
      <c r="AD37" s="19"/>
      <c r="AE37" s="151">
        <f>Tabell4[[#This Row],[Sum]]/5</f>
        <v>80.400000000000006</v>
      </c>
      <c r="AF37" s="19"/>
    </row>
    <row r="38" spans="2:33" ht="15.75" thickBot="1">
      <c r="B38" s="8" t="s">
        <v>117</v>
      </c>
      <c r="C38" s="9" t="s">
        <v>118</v>
      </c>
      <c r="D38" s="173">
        <v>73</v>
      </c>
      <c r="E38" s="173">
        <v>74</v>
      </c>
      <c r="F38" s="173">
        <v>73</v>
      </c>
      <c r="G38" s="173">
        <v>87</v>
      </c>
      <c r="H38" s="173">
        <v>88</v>
      </c>
      <c r="I38" s="173">
        <v>81</v>
      </c>
      <c r="J38" s="173">
        <v>73</v>
      </c>
      <c r="K38" s="173">
        <v>93</v>
      </c>
      <c r="L38" s="299">
        <v>126</v>
      </c>
      <c r="M38" s="299">
        <v>126</v>
      </c>
      <c r="N38" s="164">
        <f t="shared" si="3"/>
        <v>374</v>
      </c>
      <c r="P38" s="172">
        <v>2</v>
      </c>
      <c r="Q38" s="172">
        <v>2</v>
      </c>
      <c r="R38" s="172">
        <v>3</v>
      </c>
      <c r="S38" s="172">
        <v>9</v>
      </c>
      <c r="T38" s="172">
        <v>7</v>
      </c>
      <c r="U38" s="172">
        <v>1</v>
      </c>
      <c r="V38" s="172">
        <v>1</v>
      </c>
      <c r="W38" s="172">
        <v>11</v>
      </c>
      <c r="X38" s="172">
        <v>15</v>
      </c>
      <c r="Y38" s="172">
        <v>13</v>
      </c>
      <c r="Z38" s="170">
        <f t="shared" si="4"/>
        <v>9</v>
      </c>
      <c r="AA38" s="178">
        <f>RANK(Z38,Z24:Z38,1)</f>
        <v>1</v>
      </c>
      <c r="AC38" s="163">
        <v>2</v>
      </c>
      <c r="AE38" s="151">
        <f>Tabell4[[#This Row],[Sum]]/5</f>
        <v>74.8</v>
      </c>
    </row>
    <row r="39" spans="2:33" ht="15.75" thickBot="1">
      <c r="B39" s="8"/>
      <c r="C39" s="9" t="s">
        <v>50</v>
      </c>
      <c r="D39" s="150">
        <f>SUM(D24+D25+D26+D28+D29+D30+D32+D33+D34+D37+D38)/11</f>
        <v>80.272727272727266</v>
      </c>
      <c r="E39" s="150">
        <f>(E24+E25+E27+E28+E30+E32+E33+E36+E38)/9</f>
        <v>77.888888888888886</v>
      </c>
      <c r="F39" s="177">
        <f>(F24+F25+F26+F28+F29+F30+F31+F33+F34+F36+F38)/11</f>
        <v>78.272727272727266</v>
      </c>
      <c r="G39" s="150">
        <f>(G25+G26+G28+G29+G30+G31+G33+G34+G36+G37+G38)/11</f>
        <v>82.272727272727266</v>
      </c>
      <c r="H39" s="150">
        <f>(H27+H36+H31+H24+H25+H26+H28+H29+H30+H32+H33+H35+H37+H38)/14</f>
        <v>88.357142857142861</v>
      </c>
      <c r="I39" s="150">
        <f>(I24+I25+I26+I28+I30+I31+I33+I36+I37+I38)/10</f>
        <v>87.3</v>
      </c>
      <c r="J39" s="150">
        <f>(J24+J25+J26+J27+J28+J29+J30+J31+J32+J33+J34+J36+J37+J38)/14</f>
        <v>82.642857142857139</v>
      </c>
      <c r="K39" s="150">
        <f>(K24+K25+K26+K27+K28+K29+K30+K31+K33+K34+K37+K38)/12</f>
        <v>80.416666666666671</v>
      </c>
      <c r="L39" s="150">
        <f>(L37+L36+L35+L34+L33+L32+L30+L29+L28+L27+L26+L25+L24)/13</f>
        <v>87.692307692307693</v>
      </c>
      <c r="M39" s="150">
        <f>SUM(M37+M36+M35+M34+M33+M32+M30+M29+M28+M27+M26+M25+M24)/13</f>
        <v>90.307692307692307</v>
      </c>
      <c r="N39" s="164">
        <f t="shared" si="3"/>
        <v>399.12373737373736</v>
      </c>
      <c r="P39" s="172"/>
      <c r="Q39" s="224"/>
      <c r="R39" s="224"/>
      <c r="S39" s="224"/>
      <c r="T39" s="225"/>
      <c r="U39" s="225"/>
      <c r="V39" s="225"/>
      <c r="W39" s="225"/>
      <c r="X39" s="225"/>
      <c r="Y39" s="226"/>
      <c r="Z39" s="170" t="e">
        <f t="shared" si="4"/>
        <v>#NUM!</v>
      </c>
      <c r="AC39" s="179">
        <f>SUM(AC24:AC38)</f>
        <v>19</v>
      </c>
    </row>
  </sheetData>
  <mergeCells count="2">
    <mergeCell ref="D2:L2"/>
    <mergeCell ref="D22:L22"/>
  </mergeCells>
  <conditionalFormatting sqref="B4:C18">
    <cfRule type="dataBar" priority="21">
      <dataBar>
        <cfvo type="min"/>
        <cfvo type="max"/>
        <color rgb="FFD6007B"/>
      </dataBar>
    </cfRule>
    <cfRule type="colorScale" priority="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A4:AA18">
    <cfRule type="iconSet" priority="13">
      <iconSet iconSet="5Arrows" reverse="1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4Arrows">
        <cfvo type="percent" val="0"/>
        <cfvo type="percent" val="25"/>
        <cfvo type="percent" val="50"/>
        <cfvo type="percent" val="75"/>
      </iconSet>
    </cfRule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AA24:AA38">
    <cfRule type="iconSet" priority="9">
      <iconSet iconSet="5Arrows" reverse="1">
        <cfvo type="percent" val="0"/>
        <cfvo type="percent" val="20"/>
        <cfvo type="percent" val="40"/>
        <cfvo type="percent" val="60"/>
        <cfvo type="percent" val="80"/>
      </iconSet>
    </cfRule>
    <cfRule type="iconSet" priority="1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1">
      <iconSet iconSet="4Arrows">
        <cfvo type="percent" val="0"/>
        <cfvo type="percent" val="25"/>
        <cfvo type="percent" val="50"/>
        <cfvo type="percent" val="75"/>
      </iconSet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AA18">
    <cfRule type="iconSet" priority="5">
      <iconSet iconSet="5Arrows" reverse="1">
        <cfvo type="percent" val="0"/>
        <cfvo type="percent" val="20"/>
        <cfvo type="percent" val="40"/>
        <cfvo type="percent" val="60"/>
        <cfvo type="percent" val="80"/>
      </iconSet>
    </cfRule>
    <cfRule type="iconSet" priority="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7">
      <iconSet iconSet="4Arrows">
        <cfvo type="percent" val="0"/>
        <cfvo type="percent" val="25"/>
        <cfvo type="percent" val="50"/>
        <cfvo type="percent" val="75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scale="63" orientation="landscape" horizontalDpi="4294967293" verticalDpi="4294967293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N26"/>
  <sheetViews>
    <sheetView workbookViewId="0">
      <selection activeCell="F15" sqref="F15"/>
    </sheetView>
  </sheetViews>
  <sheetFormatPr defaultColWidth="8.85546875" defaultRowHeight="15"/>
  <cols>
    <col min="1" max="1" width="8.85546875" style="3"/>
    <col min="2" max="2" width="7.42578125" style="3" bestFit="1" customWidth="1"/>
    <col min="3" max="3" width="11.7109375" style="3" bestFit="1" customWidth="1"/>
    <col min="4" max="5" width="11" style="19" customWidth="1"/>
    <col min="6" max="6" width="11" style="53" customWidth="1"/>
    <col min="7" max="8" width="8.85546875" style="3"/>
    <col min="9" max="9" width="11.7109375" style="3" bestFit="1" customWidth="1"/>
    <col min="10" max="10" width="8.85546875" style="3"/>
    <col min="11" max="11" width="11.42578125" style="3" bestFit="1" customWidth="1"/>
    <col min="12" max="13" width="8.85546875" style="3"/>
    <col min="14" max="14" width="7.42578125" style="3" customWidth="1"/>
    <col min="15" max="16384" width="8.85546875" style="3"/>
  </cols>
  <sheetData>
    <row r="3" spans="2:14" ht="15.75" thickBot="1">
      <c r="B3" s="18" t="s">
        <v>21</v>
      </c>
      <c r="C3" s="18" t="s">
        <v>22</v>
      </c>
      <c r="D3" s="47" t="s">
        <v>38</v>
      </c>
      <c r="E3" s="47" t="s">
        <v>39</v>
      </c>
      <c r="F3" s="54" t="s">
        <v>40</v>
      </c>
      <c r="H3" s="18" t="s">
        <v>21</v>
      </c>
      <c r="I3" s="18" t="s">
        <v>22</v>
      </c>
      <c r="J3" s="47" t="s">
        <v>41</v>
      </c>
      <c r="K3" s="47" t="s">
        <v>42</v>
      </c>
      <c r="L3" s="54" t="s">
        <v>40</v>
      </c>
      <c r="N3" s="14" t="s">
        <v>107</v>
      </c>
    </row>
    <row r="4" spans="2:14" ht="15.75" thickBot="1">
      <c r="B4" s="37" t="s">
        <v>6</v>
      </c>
      <c r="C4" s="38" t="s">
        <v>7</v>
      </c>
      <c r="D4" s="55">
        <v>58</v>
      </c>
      <c r="E4" s="50">
        <f>Scoreboard!AC9</f>
        <v>2</v>
      </c>
      <c r="F4" s="108">
        <f t="shared" ref="F4:F17" si="0">D4+E4</f>
        <v>60</v>
      </c>
      <c r="H4" s="37" t="s">
        <v>0</v>
      </c>
      <c r="I4" s="38" t="s">
        <v>1</v>
      </c>
      <c r="J4" s="55">
        <v>29</v>
      </c>
      <c r="K4" s="50">
        <f>Scoreboard!AC25</f>
        <v>4</v>
      </c>
      <c r="L4" s="55">
        <f t="shared" ref="L4:L17" si="1">J4+K4</f>
        <v>33</v>
      </c>
      <c r="N4" s="47">
        <v>0</v>
      </c>
    </row>
    <row r="5" spans="2:14" ht="15.75" thickBot="1">
      <c r="B5" s="16" t="s">
        <v>10</v>
      </c>
      <c r="C5" s="17" t="s">
        <v>11</v>
      </c>
      <c r="D5" s="56">
        <v>21</v>
      </c>
      <c r="E5" s="50">
        <v>1</v>
      </c>
      <c r="F5" s="109">
        <f t="shared" si="0"/>
        <v>22</v>
      </c>
      <c r="H5" s="6" t="s">
        <v>0</v>
      </c>
      <c r="I5" s="7" t="s">
        <v>128</v>
      </c>
      <c r="J5" s="56">
        <v>7</v>
      </c>
      <c r="K5" s="50">
        <f>Scoreboard!AC31</f>
        <v>0</v>
      </c>
      <c r="L5" s="56">
        <f t="shared" si="1"/>
        <v>7</v>
      </c>
      <c r="N5" s="47">
        <v>0</v>
      </c>
    </row>
    <row r="6" spans="2:14" ht="15.75" thickBot="1">
      <c r="B6" s="16" t="s">
        <v>14</v>
      </c>
      <c r="C6" s="17" t="s">
        <v>13</v>
      </c>
      <c r="D6" s="56">
        <v>20</v>
      </c>
      <c r="E6" s="50">
        <v>1</v>
      </c>
      <c r="F6" s="109">
        <f t="shared" si="0"/>
        <v>21</v>
      </c>
      <c r="H6" s="16" t="s">
        <v>14</v>
      </c>
      <c r="I6" s="17" t="s">
        <v>13</v>
      </c>
      <c r="J6" s="56">
        <v>7</v>
      </c>
      <c r="K6" s="50">
        <v>1</v>
      </c>
      <c r="L6" s="56">
        <f t="shared" si="1"/>
        <v>8</v>
      </c>
      <c r="N6" s="47">
        <v>0</v>
      </c>
    </row>
    <row r="7" spans="2:14" ht="15.75" thickBot="1">
      <c r="B7" s="16" t="s">
        <v>8</v>
      </c>
      <c r="C7" s="17" t="s">
        <v>9</v>
      </c>
      <c r="D7" s="56">
        <v>22</v>
      </c>
      <c r="E7" s="50">
        <f>Scoreboard!AC10</f>
        <v>0</v>
      </c>
      <c r="F7" s="109">
        <f t="shared" si="0"/>
        <v>22</v>
      </c>
      <c r="H7" s="16" t="s">
        <v>8</v>
      </c>
      <c r="I7" s="17" t="s">
        <v>9</v>
      </c>
      <c r="J7" s="56">
        <v>9</v>
      </c>
      <c r="K7" s="50">
        <f>Scoreboard!AC30</f>
        <v>3</v>
      </c>
      <c r="L7" s="56">
        <f t="shared" si="1"/>
        <v>12</v>
      </c>
      <c r="N7" s="47">
        <v>0</v>
      </c>
    </row>
    <row r="8" spans="2:14" ht="15.75" thickBot="1">
      <c r="B8" s="16" t="s">
        <v>15</v>
      </c>
      <c r="C8" s="17" t="s">
        <v>16</v>
      </c>
      <c r="D8" s="56">
        <v>26</v>
      </c>
      <c r="E8" s="50">
        <f>Scoreboard!AC13</f>
        <v>6</v>
      </c>
      <c r="F8" s="109">
        <f t="shared" si="0"/>
        <v>32</v>
      </c>
      <c r="H8" s="16" t="s">
        <v>17</v>
      </c>
      <c r="I8" s="17" t="s">
        <v>18</v>
      </c>
      <c r="J8" s="56">
        <v>7</v>
      </c>
      <c r="K8" s="50">
        <f>Scoreboard!AC32</f>
        <v>1</v>
      </c>
      <c r="L8" s="56">
        <f t="shared" si="1"/>
        <v>8</v>
      </c>
      <c r="N8" s="47">
        <v>0</v>
      </c>
    </row>
    <row r="9" spans="2:14" ht="15.75" thickBot="1">
      <c r="B9" s="16" t="s">
        <v>12</v>
      </c>
      <c r="C9" s="17" t="s">
        <v>13</v>
      </c>
      <c r="D9" s="56">
        <v>69</v>
      </c>
      <c r="E9" s="50">
        <v>1</v>
      </c>
      <c r="F9" s="109">
        <f t="shared" si="0"/>
        <v>70</v>
      </c>
      <c r="H9" s="16" t="s">
        <v>15</v>
      </c>
      <c r="I9" s="17" t="s">
        <v>16</v>
      </c>
      <c r="J9" s="56">
        <v>16</v>
      </c>
      <c r="K9" s="50">
        <f>Scoreboard!AC33</f>
        <v>2</v>
      </c>
      <c r="L9" s="56">
        <f t="shared" si="1"/>
        <v>18</v>
      </c>
      <c r="N9" s="47">
        <v>0</v>
      </c>
    </row>
    <row r="10" spans="2:14" ht="15.75" thickBot="1">
      <c r="B10" s="16" t="s">
        <v>0</v>
      </c>
      <c r="C10" s="17" t="s">
        <v>1</v>
      </c>
      <c r="D10" s="56">
        <v>5</v>
      </c>
      <c r="E10" s="50">
        <f>Scoreboard!AC5</f>
        <v>0</v>
      </c>
      <c r="F10" s="109">
        <f t="shared" si="0"/>
        <v>5</v>
      </c>
      <c r="H10" s="16" t="s">
        <v>2</v>
      </c>
      <c r="I10" s="17" t="s">
        <v>3</v>
      </c>
      <c r="J10" s="56">
        <v>32</v>
      </c>
      <c r="K10" s="50">
        <f>Scoreboard!AC24</f>
        <v>3</v>
      </c>
      <c r="L10" s="56">
        <f t="shared" si="1"/>
        <v>35</v>
      </c>
      <c r="N10" s="47">
        <v>0</v>
      </c>
    </row>
    <row r="11" spans="2:14" ht="15.75" thickBot="1">
      <c r="B11" s="16" t="s">
        <v>4</v>
      </c>
      <c r="C11" s="17" t="s">
        <v>5</v>
      </c>
      <c r="D11" s="56">
        <v>30</v>
      </c>
      <c r="E11" s="50">
        <f>Scoreboard!AC6</f>
        <v>0</v>
      </c>
      <c r="F11" s="109">
        <f t="shared" si="0"/>
        <v>30</v>
      </c>
      <c r="H11" s="16" t="s">
        <v>4</v>
      </c>
      <c r="I11" s="17" t="s">
        <v>5</v>
      </c>
      <c r="J11" s="56">
        <v>11</v>
      </c>
      <c r="K11" s="50">
        <f>Scoreboard!AC26</f>
        <v>0</v>
      </c>
      <c r="L11" s="56">
        <f t="shared" si="1"/>
        <v>11</v>
      </c>
      <c r="N11" s="47">
        <v>0</v>
      </c>
    </row>
    <row r="12" spans="2:14" ht="15.75" thickBot="1">
      <c r="B12" s="16" t="s">
        <v>17</v>
      </c>
      <c r="C12" s="17" t="s">
        <v>18</v>
      </c>
      <c r="D12" s="56">
        <v>24</v>
      </c>
      <c r="E12" s="50">
        <f>Tabell11[[#This Row],[Öl]]</f>
        <v>1</v>
      </c>
      <c r="F12" s="109">
        <f t="shared" si="0"/>
        <v>25</v>
      </c>
      <c r="H12" s="16" t="s">
        <v>10</v>
      </c>
      <c r="I12" s="17" t="s">
        <v>11</v>
      </c>
      <c r="J12" s="56">
        <v>15</v>
      </c>
      <c r="K12" s="50">
        <f>Scoreboard!AC28</f>
        <v>2</v>
      </c>
      <c r="L12" s="56">
        <f t="shared" si="1"/>
        <v>17</v>
      </c>
      <c r="N12" s="47">
        <v>0</v>
      </c>
    </row>
    <row r="13" spans="2:14" ht="15.75" thickBot="1">
      <c r="B13" s="16" t="s">
        <v>8</v>
      </c>
      <c r="C13" s="17" t="s">
        <v>19</v>
      </c>
      <c r="D13" s="56">
        <v>22</v>
      </c>
      <c r="E13" s="50">
        <v>8</v>
      </c>
      <c r="F13" s="109">
        <f t="shared" si="0"/>
        <v>30</v>
      </c>
      <c r="H13" s="16" t="s">
        <v>6</v>
      </c>
      <c r="I13" s="17" t="s">
        <v>7</v>
      </c>
      <c r="J13" s="56">
        <v>7</v>
      </c>
      <c r="K13" s="50">
        <f>Scoreboard!AC29</f>
        <v>0</v>
      </c>
      <c r="L13" s="56">
        <f t="shared" si="1"/>
        <v>7</v>
      </c>
      <c r="N13" s="47">
        <v>0</v>
      </c>
    </row>
    <row r="14" spans="2:14" ht="15.75" thickBot="1">
      <c r="B14" s="6" t="s">
        <v>122</v>
      </c>
      <c r="C14" s="7" t="s">
        <v>123</v>
      </c>
      <c r="D14" s="56">
        <v>14</v>
      </c>
      <c r="E14" s="50">
        <v>4</v>
      </c>
      <c r="F14" s="109">
        <f t="shared" si="0"/>
        <v>18</v>
      </c>
      <c r="H14" s="6" t="s">
        <v>115</v>
      </c>
      <c r="I14" s="7" t="s">
        <v>114</v>
      </c>
      <c r="J14" s="56">
        <v>3</v>
      </c>
      <c r="K14" s="50">
        <f>Scoreboard!AC34</f>
        <v>1</v>
      </c>
      <c r="L14" s="56">
        <f t="shared" si="1"/>
        <v>4</v>
      </c>
      <c r="N14" s="47">
        <v>0</v>
      </c>
    </row>
    <row r="15" spans="2:14" ht="15.75" thickBot="1">
      <c r="B15" s="16" t="s">
        <v>2</v>
      </c>
      <c r="C15" s="17" t="s">
        <v>3</v>
      </c>
      <c r="D15" s="56">
        <v>13</v>
      </c>
      <c r="E15" s="50">
        <f>Scoreboard!AC4</f>
        <v>0</v>
      </c>
      <c r="F15" s="109">
        <f t="shared" si="0"/>
        <v>13</v>
      </c>
      <c r="H15" s="16" t="s">
        <v>8</v>
      </c>
      <c r="I15" s="17" t="s">
        <v>19</v>
      </c>
      <c r="J15" s="56">
        <v>3</v>
      </c>
      <c r="K15" s="50">
        <f>Scoreboard!AC35</f>
        <v>0</v>
      </c>
      <c r="L15" s="56">
        <f t="shared" si="1"/>
        <v>3</v>
      </c>
      <c r="N15" s="47">
        <v>0</v>
      </c>
    </row>
    <row r="16" spans="2:14" ht="15.75" thickBot="1">
      <c r="B16" s="6" t="s">
        <v>0</v>
      </c>
      <c r="C16" s="7" t="s">
        <v>128</v>
      </c>
      <c r="D16" s="56">
        <v>1</v>
      </c>
      <c r="E16" s="50">
        <f>Scoreboard!AC11</f>
        <v>0</v>
      </c>
      <c r="F16" s="109">
        <f t="shared" si="0"/>
        <v>1</v>
      </c>
      <c r="H16" s="16" t="s">
        <v>12</v>
      </c>
      <c r="I16" s="17" t="s">
        <v>13</v>
      </c>
      <c r="J16" s="56">
        <v>3</v>
      </c>
      <c r="K16" s="50">
        <f>Scoreboard!AC36</f>
        <v>0</v>
      </c>
      <c r="L16" s="56">
        <f t="shared" si="1"/>
        <v>3</v>
      </c>
      <c r="N16" s="47">
        <v>0</v>
      </c>
    </row>
    <row r="17" spans="2:14">
      <c r="B17" s="42" t="s">
        <v>4</v>
      </c>
      <c r="C17" s="43" t="s">
        <v>20</v>
      </c>
      <c r="D17" s="57">
        <v>8</v>
      </c>
      <c r="E17" s="50">
        <f>Scoreboard!AC14</f>
        <v>3</v>
      </c>
      <c r="F17" s="110">
        <f t="shared" si="0"/>
        <v>11</v>
      </c>
      <c r="H17" s="8" t="s">
        <v>122</v>
      </c>
      <c r="I17" s="9" t="s">
        <v>123</v>
      </c>
      <c r="J17" s="57">
        <v>8</v>
      </c>
      <c r="K17" s="50">
        <f>Scoreboard!AC37</f>
        <v>1</v>
      </c>
      <c r="L17" s="57">
        <f t="shared" si="1"/>
        <v>9</v>
      </c>
      <c r="N17" s="47">
        <v>0</v>
      </c>
    </row>
    <row r="18" spans="2:14">
      <c r="B18" s="218" t="s">
        <v>117</v>
      </c>
      <c r="C18" s="219" t="s">
        <v>118</v>
      </c>
      <c r="D18" s="220">
        <v>2</v>
      </c>
      <c r="E18" s="221">
        <f>Tabell11[[#This Row],[Öl]]</f>
        <v>1</v>
      </c>
      <c r="F18" s="109">
        <f>D18+E18</f>
        <v>3</v>
      </c>
      <c r="H18" s="218" t="s">
        <v>120</v>
      </c>
      <c r="I18" s="219" t="s">
        <v>118</v>
      </c>
      <c r="J18" s="220">
        <v>14</v>
      </c>
      <c r="K18" s="221">
        <f>Scoreboard!AC38</f>
        <v>2</v>
      </c>
      <c r="L18" s="56">
        <f>J18+K18</f>
        <v>16</v>
      </c>
    </row>
    <row r="19" spans="2:14" ht="15.75" thickBot="1">
      <c r="B19" s="6" t="s">
        <v>124</v>
      </c>
      <c r="C19" s="7"/>
      <c r="D19" s="56">
        <v>116</v>
      </c>
      <c r="E19" s="221">
        <f>Tabell11[[#This Row],[Öl]]</f>
        <v>32</v>
      </c>
      <c r="F19" s="109">
        <f>D19+E19</f>
        <v>148</v>
      </c>
      <c r="H19" s="6" t="s">
        <v>124</v>
      </c>
      <c r="I19" s="7"/>
      <c r="J19" s="56">
        <v>65</v>
      </c>
      <c r="K19" s="92">
        <f>Tabell2123[[#Totals],[Birdie i år]]</f>
        <v>20</v>
      </c>
      <c r="L19" s="56">
        <f>J19+K19</f>
        <v>85</v>
      </c>
    </row>
    <row r="20" spans="2:14" ht="15.75" thickBot="1">
      <c r="B20" s="284"/>
      <c r="C20" s="285"/>
      <c r="D20" s="157">
        <f>SUM(D4:D19)</f>
        <v>451</v>
      </c>
      <c r="E20" s="158">
        <f>E4+E5+E6+E7+E8+E9+E10+E11+E12+E13+E14+E15+E16+E17+E18</f>
        <v>28</v>
      </c>
      <c r="F20" s="286">
        <f>SUM(F4:F19)</f>
        <v>511</v>
      </c>
      <c r="H20" s="287"/>
      <c r="I20" s="288"/>
      <c r="J20" s="52">
        <f>SUM(J4:J19)</f>
        <v>236</v>
      </c>
      <c r="K20" s="92">
        <f>K4+K5+K6+K7+K8+K9+K10+K11+K12+K13+K14+K15+K16+K17+K18</f>
        <v>20</v>
      </c>
      <c r="L20" s="289">
        <f>(L4+L5+L6+L7+L8+L9+L10+L11+L12+L13+L14+L15+L16+L17+L18+J19)</f>
        <v>256</v>
      </c>
    </row>
    <row r="21" spans="2:14" ht="15.75" thickBot="1">
      <c r="D21" s="156">
        <f>(Tabell21[[#Totals],[Öl tid]])*20</f>
        <v>9020</v>
      </c>
      <c r="E21" s="156">
        <f>(Tabell21[[#Totals],[Öl i år]])*20</f>
        <v>560</v>
      </c>
    </row>
    <row r="24" spans="2:14">
      <c r="F24" s="53" t="s">
        <v>100</v>
      </c>
      <c r="G24" s="3" t="s">
        <v>100</v>
      </c>
    </row>
    <row r="26" spans="2:14">
      <c r="I26" s="3" t="s">
        <v>100</v>
      </c>
    </row>
  </sheetData>
  <conditionalFormatting sqref="B4:C19">
    <cfRule type="dataBar" priority="6">
      <dataBar>
        <cfvo type="min"/>
        <cfvo type="max"/>
        <color rgb="FFD6007B"/>
      </dataBar>
    </cfRule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H4:I19">
    <cfRule type="dataBar" priority="4">
      <dataBar>
        <cfvo type="min"/>
        <cfvo type="max"/>
        <color rgb="FFD6007B"/>
      </dataBar>
    </cfRule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N4:N17">
    <cfRule type="iconSet" priority="1">
      <iconSet>
        <cfvo type="percent" val="0"/>
        <cfvo type="num" val="0"/>
        <cfvo type="num" val="300"/>
      </iconSet>
    </cfRule>
    <cfRule type="iconSet" priority="2">
      <iconSet>
        <cfvo type="percent" val="0"/>
        <cfvo type="num" val="-1"/>
        <cfvo type="num" val="300"/>
      </iconSet>
    </cfRule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4294967293"/>
  <tableParts count="3">
    <tablePart r:id="rId1"/>
    <tablePart r:id="rId2"/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2:P35"/>
  <sheetViews>
    <sheetView workbookViewId="0">
      <selection activeCell="D4" sqref="D4"/>
    </sheetView>
  </sheetViews>
  <sheetFormatPr defaultColWidth="8.85546875" defaultRowHeight="15"/>
  <cols>
    <col min="1" max="1" width="8.85546875" style="3"/>
    <col min="2" max="2" width="11" style="3" customWidth="1"/>
    <col min="3" max="3" width="11.7109375" style="3" bestFit="1" customWidth="1"/>
    <col min="4" max="5" width="11" style="19" customWidth="1"/>
    <col min="6" max="6" width="11" style="53" customWidth="1"/>
    <col min="7" max="8" width="8.85546875" style="3"/>
    <col min="9" max="9" width="11.7109375" style="3" bestFit="1" customWidth="1"/>
    <col min="10" max="16384" width="8.85546875" style="3"/>
  </cols>
  <sheetData>
    <row r="2" spans="2:16" ht="15.75" thickBot="1"/>
    <row r="3" spans="2:16" ht="15.75" thickBot="1">
      <c r="B3" s="190" t="s">
        <v>21</v>
      </c>
      <c r="C3" s="190" t="s">
        <v>22</v>
      </c>
      <c r="D3" s="48" t="s">
        <v>43</v>
      </c>
      <c r="E3" s="61" t="s">
        <v>44</v>
      </c>
      <c r="F3" s="62" t="s">
        <v>37</v>
      </c>
      <c r="H3" s="190" t="s">
        <v>21</v>
      </c>
      <c r="I3" s="190" t="s">
        <v>22</v>
      </c>
      <c r="J3" s="48" t="s">
        <v>43</v>
      </c>
      <c r="K3" s="61" t="s">
        <v>44</v>
      </c>
      <c r="L3" s="62" t="s">
        <v>37</v>
      </c>
      <c r="M3" s="338"/>
      <c r="N3" s="338"/>
      <c r="O3" s="338"/>
      <c r="P3" s="60"/>
    </row>
    <row r="4" spans="2:16" ht="15.75" thickBot="1">
      <c r="B4" s="186" t="s">
        <v>2</v>
      </c>
      <c r="C4" s="187" t="s">
        <v>3</v>
      </c>
      <c r="D4" s="182">
        <f>SMALL(Tabell3[[#This Row],[1]:[10]],1)</f>
        <v>87</v>
      </c>
      <c r="E4" s="194">
        <v>84</v>
      </c>
      <c r="F4" s="183">
        <f>Tabell23[[#This Row],[I år]]-E4</f>
        <v>3</v>
      </c>
      <c r="H4" s="199" t="s">
        <v>2</v>
      </c>
      <c r="I4" s="200" t="s">
        <v>3</v>
      </c>
      <c r="J4" s="50">
        <f>MIN(Scoreboard!D24:M24)</f>
        <v>70</v>
      </c>
      <c r="K4" s="201">
        <v>61</v>
      </c>
      <c r="L4" s="202">
        <f>Tabell2326[[#This Row],[I år]]-K4</f>
        <v>9</v>
      </c>
      <c r="M4" s="59"/>
      <c r="N4" s="58"/>
      <c r="O4" s="58"/>
      <c r="P4" s="59"/>
    </row>
    <row r="5" spans="2:16" ht="15.75" thickBot="1">
      <c r="B5" s="188" t="s">
        <v>0</v>
      </c>
      <c r="C5" s="189" t="s">
        <v>1</v>
      </c>
      <c r="D5" s="49">
        <f>SMALL(Tabell3[[#This Row],[1]:[10]],1)</f>
        <v>85</v>
      </c>
      <c r="E5" s="36">
        <v>81</v>
      </c>
      <c r="F5" s="192">
        <f>Tabell23[[#This Row],[I år]]-E5</f>
        <v>4</v>
      </c>
      <c r="H5" s="203" t="s">
        <v>0</v>
      </c>
      <c r="I5" s="196" t="s">
        <v>1</v>
      </c>
      <c r="J5" s="51">
        <f>MIN(Scoreboard!D25:M25)</f>
        <v>72</v>
      </c>
      <c r="K5" s="97">
        <v>67</v>
      </c>
      <c r="L5" s="63">
        <f>Tabell2326[[#This Row],[I år]]-K5</f>
        <v>5</v>
      </c>
      <c r="M5" s="59"/>
      <c r="N5" s="58"/>
      <c r="O5" s="58"/>
      <c r="P5" s="59"/>
    </row>
    <row r="6" spans="2:16" ht="15.75" thickBot="1">
      <c r="B6" s="186" t="s">
        <v>4</v>
      </c>
      <c r="C6" s="187" t="s">
        <v>5</v>
      </c>
      <c r="D6" s="182">
        <f>SMALL(Tabell3[[#This Row],[1]:[10]],1)</f>
        <v>94</v>
      </c>
      <c r="E6" s="194">
        <v>90</v>
      </c>
      <c r="F6" s="183">
        <f>Tabell23[[#This Row],[I år]]-E6</f>
        <v>4</v>
      </c>
      <c r="H6" s="203" t="s">
        <v>4</v>
      </c>
      <c r="I6" s="196" t="s">
        <v>5</v>
      </c>
      <c r="J6" s="51">
        <f>MIN(Scoreboard!D26:M26)</f>
        <v>71</v>
      </c>
      <c r="K6" s="97">
        <v>66</v>
      </c>
      <c r="L6" s="63">
        <f>Tabell2326[[#This Row],[I år]]-K6</f>
        <v>5</v>
      </c>
      <c r="M6" s="59"/>
      <c r="N6" s="58"/>
      <c r="O6" s="58"/>
      <c r="P6" s="59"/>
    </row>
    <row r="7" spans="2:16" ht="15.75" thickBot="1">
      <c r="B7" s="188" t="s">
        <v>14</v>
      </c>
      <c r="C7" s="189" t="s">
        <v>13</v>
      </c>
      <c r="D7" s="49">
        <f>SMALL(Tabell3[[#This Row],[1]:[10]],1)</f>
        <v>99</v>
      </c>
      <c r="E7" s="36">
        <v>86</v>
      </c>
      <c r="F7" s="192">
        <f>Tabell23[[#This Row],[I år]]-E7</f>
        <v>13</v>
      </c>
      <c r="H7" s="203" t="s">
        <v>14</v>
      </c>
      <c r="I7" s="196" t="s">
        <v>13</v>
      </c>
      <c r="J7" s="51">
        <f>MIN(Scoreboard!D27:M27)</f>
        <v>79</v>
      </c>
      <c r="K7" s="97">
        <v>72</v>
      </c>
      <c r="L7" s="63">
        <f>Tabell2326[[#This Row],[I år]]-K7</f>
        <v>7</v>
      </c>
      <c r="M7" s="59"/>
      <c r="N7" s="58"/>
      <c r="O7" s="58"/>
      <c r="P7" s="59"/>
    </row>
    <row r="8" spans="2:16" ht="15.75" thickBot="1">
      <c r="B8" s="186" t="s">
        <v>10</v>
      </c>
      <c r="C8" s="187" t="s">
        <v>11</v>
      </c>
      <c r="D8" s="182">
        <f>SMALL(Tabell3[[#This Row],[1]:[10]],1)</f>
        <v>89</v>
      </c>
      <c r="E8" s="194">
        <v>85</v>
      </c>
      <c r="F8" s="183">
        <f>Tabell23[[#This Row],[I år]]-E8</f>
        <v>4</v>
      </c>
      <c r="H8" s="203" t="s">
        <v>10</v>
      </c>
      <c r="I8" s="196" t="s">
        <v>11</v>
      </c>
      <c r="J8" s="51">
        <f>MIN(Scoreboard!D28:M28)</f>
        <v>70</v>
      </c>
      <c r="K8" s="97">
        <v>64</v>
      </c>
      <c r="L8" s="63">
        <f>Tabell2326[[#This Row],[I år]]-K8</f>
        <v>6</v>
      </c>
      <c r="M8" s="59"/>
      <c r="N8" s="58"/>
      <c r="O8" s="58"/>
      <c r="P8" s="59"/>
    </row>
    <row r="9" spans="2:16" ht="15.75" thickBot="1">
      <c r="B9" s="188" t="s">
        <v>6</v>
      </c>
      <c r="C9" s="189" t="s">
        <v>7</v>
      </c>
      <c r="D9" s="49">
        <f>SMALL(Tabell3[[#This Row],[1]:[10]],1)</f>
        <v>89</v>
      </c>
      <c r="E9" s="36">
        <v>95</v>
      </c>
      <c r="F9" s="192">
        <f>Tabell23[[#This Row],[I år]]-E9</f>
        <v>-6</v>
      </c>
      <c r="H9" s="203" t="s">
        <v>6</v>
      </c>
      <c r="I9" s="196" t="s">
        <v>7</v>
      </c>
      <c r="J9" s="51">
        <f>MIN(Scoreboard!D29:M29)</f>
        <v>66</v>
      </c>
      <c r="K9" s="97">
        <v>70</v>
      </c>
      <c r="L9" s="63">
        <f>Tabell2326[[#This Row],[I år]]-K9</f>
        <v>-4</v>
      </c>
      <c r="M9" s="59"/>
      <c r="N9" s="58"/>
      <c r="O9" s="58"/>
      <c r="P9" s="59"/>
    </row>
    <row r="10" spans="2:16" ht="15.75" thickBot="1">
      <c r="B10" s="186" t="s">
        <v>8</v>
      </c>
      <c r="C10" s="187" t="s">
        <v>9</v>
      </c>
      <c r="D10" s="182">
        <f>SMALL(Tabell3[[#This Row],[1]:[10]],1)</f>
        <v>90</v>
      </c>
      <c r="E10" s="194">
        <v>91</v>
      </c>
      <c r="F10" s="183">
        <f>Tabell23[[#This Row],[I år]]-E10</f>
        <v>-1</v>
      </c>
      <c r="H10" s="203" t="s">
        <v>8</v>
      </c>
      <c r="I10" s="196" t="s">
        <v>9</v>
      </c>
      <c r="J10" s="51">
        <f>MIN(Scoreboard!D30:M30)</f>
        <v>75</v>
      </c>
      <c r="K10" s="97">
        <v>68</v>
      </c>
      <c r="L10" s="63">
        <f>Tabell2326[[#This Row],[I år]]-K10</f>
        <v>7</v>
      </c>
      <c r="M10" s="59"/>
      <c r="N10" s="58"/>
      <c r="O10" s="58"/>
      <c r="P10" s="59"/>
    </row>
    <row r="11" spans="2:16" ht="15.75" thickBot="1">
      <c r="B11" s="227" t="s">
        <v>0</v>
      </c>
      <c r="C11" s="228" t="s">
        <v>126</v>
      </c>
      <c r="D11" s="49">
        <f>SMALL(Tabell3[[#This Row],[1]:[10]],1)</f>
        <v>97</v>
      </c>
      <c r="E11" s="36">
        <v>77</v>
      </c>
      <c r="F11" s="192">
        <f>Tabell23[[#This Row],[I år]]-E11</f>
        <v>20</v>
      </c>
      <c r="H11" s="204" t="s">
        <v>0</v>
      </c>
      <c r="I11" s="197" t="s">
        <v>126</v>
      </c>
      <c r="J11" s="51">
        <f>MIN(Scoreboard!D31:M31)</f>
        <v>81</v>
      </c>
      <c r="K11" s="97"/>
      <c r="L11" s="63">
        <f>Tabell2326[[#This Row],[I år]]-K11</f>
        <v>81</v>
      </c>
      <c r="M11" s="59"/>
      <c r="N11" s="58"/>
      <c r="O11" s="58"/>
      <c r="P11" s="59"/>
    </row>
    <row r="12" spans="2:16" ht="15.75" thickBot="1">
      <c r="B12" s="186" t="s">
        <v>17</v>
      </c>
      <c r="C12" s="187" t="s">
        <v>18</v>
      </c>
      <c r="D12" s="182">
        <f>SMALL(Tabell3[[#This Row],[1]:[10]],1)</f>
        <v>98</v>
      </c>
      <c r="E12" s="194">
        <v>92</v>
      </c>
      <c r="F12" s="183">
        <f>Tabell23[[#This Row],[I år]]-E12</f>
        <v>6</v>
      </c>
      <c r="H12" s="203" t="s">
        <v>17</v>
      </c>
      <c r="I12" s="196" t="s">
        <v>18</v>
      </c>
      <c r="J12" s="51">
        <f>MIN(Scoreboard!D32:M32)</f>
        <v>75</v>
      </c>
      <c r="K12" s="97">
        <v>70</v>
      </c>
      <c r="L12" s="63">
        <f>Tabell2326[[#This Row],[I år]]-K12</f>
        <v>5</v>
      </c>
      <c r="M12" s="59"/>
      <c r="N12" s="58"/>
      <c r="O12" s="58"/>
      <c r="P12" s="59"/>
    </row>
    <row r="13" spans="2:16" ht="15.75" thickBot="1">
      <c r="B13" s="188" t="s">
        <v>15</v>
      </c>
      <c r="C13" s="189" t="s">
        <v>16</v>
      </c>
      <c r="D13" s="49">
        <f>SMALL(Tabell3[[#This Row],[1]:[10]],1)</f>
        <v>90</v>
      </c>
      <c r="E13" s="36">
        <v>85</v>
      </c>
      <c r="F13" s="192">
        <f>Tabell23[[#This Row],[I år]]-E13</f>
        <v>5</v>
      </c>
      <c r="H13" s="203" t="s">
        <v>15</v>
      </c>
      <c r="I13" s="196" t="s">
        <v>16</v>
      </c>
      <c r="J13" s="51">
        <f>MIN(Scoreboard!D33:M33)</f>
        <v>71</v>
      </c>
      <c r="K13" s="97">
        <v>69</v>
      </c>
      <c r="L13" s="63">
        <f>Tabell2326[[#This Row],[I år]]-K13</f>
        <v>2</v>
      </c>
      <c r="M13" s="59"/>
      <c r="N13" s="58"/>
      <c r="O13" s="58"/>
      <c r="P13" s="59"/>
    </row>
    <row r="14" spans="2:16" ht="15.75" thickBot="1">
      <c r="B14" s="180" t="s">
        <v>113</v>
      </c>
      <c r="C14" s="181" t="s">
        <v>114</v>
      </c>
      <c r="D14" s="182">
        <f>SMALL(Tabell3[[#This Row],[1]:[10]],1)</f>
        <v>100</v>
      </c>
      <c r="E14" s="194">
        <v>88</v>
      </c>
      <c r="F14" s="183">
        <f>Tabell23[[#This Row],[I år]]-E14</f>
        <v>12</v>
      </c>
      <c r="H14" s="204" t="s">
        <v>113</v>
      </c>
      <c r="I14" s="197" t="s">
        <v>114</v>
      </c>
      <c r="J14" s="51">
        <f>MIN(Scoreboard!D34:M34)</f>
        <v>86</v>
      </c>
      <c r="K14" s="97">
        <v>88</v>
      </c>
      <c r="L14" s="63">
        <f>Tabell2326[[#This Row],[I år]]-K14</f>
        <v>-2</v>
      </c>
      <c r="M14" s="59"/>
      <c r="N14" s="58"/>
      <c r="O14" s="58"/>
      <c r="P14" s="59"/>
    </row>
    <row r="15" spans="2:16" ht="15.75" thickBot="1">
      <c r="B15" s="188" t="s">
        <v>8</v>
      </c>
      <c r="C15" s="189" t="s">
        <v>19</v>
      </c>
      <c r="D15" s="49">
        <f>SMALL(Tabell3[[#This Row],[1]:[10]],1)</f>
        <v>113</v>
      </c>
      <c r="E15" s="36">
        <v>98</v>
      </c>
      <c r="F15" s="192">
        <f>Tabell23[[#This Row],[I år]]-E15</f>
        <v>15</v>
      </c>
      <c r="H15" s="203" t="s">
        <v>8</v>
      </c>
      <c r="I15" s="196" t="s">
        <v>19</v>
      </c>
      <c r="J15" s="51">
        <f>MIN(Scoreboard!D35:M35)</f>
        <v>86</v>
      </c>
      <c r="K15" s="97">
        <v>66</v>
      </c>
      <c r="L15" s="63">
        <f>Tabell2326[[#This Row],[I år]]-K15</f>
        <v>20</v>
      </c>
      <c r="M15" s="59"/>
      <c r="N15" s="58"/>
      <c r="O15" s="58"/>
      <c r="P15" s="59"/>
    </row>
    <row r="16" spans="2:16" ht="15.75" thickBot="1">
      <c r="B16" s="186" t="s">
        <v>12</v>
      </c>
      <c r="C16" s="187" t="s">
        <v>13</v>
      </c>
      <c r="D16" s="182">
        <f>SMALL(Tabell3[[#This Row],[1]:[10]],1)</f>
        <v>109</v>
      </c>
      <c r="E16" s="194">
        <v>97</v>
      </c>
      <c r="F16" s="183">
        <f>Tabell23[[#This Row],[I år]]-E16</f>
        <v>12</v>
      </c>
      <c r="H16" s="203" t="s">
        <v>12</v>
      </c>
      <c r="I16" s="196" t="s">
        <v>13</v>
      </c>
      <c r="J16" s="51">
        <f>MIN(Scoreboard!D36:M36)</f>
        <v>85</v>
      </c>
      <c r="K16" s="97">
        <v>63</v>
      </c>
      <c r="L16" s="63">
        <f>Tabell2326[[#This Row],[I år]]-K16</f>
        <v>22</v>
      </c>
      <c r="M16" s="59"/>
      <c r="N16" s="58"/>
      <c r="O16" s="58"/>
      <c r="P16" s="59"/>
    </row>
    <row r="17" spans="2:16" ht="15.75" thickBot="1">
      <c r="B17" s="184" t="s">
        <v>122</v>
      </c>
      <c r="C17" s="185" t="s">
        <v>123</v>
      </c>
      <c r="D17" s="191">
        <f>SMALL(Tabell3[[#This Row],[1]:[10]],1)</f>
        <v>100</v>
      </c>
      <c r="E17" s="195">
        <v>91</v>
      </c>
      <c r="F17" s="193">
        <f>Tabell23[[#This Row],[I år]]-E17</f>
        <v>9</v>
      </c>
      <c r="H17" s="204" t="s">
        <v>122</v>
      </c>
      <c r="I17" s="197" t="s">
        <v>123</v>
      </c>
      <c r="J17" s="51">
        <f>MIN(Scoreboard!D37:M37)</f>
        <v>75</v>
      </c>
      <c r="K17" s="97">
        <v>67</v>
      </c>
      <c r="L17" s="63">
        <f>Tabell2326[[#This Row],[I år]]-K17</f>
        <v>8</v>
      </c>
      <c r="M17" s="59"/>
      <c r="N17" s="58"/>
      <c r="O17" s="58"/>
      <c r="P17" s="59"/>
    </row>
    <row r="18" spans="2:16" ht="15.75" thickBot="1">
      <c r="B18" s="180" t="s">
        <v>117</v>
      </c>
      <c r="C18" s="181" t="s">
        <v>118</v>
      </c>
      <c r="D18" s="182">
        <f>SMALL(Tabell3[[#This Row],[1]:[10]],1)</f>
        <v>86</v>
      </c>
      <c r="E18" s="195">
        <v>84</v>
      </c>
      <c r="F18" s="193">
        <f>Tabell23[[#This Row],[I år]]-E18</f>
        <v>2</v>
      </c>
      <c r="H18" s="205" t="s">
        <v>117</v>
      </c>
      <c r="I18" s="206" t="s">
        <v>118</v>
      </c>
      <c r="J18" s="207">
        <f>MIN(Scoreboard!D38:M38)</f>
        <v>73</v>
      </c>
      <c r="K18" s="208">
        <v>70</v>
      </c>
      <c r="L18" s="64">
        <f>Tabell2326[[#This Row],[I år]]-K18</f>
        <v>3</v>
      </c>
    </row>
    <row r="19" spans="2:16">
      <c r="L19" s="198"/>
    </row>
    <row r="20" spans="2:16">
      <c r="L20" s="65"/>
    </row>
    <row r="21" spans="2:16">
      <c r="I21" s="339"/>
      <c r="J21" s="339"/>
      <c r="K21" s="339"/>
      <c r="L21" s="66"/>
    </row>
    <row r="22" spans="2:16">
      <c r="I22" s="66"/>
      <c r="J22" s="67"/>
      <c r="K22" s="67"/>
      <c r="L22" s="66"/>
    </row>
    <row r="23" spans="2:16">
      <c r="I23" s="66"/>
      <c r="J23" s="67"/>
      <c r="K23" s="67"/>
      <c r="L23" s="66"/>
    </row>
    <row r="24" spans="2:16">
      <c r="I24" s="66"/>
      <c r="J24" s="67"/>
      <c r="K24" s="67"/>
      <c r="L24" s="66"/>
    </row>
    <row r="25" spans="2:16">
      <c r="I25" s="66"/>
      <c r="J25" s="67"/>
      <c r="K25" s="67"/>
      <c r="L25" s="66"/>
    </row>
    <row r="26" spans="2:16">
      <c r="I26" s="66"/>
      <c r="J26" s="67"/>
      <c r="K26" s="67"/>
      <c r="L26" s="66"/>
    </row>
    <row r="27" spans="2:16">
      <c r="I27" s="66"/>
      <c r="J27" s="67"/>
      <c r="K27" s="67"/>
      <c r="L27" s="66"/>
    </row>
    <row r="28" spans="2:16">
      <c r="I28" s="66"/>
      <c r="J28" s="67"/>
      <c r="K28" s="67"/>
      <c r="L28" s="66"/>
    </row>
    <row r="29" spans="2:16">
      <c r="I29" s="66"/>
      <c r="J29" s="67"/>
      <c r="K29" s="67"/>
      <c r="L29" s="66"/>
    </row>
    <row r="30" spans="2:16">
      <c r="I30" s="66"/>
      <c r="J30" s="67"/>
      <c r="K30" s="67"/>
      <c r="L30" s="66"/>
    </row>
    <row r="31" spans="2:16">
      <c r="I31" s="66"/>
      <c r="J31" s="67"/>
      <c r="K31" s="67"/>
      <c r="L31" s="66"/>
    </row>
    <row r="32" spans="2:16">
      <c r="I32" s="66"/>
      <c r="J32" s="67"/>
      <c r="K32" s="67"/>
      <c r="L32" s="66"/>
    </row>
    <row r="33" spans="9:12">
      <c r="I33" s="66"/>
      <c r="J33" s="67"/>
      <c r="K33" s="67"/>
      <c r="L33" s="66"/>
    </row>
    <row r="34" spans="9:12">
      <c r="I34" s="66"/>
      <c r="J34" s="67"/>
      <c r="K34" s="67"/>
      <c r="L34" s="66"/>
    </row>
    <row r="35" spans="9:12">
      <c r="I35" s="66"/>
      <c r="J35" s="67"/>
      <c r="K35" s="67"/>
    </row>
  </sheetData>
  <mergeCells count="2">
    <mergeCell ref="M3:O3"/>
    <mergeCell ref="I21:K21"/>
  </mergeCells>
  <conditionalFormatting sqref="B4:C18">
    <cfRule type="dataBar" priority="6">
      <dataBar>
        <cfvo type="min"/>
        <cfvo type="max"/>
        <color rgb="FFD6007B"/>
      </dataBar>
    </cfRule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F4:F18">
    <cfRule type="iconSet" priority="5">
      <iconSet iconSet="5Arrow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:I18">
    <cfRule type="dataBar" priority="3">
      <dataBar>
        <cfvo type="min"/>
        <cfvo type="max"/>
        <color rgb="FFD6007B"/>
      </dataBar>
    </cfRule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L4:L18">
    <cfRule type="iconSet" priority="2">
      <iconSet iconSet="5Arrow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8">
    <cfRule type="iconSet" priority="1">
      <iconSet iconSet="5Arrows" reverse="1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paperSize="9" scale="82" orientation="landscape"/>
  <tableParts count="4">
    <tablePart r:id="rId1"/>
    <tablePart r:id="rId2"/>
    <tablePart r:id="rId3"/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L39"/>
  <sheetViews>
    <sheetView workbookViewId="0">
      <selection activeCell="N48" sqref="N48"/>
    </sheetView>
  </sheetViews>
  <sheetFormatPr defaultColWidth="8.85546875" defaultRowHeight="15"/>
  <cols>
    <col min="1" max="1" width="8.85546875" style="3"/>
    <col min="2" max="6" width="11" style="19" customWidth="1"/>
    <col min="7" max="7" width="10.140625" style="101" customWidth="1"/>
    <col min="8" max="8" width="8.85546875" style="19"/>
    <col min="9" max="9" width="15.7109375" style="19" bestFit="1" customWidth="1"/>
    <col min="10" max="11" width="11" style="19" customWidth="1"/>
    <col min="12" max="12" width="11.42578125" style="19" bestFit="1" customWidth="1"/>
    <col min="13" max="16384" width="8.85546875" style="3"/>
  </cols>
  <sheetData>
    <row r="1" spans="2:12" ht="15.75" thickBot="1"/>
    <row r="2" spans="2:12" ht="15.75" thickBot="1">
      <c r="B2" s="93" t="s">
        <v>51</v>
      </c>
      <c r="C2" s="94" t="s">
        <v>52</v>
      </c>
      <c r="I2" s="111" t="s">
        <v>60</v>
      </c>
      <c r="J2" s="112" t="s">
        <v>61</v>
      </c>
      <c r="K2" s="94" t="s">
        <v>78</v>
      </c>
    </row>
    <row r="3" spans="2:12">
      <c r="B3" s="87"/>
      <c r="C3" s="95"/>
      <c r="E3" s="106" t="s">
        <v>59</v>
      </c>
      <c r="F3" s="106" t="s">
        <v>59</v>
      </c>
      <c r="G3" s="107" t="s">
        <v>50</v>
      </c>
    </row>
    <row r="4" spans="2:12">
      <c r="B4" s="91" t="s">
        <v>55</v>
      </c>
      <c r="C4" s="40" t="s">
        <v>53</v>
      </c>
      <c r="D4" s="40" t="s">
        <v>35</v>
      </c>
      <c r="E4" s="40" t="s">
        <v>54</v>
      </c>
      <c r="F4" s="41" t="s">
        <v>56</v>
      </c>
      <c r="G4" s="102" t="s">
        <v>58</v>
      </c>
      <c r="I4" s="91" t="s">
        <v>75</v>
      </c>
      <c r="J4" s="40" t="s">
        <v>76</v>
      </c>
      <c r="K4" s="41" t="s">
        <v>77</v>
      </c>
      <c r="L4" s="40" t="s">
        <v>79</v>
      </c>
    </row>
    <row r="5" spans="2:12">
      <c r="B5" s="96">
        <v>2003</v>
      </c>
      <c r="C5" s="97"/>
      <c r="D5" s="97"/>
      <c r="E5" s="97"/>
      <c r="F5" s="39"/>
      <c r="G5" s="103" t="e">
        <f>#REF!/4</f>
        <v>#REF!</v>
      </c>
      <c r="I5" s="96" t="s">
        <v>62</v>
      </c>
      <c r="J5" s="97">
        <v>95.9</v>
      </c>
      <c r="K5" s="39">
        <v>76.8</v>
      </c>
      <c r="L5" s="97">
        <v>16</v>
      </c>
    </row>
    <row r="6" spans="2:12">
      <c r="B6" s="96">
        <v>2004</v>
      </c>
      <c r="C6" s="97"/>
      <c r="D6" s="97"/>
      <c r="E6" s="97"/>
      <c r="F6" s="39"/>
      <c r="G6" s="104" t="e">
        <f>#REF!/4</f>
        <v>#REF!</v>
      </c>
      <c r="I6" s="96" t="s">
        <v>73</v>
      </c>
      <c r="J6" s="97">
        <v>97</v>
      </c>
      <c r="K6" s="39">
        <v>76.2</v>
      </c>
      <c r="L6" s="97">
        <v>15</v>
      </c>
    </row>
    <row r="7" spans="2:12">
      <c r="B7" s="96">
        <v>2005</v>
      </c>
      <c r="C7" s="97"/>
      <c r="D7" s="97"/>
      <c r="E7" s="97"/>
      <c r="F7" s="39"/>
      <c r="G7" s="104" t="e">
        <f>#REF!/4</f>
        <v>#REF!</v>
      </c>
      <c r="I7" s="96" t="s">
        <v>72</v>
      </c>
      <c r="J7" s="97">
        <v>100.2</v>
      </c>
      <c r="K7" s="39">
        <v>79.760000000000005</v>
      </c>
      <c r="L7" s="97">
        <v>12</v>
      </c>
    </row>
    <row r="8" spans="2:12">
      <c r="B8" s="96">
        <v>2006</v>
      </c>
      <c r="C8" s="97"/>
      <c r="D8" s="97"/>
      <c r="E8" s="97">
        <v>74</v>
      </c>
      <c r="F8" s="39">
        <v>95</v>
      </c>
      <c r="G8" s="104" t="e">
        <f>#REF!/4</f>
        <v>#REF!</v>
      </c>
      <c r="I8" s="96" t="s">
        <v>63</v>
      </c>
      <c r="J8" s="97">
        <v>102.83</v>
      </c>
      <c r="K8" s="39">
        <v>79.3</v>
      </c>
      <c r="L8" s="97">
        <v>7</v>
      </c>
    </row>
    <row r="9" spans="2:12">
      <c r="B9" s="98">
        <v>2007</v>
      </c>
      <c r="C9" s="99">
        <v>24</v>
      </c>
      <c r="D9" s="99">
        <v>18</v>
      </c>
      <c r="E9" s="99">
        <v>77</v>
      </c>
      <c r="F9" s="100">
        <v>97</v>
      </c>
      <c r="G9" s="105" t="e">
        <f>#REF!/4</f>
        <v>#REF!</v>
      </c>
      <c r="I9" s="96" t="s">
        <v>67</v>
      </c>
      <c r="J9" s="97">
        <v>95</v>
      </c>
      <c r="K9" s="39">
        <v>74</v>
      </c>
      <c r="L9" s="97">
        <v>7</v>
      </c>
    </row>
    <row r="10" spans="2:12">
      <c r="B10" s="98">
        <v>2008</v>
      </c>
      <c r="C10" s="99">
        <v>46</v>
      </c>
      <c r="D10" s="99">
        <v>12</v>
      </c>
      <c r="E10" s="113">
        <v>79.27</v>
      </c>
      <c r="F10" s="113">
        <v>100.25</v>
      </c>
      <c r="G10" s="104">
        <v>106.75</v>
      </c>
      <c r="I10" s="96" t="s">
        <v>64</v>
      </c>
      <c r="J10" s="97">
        <v>103</v>
      </c>
      <c r="K10" s="39">
        <v>80</v>
      </c>
      <c r="L10" s="97">
        <v>6</v>
      </c>
    </row>
    <row r="11" spans="2:12">
      <c r="B11" s="96">
        <v>2009</v>
      </c>
      <c r="C11" s="99">
        <v>28</v>
      </c>
      <c r="D11" s="99">
        <v>27</v>
      </c>
      <c r="E11" s="113">
        <v>74.73</v>
      </c>
      <c r="F11" s="113">
        <v>97.11</v>
      </c>
      <c r="G11" s="104" t="e">
        <f>#REF!/4</f>
        <v>#REF!</v>
      </c>
      <c r="I11" s="96" t="s">
        <v>69</v>
      </c>
      <c r="J11" s="97">
        <v>100.6</v>
      </c>
      <c r="K11" s="39">
        <v>78.599999999999994</v>
      </c>
      <c r="L11" s="97">
        <v>5</v>
      </c>
    </row>
    <row r="12" spans="2:12">
      <c r="B12" s="98">
        <v>2010</v>
      </c>
      <c r="C12" s="99">
        <v>25</v>
      </c>
      <c r="D12" s="99">
        <v>9</v>
      </c>
      <c r="E12" s="99">
        <v>78</v>
      </c>
      <c r="F12" s="100">
        <v>101.4</v>
      </c>
      <c r="G12" s="105" t="e">
        <f>#REF!/4</f>
        <v>#REF!</v>
      </c>
      <c r="I12" s="96" t="s">
        <v>66</v>
      </c>
      <c r="J12" s="97">
        <v>98.6</v>
      </c>
      <c r="K12" s="39">
        <v>77.5</v>
      </c>
      <c r="L12" s="97">
        <v>5</v>
      </c>
    </row>
    <row r="13" spans="2:12">
      <c r="B13" s="96">
        <v>2011</v>
      </c>
      <c r="C13" s="97">
        <v>18</v>
      </c>
      <c r="D13" s="97">
        <v>17</v>
      </c>
      <c r="E13" s="97">
        <v>77.8</v>
      </c>
      <c r="F13" s="39">
        <v>96.3</v>
      </c>
      <c r="G13" s="105">
        <f>387.4/4</f>
        <v>96.85</v>
      </c>
      <c r="I13" s="96" t="s">
        <v>70</v>
      </c>
      <c r="J13" s="97" t="s">
        <v>143</v>
      </c>
      <c r="K13" s="39">
        <v>80.3</v>
      </c>
      <c r="L13" s="97">
        <v>5</v>
      </c>
    </row>
    <row r="14" spans="2:12">
      <c r="B14" s="96">
        <v>2012</v>
      </c>
      <c r="C14" s="97">
        <v>27</v>
      </c>
      <c r="D14" s="97">
        <v>11</v>
      </c>
      <c r="E14" s="97">
        <v>76.8</v>
      </c>
      <c r="F14" s="39">
        <v>96.5</v>
      </c>
      <c r="G14" s="105">
        <f>388.5/4</f>
        <v>97.125</v>
      </c>
      <c r="I14" s="96" t="s">
        <v>74</v>
      </c>
      <c r="J14" s="97">
        <v>97.5</v>
      </c>
      <c r="K14" s="39">
        <v>78.3</v>
      </c>
      <c r="L14" s="97">
        <v>3</v>
      </c>
    </row>
    <row r="15" spans="2:12">
      <c r="B15" s="96">
        <v>2013</v>
      </c>
      <c r="C15" s="97">
        <v>28</v>
      </c>
      <c r="D15" s="97">
        <v>27</v>
      </c>
      <c r="E15" s="97"/>
      <c r="F15" s="39"/>
      <c r="G15" s="105">
        <f>388.5/4</f>
        <v>97.125</v>
      </c>
      <c r="I15" s="96" t="s">
        <v>65</v>
      </c>
      <c r="J15" s="97">
        <v>95.7</v>
      </c>
      <c r="K15" s="39">
        <v>74.900000000000006</v>
      </c>
      <c r="L15" s="97">
        <v>3</v>
      </c>
    </row>
    <row r="16" spans="2:12">
      <c r="B16" s="98">
        <v>2014</v>
      </c>
      <c r="C16" s="99">
        <v>25</v>
      </c>
      <c r="D16" s="99">
        <v>19</v>
      </c>
      <c r="E16" s="99">
        <v>78.3</v>
      </c>
      <c r="F16" s="100">
        <v>95.9</v>
      </c>
      <c r="G16" s="294" t="s">
        <v>138</v>
      </c>
      <c r="I16" s="96" t="s">
        <v>68</v>
      </c>
      <c r="J16" s="97">
        <v>101.2</v>
      </c>
      <c r="K16" s="39">
        <v>79.099999999999994</v>
      </c>
      <c r="L16" s="97">
        <v>4</v>
      </c>
    </row>
    <row r="17" spans="2:12">
      <c r="B17" s="98">
        <v>2015</v>
      </c>
      <c r="C17" s="99">
        <f>Tabell21[[#Totals],[Öl i år]]</f>
        <v>28</v>
      </c>
      <c r="D17" s="99">
        <f>Tabell2123[[#Totals],[Birdie i år]]</f>
        <v>20</v>
      </c>
      <c r="E17" s="99"/>
      <c r="F17" s="100"/>
      <c r="G17" s="105" t="e">
        <f>#REF!</f>
        <v>#REF!</v>
      </c>
      <c r="I17" s="98" t="s">
        <v>71</v>
      </c>
      <c r="J17" s="99">
        <v>102.4</v>
      </c>
      <c r="K17" s="100">
        <v>83.5</v>
      </c>
      <c r="L17" s="97">
        <v>3</v>
      </c>
    </row>
    <row r="18" spans="2:12">
      <c r="I18" s="96" t="s">
        <v>111</v>
      </c>
      <c r="J18" s="97">
        <v>101.4</v>
      </c>
      <c r="K18" s="39">
        <v>78</v>
      </c>
      <c r="L18" s="97">
        <v>2</v>
      </c>
    </row>
    <row r="19" spans="2:12">
      <c r="I19" s="96" t="s">
        <v>109</v>
      </c>
      <c r="J19" s="97">
        <v>99.4</v>
      </c>
      <c r="K19" s="39">
        <v>79.400000000000006</v>
      </c>
      <c r="L19" s="97">
        <v>2</v>
      </c>
    </row>
    <row r="20" spans="2:12">
      <c r="I20" s="96" t="s">
        <v>112</v>
      </c>
      <c r="J20" s="97">
        <v>105.1</v>
      </c>
      <c r="K20" s="39">
        <v>86.7</v>
      </c>
      <c r="L20" s="97">
        <v>2</v>
      </c>
    </row>
    <row r="21" spans="2:12">
      <c r="I21" s="98" t="s">
        <v>127</v>
      </c>
      <c r="J21" s="99">
        <v>95.1</v>
      </c>
      <c r="K21" s="100">
        <v>76.8</v>
      </c>
      <c r="L21" s="99">
        <v>2</v>
      </c>
    </row>
    <row r="22" spans="2:12">
      <c r="I22" s="98" t="s">
        <v>110</v>
      </c>
      <c r="J22" s="99">
        <v>98.4</v>
      </c>
      <c r="K22" s="100">
        <v>74.599999999999994</v>
      </c>
      <c r="L22" s="99">
        <v>1</v>
      </c>
    </row>
    <row r="23" spans="2:12">
      <c r="I23" s="96" t="s">
        <v>119</v>
      </c>
      <c r="J23" s="97">
        <v>97.8</v>
      </c>
      <c r="K23" s="39">
        <v>79.400000000000006</v>
      </c>
      <c r="L23" s="97">
        <v>1</v>
      </c>
    </row>
    <row r="24" spans="2:12">
      <c r="I24" s="96" t="s">
        <v>121</v>
      </c>
      <c r="J24" s="97">
        <v>96.3</v>
      </c>
      <c r="K24" s="39">
        <v>79.900000000000006</v>
      </c>
      <c r="L24" s="97">
        <v>1</v>
      </c>
    </row>
    <row r="25" spans="2:12">
      <c r="I25" s="96" t="s">
        <v>103</v>
      </c>
      <c r="J25" s="97">
        <v>102.5</v>
      </c>
      <c r="K25" s="39">
        <v>80.900000000000006</v>
      </c>
      <c r="L25" s="97">
        <v>1</v>
      </c>
    </row>
    <row r="26" spans="2:12">
      <c r="I26" s="96" t="s">
        <v>99</v>
      </c>
      <c r="J26" s="97">
        <v>104.4</v>
      </c>
      <c r="K26" s="39">
        <v>81.14</v>
      </c>
      <c r="L26" s="97">
        <v>1</v>
      </c>
    </row>
    <row r="27" spans="2:12">
      <c r="I27" s="96" t="s">
        <v>102</v>
      </c>
      <c r="J27" s="97">
        <v>100.3</v>
      </c>
      <c r="K27" s="39">
        <v>82.6</v>
      </c>
      <c r="L27" s="97">
        <v>1</v>
      </c>
    </row>
    <row r="28" spans="2:12">
      <c r="I28" s="96" t="s">
        <v>116</v>
      </c>
      <c r="J28" s="97">
        <v>106.7</v>
      </c>
      <c r="K28" s="39">
        <v>86.4</v>
      </c>
      <c r="L28" s="97">
        <v>1</v>
      </c>
    </row>
    <row r="29" spans="2:12">
      <c r="I29" s="96" t="s">
        <v>108</v>
      </c>
      <c r="J29" s="97">
        <v>116.5</v>
      </c>
      <c r="K29" s="39">
        <v>92.1</v>
      </c>
      <c r="L29" s="97">
        <v>1</v>
      </c>
    </row>
    <row r="30" spans="2:12">
      <c r="I30" s="96" t="s">
        <v>125</v>
      </c>
      <c r="J30" s="97">
        <v>108</v>
      </c>
      <c r="K30" s="39">
        <v>87.5</v>
      </c>
      <c r="L30" s="97">
        <v>1</v>
      </c>
    </row>
    <row r="31" spans="2:12">
      <c r="I31" s="96" t="s">
        <v>136</v>
      </c>
      <c r="J31" s="97">
        <v>112.8</v>
      </c>
      <c r="K31" s="39">
        <v>92.1</v>
      </c>
      <c r="L31" s="97">
        <v>1</v>
      </c>
    </row>
    <row r="32" spans="2:12">
      <c r="I32" s="96" t="s">
        <v>137</v>
      </c>
      <c r="J32" s="97">
        <v>107.3</v>
      </c>
      <c r="K32" s="39">
        <v>89.5</v>
      </c>
      <c r="L32" s="97">
        <v>1</v>
      </c>
    </row>
    <row r="33" spans="9:12">
      <c r="I33" s="96" t="s">
        <v>139</v>
      </c>
      <c r="J33" s="97">
        <v>109.7</v>
      </c>
      <c r="K33" s="39">
        <v>90.1</v>
      </c>
      <c r="L33" s="97">
        <v>1</v>
      </c>
    </row>
    <row r="34" spans="9:12">
      <c r="I34" s="96" t="s">
        <v>129</v>
      </c>
      <c r="J34" s="97">
        <v>106.1</v>
      </c>
      <c r="K34" s="39">
        <v>86.6</v>
      </c>
      <c r="L34" s="97">
        <v>1</v>
      </c>
    </row>
    <row r="35" spans="9:12">
      <c r="I35" s="96" t="s">
        <v>144</v>
      </c>
      <c r="J35" s="97">
        <v>105.9</v>
      </c>
      <c r="K35" s="39">
        <v>87.3</v>
      </c>
      <c r="L35" s="97">
        <v>2</v>
      </c>
    </row>
    <row r="36" spans="9:12">
      <c r="I36" s="96" t="s">
        <v>140</v>
      </c>
      <c r="J36" s="97">
        <v>101.5</v>
      </c>
      <c r="K36" s="39">
        <v>82.8</v>
      </c>
      <c r="L36" s="97">
        <v>2</v>
      </c>
    </row>
    <row r="37" spans="9:12">
      <c r="I37" s="96" t="s">
        <v>146</v>
      </c>
      <c r="J37" s="97">
        <v>108.1</v>
      </c>
      <c r="K37" s="39">
        <v>87.7</v>
      </c>
      <c r="L37" s="97">
        <v>1</v>
      </c>
    </row>
    <row r="38" spans="9:12">
      <c r="I38" s="96" t="s">
        <v>147</v>
      </c>
      <c r="J38" s="97">
        <v>108</v>
      </c>
      <c r="K38" s="39">
        <v>90.3</v>
      </c>
      <c r="L38" s="97">
        <v>1</v>
      </c>
    </row>
    <row r="39" spans="9:12">
      <c r="I39" s="98"/>
      <c r="J39" s="99"/>
      <c r="K39" s="100"/>
      <c r="L39" s="99">
        <f>SUM(L5:L38)</f>
        <v>118</v>
      </c>
    </row>
  </sheetData>
  <pageMargins left="0.7" right="0.7" top="0.75" bottom="0.75" header="0.3" footer="0.3"/>
  <pageSetup paperSize="9" orientation="portrait" horizontalDpi="4294967293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7"/>
  <sheetViews>
    <sheetView topLeftCell="A12" workbookViewId="0">
      <selection activeCell="I21" sqref="I21"/>
    </sheetView>
  </sheetViews>
  <sheetFormatPr defaultColWidth="8.85546875" defaultRowHeight="15"/>
  <cols>
    <col min="1" max="1" width="8.85546875" style="3"/>
    <col min="2" max="2" width="8.140625" style="3" bestFit="1" customWidth="1"/>
    <col min="3" max="3" width="13.140625" style="3" bestFit="1" customWidth="1"/>
    <col min="4" max="4" width="13.140625" style="19" customWidth="1"/>
    <col min="5" max="5" width="13.42578125" style="19" customWidth="1"/>
    <col min="6" max="6" width="12.28515625" style="19" bestFit="1" customWidth="1"/>
    <col min="7" max="8" width="8.85546875" style="3"/>
    <col min="9" max="9" width="13.140625" style="3" bestFit="1" customWidth="1"/>
    <col min="10" max="10" width="11.42578125" style="3" bestFit="1" customWidth="1"/>
    <col min="11" max="16384" width="8.85546875" style="3"/>
  </cols>
  <sheetData>
    <row r="1" spans="2:12" ht="15.75" thickBot="1"/>
    <row r="2" spans="2:12" ht="15.75" thickBot="1">
      <c r="B2" s="340" t="s">
        <v>47</v>
      </c>
      <c r="C2" s="341"/>
      <c r="D2" s="341"/>
      <c r="E2" s="341"/>
      <c r="F2" s="342"/>
      <c r="H2" s="340" t="s">
        <v>49</v>
      </c>
      <c r="I2" s="341"/>
      <c r="J2" s="341"/>
      <c r="K2" s="341"/>
      <c r="L2" s="342"/>
    </row>
    <row r="3" spans="2:12">
      <c r="B3" s="74" t="s">
        <v>21</v>
      </c>
      <c r="C3" s="68" t="s">
        <v>22</v>
      </c>
      <c r="D3" s="72" t="s">
        <v>48</v>
      </c>
      <c r="E3" s="70" t="s">
        <v>33</v>
      </c>
      <c r="F3" s="75" t="s">
        <v>46</v>
      </c>
      <c r="H3" s="74" t="s">
        <v>21</v>
      </c>
      <c r="I3" s="68" t="s">
        <v>22</v>
      </c>
      <c r="J3" s="72" t="s">
        <v>48</v>
      </c>
      <c r="K3" s="70" t="s">
        <v>33</v>
      </c>
      <c r="L3" s="75" t="s">
        <v>46</v>
      </c>
    </row>
    <row r="4" spans="2:12">
      <c r="B4" s="76" t="s">
        <v>2</v>
      </c>
      <c r="C4" s="69" t="s">
        <v>3</v>
      </c>
      <c r="D4" s="73">
        <f>Scoreboard!Z4</f>
        <v>8</v>
      </c>
      <c r="E4" s="217">
        <f>RANK(D4,D4:D18,1)</f>
        <v>3</v>
      </c>
      <c r="F4" s="77">
        <f>SMALL(Tabell10[#This Row],5)</f>
        <v>2</v>
      </c>
      <c r="H4" s="76" t="s">
        <v>2</v>
      </c>
      <c r="I4" s="69" t="s">
        <v>3</v>
      </c>
      <c r="J4" s="73">
        <f>Scoreboard!Z24</f>
        <v>9</v>
      </c>
      <c r="K4" s="222">
        <f>RANK(J4,J4:J18,1)</f>
        <v>1</v>
      </c>
      <c r="L4" s="77">
        <f>SMALL(Scoreboard!P24:Y24,5)</f>
        <v>3</v>
      </c>
    </row>
    <row r="5" spans="2:12">
      <c r="B5" s="76" t="s">
        <v>122</v>
      </c>
      <c r="C5" s="69" t="s">
        <v>123</v>
      </c>
      <c r="D5" s="73">
        <f>Scoreboard!Z17</f>
        <v>37</v>
      </c>
      <c r="E5" s="71">
        <f>RANK(D5,D4:D19,1)</f>
        <v>10</v>
      </c>
      <c r="F5" s="78">
        <f>SMALL(Scoreboard!P17:X17,5)</f>
        <v>9</v>
      </c>
      <c r="H5" s="76" t="s">
        <v>4</v>
      </c>
      <c r="I5" s="69" t="s">
        <v>5</v>
      </c>
      <c r="J5" s="73">
        <f>Scoreboard!Z26</f>
        <v>23</v>
      </c>
      <c r="K5" s="71">
        <f>RANK(J5,J2:J19,1)</f>
        <v>8</v>
      </c>
      <c r="L5" s="78">
        <f>SMALL(Scoreboard!P26:Y26,5)</f>
        <v>7</v>
      </c>
    </row>
    <row r="6" spans="2:12">
      <c r="B6" s="76" t="s">
        <v>113</v>
      </c>
      <c r="C6" s="69" t="s">
        <v>114</v>
      </c>
      <c r="D6" s="73">
        <f>Scoreboard!Z14</f>
        <v>41</v>
      </c>
      <c r="E6" s="71">
        <f>RANK(D6,D4:D20,1)</f>
        <v>13</v>
      </c>
      <c r="F6" s="78">
        <f>SMALL(Scoreboard!P14:X14,5)</f>
        <v>11</v>
      </c>
      <c r="H6" s="76" t="s">
        <v>0</v>
      </c>
      <c r="I6" s="69" t="s">
        <v>1</v>
      </c>
      <c r="J6" s="73">
        <f>Scoreboard!Z25</f>
        <v>12</v>
      </c>
      <c r="K6" s="71">
        <f>RANK(J6,J2:J20,1)</f>
        <v>3</v>
      </c>
      <c r="L6" s="78">
        <f>SMALL(Scoreboard!P25:Y25,5)</f>
        <v>4</v>
      </c>
    </row>
    <row r="7" spans="2:12">
      <c r="B7" s="76" t="s">
        <v>0</v>
      </c>
      <c r="C7" s="69" t="s">
        <v>1</v>
      </c>
      <c r="D7" s="73">
        <f>Scoreboard!Z5</f>
        <v>6</v>
      </c>
      <c r="E7" s="71">
        <f>RANK(D7,D4:D21,1)</f>
        <v>1</v>
      </c>
      <c r="F7" s="78">
        <f>SMALL(Scoreboard!P5:Y5,5)</f>
        <v>2</v>
      </c>
      <c r="H7" s="76" t="s">
        <v>8</v>
      </c>
      <c r="I7" s="69" t="s">
        <v>9</v>
      </c>
      <c r="J7" s="73">
        <f>Scoreboard!Z30</f>
        <v>19</v>
      </c>
      <c r="K7" s="71">
        <f>RANK(J7,J2:J21,1)</f>
        <v>7</v>
      </c>
      <c r="L7" s="78">
        <f>SMALL(Scoreboard!P30:Y30,5)</f>
        <v>6</v>
      </c>
    </row>
    <row r="8" spans="2:12">
      <c r="B8" s="76" t="s">
        <v>4</v>
      </c>
      <c r="C8" s="69" t="s">
        <v>5</v>
      </c>
      <c r="D8" s="73">
        <f>Scoreboard!Z6</f>
        <v>23</v>
      </c>
      <c r="E8" s="71">
        <f>RANK(D8,D4:D22,1)</f>
        <v>8</v>
      </c>
      <c r="F8" s="78">
        <f>SMALL(Tabell10[#This Row],5)</f>
        <v>5</v>
      </c>
      <c r="H8" s="76" t="s">
        <v>10</v>
      </c>
      <c r="I8" s="69" t="s">
        <v>11</v>
      </c>
      <c r="J8" s="73">
        <f>Scoreboard!Z28</f>
        <v>14</v>
      </c>
      <c r="K8" s="71">
        <f>RANK(J8,J2:J22,1)</f>
        <v>4</v>
      </c>
      <c r="L8" s="78">
        <f>SMALL(Scoreboard!P28:Y28,5)</f>
        <v>4</v>
      </c>
    </row>
    <row r="9" spans="2:12">
      <c r="B9" s="76" t="s">
        <v>10</v>
      </c>
      <c r="C9" s="69" t="s">
        <v>11</v>
      </c>
      <c r="D9" s="73">
        <f>Scoreboard!Z8</f>
        <v>18</v>
      </c>
      <c r="E9" s="71">
        <f>RANK(D9,D4:D23,1)</f>
        <v>4</v>
      </c>
      <c r="F9" s="78">
        <f>SMALL(Scoreboard!P8:X8,5)</f>
        <v>5</v>
      </c>
      <c r="H9" s="76" t="s">
        <v>15</v>
      </c>
      <c r="I9" s="69" t="s">
        <v>16</v>
      </c>
      <c r="J9" s="73">
        <f>Scoreboard!Z33</f>
        <v>17</v>
      </c>
      <c r="K9" s="71">
        <f>RANK(J9,J2:J23,1)</f>
        <v>6</v>
      </c>
      <c r="L9" s="78">
        <f>SMALL(Scoreboard!P33:Y33,5)</f>
        <v>4</v>
      </c>
    </row>
    <row r="10" spans="2:12">
      <c r="B10" s="76" t="s">
        <v>6</v>
      </c>
      <c r="C10" s="69" t="s">
        <v>7</v>
      </c>
      <c r="D10" s="73">
        <f>Scoreboard!Z9</f>
        <v>21</v>
      </c>
      <c r="E10" s="71">
        <f>RANK(D10,D4:D24,1)</f>
        <v>7</v>
      </c>
      <c r="F10" s="78">
        <f>SMALL(Scoreboard!P9:X9,5)</f>
        <v>7</v>
      </c>
      <c r="H10" s="76" t="s">
        <v>6</v>
      </c>
      <c r="I10" s="69" t="s">
        <v>7</v>
      </c>
      <c r="J10" s="73">
        <f>Scoreboard!Z29</f>
        <v>14</v>
      </c>
      <c r="K10" s="71">
        <f>RANK(J10,J2:J24,1)</f>
        <v>4</v>
      </c>
      <c r="L10" s="78">
        <f>SMALL(Scoreboard!P29:Y29,5)</f>
        <v>5</v>
      </c>
    </row>
    <row r="11" spans="2:12">
      <c r="B11" s="76" t="s">
        <v>14</v>
      </c>
      <c r="C11" s="69" t="s">
        <v>13</v>
      </c>
      <c r="D11" s="73">
        <f>Scoreboard!Z7</f>
        <v>30</v>
      </c>
      <c r="E11" s="71">
        <f>RANK(D11,D4:D25,1)</f>
        <v>9</v>
      </c>
      <c r="F11" s="78">
        <f>SMALL(Scoreboard!P7:Y7,5)</f>
        <v>8</v>
      </c>
      <c r="H11" s="76" t="s">
        <v>141</v>
      </c>
      <c r="I11" s="69" t="s">
        <v>142</v>
      </c>
      <c r="J11" s="73">
        <f>Scoreboard!Z31</f>
        <v>39</v>
      </c>
      <c r="K11" s="71">
        <f>RANK(J11,J2:J25,1)</f>
        <v>11</v>
      </c>
      <c r="L11" s="78">
        <f>SMALL(Scoreboard!P31:Y31,5)</f>
        <v>12</v>
      </c>
    </row>
    <row r="12" spans="2:12">
      <c r="B12" s="76" t="s">
        <v>8</v>
      </c>
      <c r="C12" s="69" t="s">
        <v>9</v>
      </c>
      <c r="D12" s="73">
        <f>Scoreboard!Z10</f>
        <v>18</v>
      </c>
      <c r="E12" s="71">
        <f t="shared" ref="E12:E15" si="0">RANK(D12,D1:D14,1)</f>
        <v>3</v>
      </c>
      <c r="F12" s="78">
        <f>SMALL(Scoreboard!P10:X10,5)</f>
        <v>5</v>
      </c>
      <c r="H12" s="76" t="s">
        <v>12</v>
      </c>
      <c r="I12" s="69" t="s">
        <v>13</v>
      </c>
      <c r="J12" s="73">
        <f>Scoreboard!Z36</f>
        <v>48</v>
      </c>
      <c r="K12" s="71">
        <f>RANK(J12,J2:J26,1)</f>
        <v>14</v>
      </c>
      <c r="L12" s="78">
        <f>SMALL(Scoreboard!P36:Y36,5)</f>
        <v>11</v>
      </c>
    </row>
    <row r="13" spans="2:12">
      <c r="B13" s="76" t="s">
        <v>15</v>
      </c>
      <c r="C13" s="69" t="s">
        <v>16</v>
      </c>
      <c r="D13" s="73">
        <f>Scoreboard!Z13</f>
        <v>20</v>
      </c>
      <c r="E13" s="71">
        <f t="shared" si="0"/>
        <v>5</v>
      </c>
      <c r="F13" s="78">
        <f>SMALL(Scoreboard!P13:X13,5)</f>
        <v>5</v>
      </c>
      <c r="H13" s="76" t="s">
        <v>8</v>
      </c>
      <c r="I13" s="69" t="s">
        <v>19</v>
      </c>
      <c r="J13" s="73">
        <f>Scoreboard!Z35</f>
        <v>62</v>
      </c>
      <c r="K13" s="71">
        <f>RANK(J13,J2:J27,1)</f>
        <v>15</v>
      </c>
      <c r="L13" s="78">
        <f>SMALL(Scoreboard!P35:Y35,5)</f>
        <v>15</v>
      </c>
    </row>
    <row r="14" spans="2:12">
      <c r="B14" s="76" t="s">
        <v>141</v>
      </c>
      <c r="C14" s="69" t="s">
        <v>142</v>
      </c>
      <c r="D14" s="73">
        <f>Scoreboard!Z11</f>
        <v>37</v>
      </c>
      <c r="E14" s="71">
        <f t="shared" si="0"/>
        <v>9</v>
      </c>
      <c r="F14" s="78">
        <f>SMALL(Scoreboard!P11:X11,5)</f>
        <v>12</v>
      </c>
      <c r="H14" s="76" t="s">
        <v>14</v>
      </c>
      <c r="I14" s="69" t="s">
        <v>13</v>
      </c>
      <c r="J14" s="73">
        <f>Scoreboard!Z27</f>
        <v>37</v>
      </c>
      <c r="K14" s="71">
        <f>RANK(J14,J2:J28,1)</f>
        <v>10</v>
      </c>
      <c r="L14" s="78">
        <f>SMALL(Scoreboard!P27:Y27,5)</f>
        <v>10</v>
      </c>
    </row>
    <row r="15" spans="2:12">
      <c r="B15" s="76" t="s">
        <v>8</v>
      </c>
      <c r="C15" s="69" t="s">
        <v>19</v>
      </c>
      <c r="D15" s="73">
        <f>Scoreboard!Z15</f>
        <v>65</v>
      </c>
      <c r="E15" s="71">
        <f t="shared" si="0"/>
        <v>14</v>
      </c>
      <c r="F15" s="78">
        <f>SMALL(Scoreboard!P15:X15,5)</f>
        <v>15</v>
      </c>
      <c r="H15" s="76" t="s">
        <v>17</v>
      </c>
      <c r="I15" s="69" t="s">
        <v>18</v>
      </c>
      <c r="J15" s="73">
        <f>Scoreboard!Z32</f>
        <v>42</v>
      </c>
      <c r="K15" s="71">
        <f>RANK(J15,J2:J29,1)</f>
        <v>12</v>
      </c>
      <c r="L15" s="78">
        <f>SMALL(Scoreboard!P32:Y32,5)</f>
        <v>12</v>
      </c>
    </row>
    <row r="16" spans="2:12" ht="15.75" thickBot="1">
      <c r="B16" s="76" t="s">
        <v>12</v>
      </c>
      <c r="C16" s="69" t="s">
        <v>13</v>
      </c>
      <c r="D16" s="73">
        <f>Scoreboard!Z16</f>
        <v>53</v>
      </c>
      <c r="E16" s="71">
        <f>RANK(D16,D5:D19,1)</f>
        <v>13</v>
      </c>
      <c r="F16" s="78">
        <f>SMALL(Scoreboard!P16:X16,5)</f>
        <v>12</v>
      </c>
      <c r="H16" s="79" t="s">
        <v>122</v>
      </c>
      <c r="I16" s="80" t="s">
        <v>123</v>
      </c>
      <c r="J16" s="81">
        <f>Scoreboard!Z37</f>
        <v>29</v>
      </c>
      <c r="K16" s="71">
        <f>RANK(J16,J3:J30,1)</f>
        <v>9</v>
      </c>
      <c r="L16" s="82">
        <f>SMALL(Scoreboard!P37:Y37,5)</f>
        <v>9</v>
      </c>
    </row>
    <row r="17" spans="2:12" ht="15.75" thickBot="1">
      <c r="B17" s="79" t="s">
        <v>17</v>
      </c>
      <c r="C17" s="80" t="s">
        <v>18</v>
      </c>
      <c r="D17" s="81">
        <f>Scoreboard!Z12</f>
        <v>40</v>
      </c>
      <c r="E17" s="71">
        <f>RANK(D17,D4:D20,1)</f>
        <v>12</v>
      </c>
      <c r="F17" s="82">
        <f>SMALL(Scoreboard!P12:X12,5)</f>
        <v>15</v>
      </c>
      <c r="H17" s="83" t="s">
        <v>115</v>
      </c>
      <c r="I17" s="84" t="s">
        <v>114</v>
      </c>
      <c r="J17" s="85">
        <f>Scoreboard!Z34</f>
        <v>46</v>
      </c>
      <c r="K17" s="71">
        <f>RANK(J17,J4:J31,1)</f>
        <v>13</v>
      </c>
      <c r="L17" s="86">
        <f>SMALL(Scoreboard!P34:Y34,5)</f>
        <v>11</v>
      </c>
    </row>
    <row r="18" spans="2:12" ht="15.75" thickBot="1">
      <c r="B18" s="209" t="s">
        <v>117</v>
      </c>
      <c r="C18" s="209" t="s">
        <v>118</v>
      </c>
      <c r="D18" s="210">
        <f>Scoreboard!Z18</f>
        <v>7</v>
      </c>
      <c r="E18" s="211">
        <f>Tabell8[[#This Row],[Plac]]</f>
        <v>2</v>
      </c>
      <c r="F18" s="82">
        <f>SMALL(Tabell10[#This Row],5)</f>
        <v>2</v>
      </c>
      <c r="H18" s="212" t="s">
        <v>117</v>
      </c>
      <c r="I18" s="213" t="s">
        <v>118</v>
      </c>
      <c r="J18" s="73">
        <f>Scoreboard!Z38</f>
        <v>9</v>
      </c>
      <c r="K18" s="214">
        <f>RANK(J18,J4:J18,1)</f>
        <v>1</v>
      </c>
      <c r="L18" s="215">
        <f>SMALL(Scoreboard!P38:Y38,5)</f>
        <v>3</v>
      </c>
    </row>
    <row r="20" spans="2:12" ht="15.75" thickBot="1"/>
    <row r="21" spans="2:12" ht="15.75" thickBot="1">
      <c r="B21" s="340" t="s">
        <v>80</v>
      </c>
      <c r="C21" s="341"/>
      <c r="D21" s="341"/>
      <c r="E21" s="341"/>
      <c r="F21" s="342"/>
    </row>
    <row r="22" spans="2:12">
      <c r="B22" s="74" t="s">
        <v>21</v>
      </c>
      <c r="C22" s="68" t="s">
        <v>22</v>
      </c>
      <c r="D22" s="72" t="s">
        <v>48</v>
      </c>
      <c r="E22" s="70" t="s">
        <v>33</v>
      </c>
      <c r="F22" s="75" t="s">
        <v>46</v>
      </c>
    </row>
    <row r="23" spans="2:12">
      <c r="B23" s="76" t="s">
        <v>2</v>
      </c>
      <c r="C23" s="69" t="s">
        <v>3</v>
      </c>
      <c r="D23" s="73">
        <f>Dreamscore!X16</f>
        <v>69</v>
      </c>
      <c r="E23" s="222">
        <f>RANK(D23,D23:D37,1)</f>
        <v>1</v>
      </c>
      <c r="F23" s="77"/>
    </row>
    <row r="24" spans="2:12">
      <c r="B24" s="76" t="s">
        <v>4</v>
      </c>
      <c r="C24" s="69" t="s">
        <v>5</v>
      </c>
      <c r="D24" s="73">
        <f>Dreamscore!X12</f>
        <v>76</v>
      </c>
      <c r="E24" s="71">
        <f>RANK(D24,D23:D37,1)</f>
        <v>7</v>
      </c>
      <c r="F24" s="77"/>
    </row>
    <row r="25" spans="2:12">
      <c r="B25" s="76" t="s">
        <v>0</v>
      </c>
      <c r="C25" s="69" t="s">
        <v>1</v>
      </c>
      <c r="D25" s="73">
        <f>Dreamscore!X11</f>
        <v>69</v>
      </c>
      <c r="E25" s="71">
        <f>RANK(D25,D23:D37,1)</f>
        <v>1</v>
      </c>
      <c r="F25" s="77"/>
    </row>
    <row r="26" spans="2:12">
      <c r="B26" s="76" t="s">
        <v>8</v>
      </c>
      <c r="C26" s="69" t="s">
        <v>9</v>
      </c>
      <c r="D26" s="73">
        <f>Dreamscore!X8</f>
        <v>71</v>
      </c>
      <c r="E26" s="71">
        <f>RANK(D26,D23:D37,1)</f>
        <v>3</v>
      </c>
      <c r="F26" s="77"/>
    </row>
    <row r="27" spans="2:12">
      <c r="B27" s="76" t="s">
        <v>10</v>
      </c>
      <c r="C27" s="69" t="s">
        <v>11</v>
      </c>
      <c r="D27" s="73">
        <f>Dreamscore!X6</f>
        <v>74</v>
      </c>
      <c r="E27" s="71">
        <f>RANK(D27,D23:D37,1)</f>
        <v>5</v>
      </c>
      <c r="F27" s="77"/>
    </row>
    <row r="28" spans="2:12">
      <c r="B28" s="76" t="s">
        <v>15</v>
      </c>
      <c r="C28" s="69" t="s">
        <v>16</v>
      </c>
      <c r="D28" s="73">
        <f>Dreamscore!X9</f>
        <v>75</v>
      </c>
      <c r="E28" s="71">
        <f>RANK(D28,D23:D37,1)</f>
        <v>6</v>
      </c>
      <c r="F28" s="77"/>
    </row>
    <row r="29" spans="2:12">
      <c r="B29" s="76" t="s">
        <v>6</v>
      </c>
      <c r="C29" s="69" t="s">
        <v>7</v>
      </c>
      <c r="D29" s="73">
        <f>Dreamscore!X5</f>
        <v>79</v>
      </c>
      <c r="E29" s="71">
        <f>RANK(D29,D23:D37,1)</f>
        <v>10</v>
      </c>
      <c r="F29" s="77"/>
    </row>
    <row r="30" spans="2:12">
      <c r="B30" s="76" t="s">
        <v>141</v>
      </c>
      <c r="C30" s="69" t="s">
        <v>142</v>
      </c>
      <c r="D30" s="73">
        <f>Dreamscore!X15</f>
        <v>80</v>
      </c>
      <c r="E30" s="71">
        <f>RANK(D30,D23:D37,1)</f>
        <v>11</v>
      </c>
      <c r="F30" s="77"/>
    </row>
    <row r="31" spans="2:12">
      <c r="B31" s="76" t="s">
        <v>12</v>
      </c>
      <c r="C31" s="69" t="s">
        <v>13</v>
      </c>
      <c r="D31" s="73">
        <f>Dreamscore!X10</f>
        <v>85</v>
      </c>
      <c r="E31" s="71">
        <f>RANK(D31,D23:D37,1)</f>
        <v>14</v>
      </c>
      <c r="F31" s="77"/>
    </row>
    <row r="32" spans="2:12">
      <c r="B32" s="76" t="s">
        <v>8</v>
      </c>
      <c r="C32" s="69" t="s">
        <v>19</v>
      </c>
      <c r="D32" s="73">
        <f>Dreamscore!X14</f>
        <v>102</v>
      </c>
      <c r="E32" s="71">
        <f>RANK(D32,D23:D37,1)</f>
        <v>15</v>
      </c>
      <c r="F32" s="77"/>
    </row>
    <row r="33" spans="2:6">
      <c r="B33" s="76" t="s">
        <v>14</v>
      </c>
      <c r="C33" s="69" t="s">
        <v>13</v>
      </c>
      <c r="D33" s="73">
        <f>Dreamscore!X7</f>
        <v>81</v>
      </c>
      <c r="E33" s="71">
        <f>RANK(D33,D23:D37,1)</f>
        <v>12</v>
      </c>
      <c r="F33" s="77"/>
    </row>
    <row r="34" spans="2:6">
      <c r="B34" s="76" t="s">
        <v>17</v>
      </c>
      <c r="C34" s="69" t="s">
        <v>18</v>
      </c>
      <c r="D34" s="73">
        <f>Dreamscore!X13</f>
        <v>81</v>
      </c>
      <c r="E34" s="71">
        <f>RANK(D34,D23:D37,1)</f>
        <v>12</v>
      </c>
      <c r="F34" s="77"/>
    </row>
    <row r="35" spans="2:6" ht="15.75" thickBot="1">
      <c r="B35" s="79" t="s">
        <v>122</v>
      </c>
      <c r="C35" s="80" t="s">
        <v>123</v>
      </c>
      <c r="D35" s="81">
        <f>Dreamscore!X17</f>
        <v>78</v>
      </c>
      <c r="E35" s="71">
        <f>RANK(D35,D23:D37,1)</f>
        <v>9</v>
      </c>
      <c r="F35" s="77"/>
    </row>
    <row r="36" spans="2:6">
      <c r="B36" s="83" t="s">
        <v>115</v>
      </c>
      <c r="C36" s="84" t="s">
        <v>114</v>
      </c>
      <c r="D36" s="85">
        <f>Dreamscore!X18</f>
        <v>77</v>
      </c>
      <c r="E36" s="71">
        <f>RANK(D36,D23:D37,1)</f>
        <v>8</v>
      </c>
      <c r="F36" s="77"/>
    </row>
    <row r="37" spans="2:6">
      <c r="B37" s="212" t="s">
        <v>117</v>
      </c>
      <c r="C37" s="213" t="s">
        <v>118</v>
      </c>
      <c r="D37" s="73">
        <f>Dreamscore!X19</f>
        <v>72</v>
      </c>
      <c r="E37" s="214">
        <f>RANK(D37,D23:D37,1)</f>
        <v>4</v>
      </c>
      <c r="F37" s="77"/>
    </row>
  </sheetData>
  <mergeCells count="3">
    <mergeCell ref="B2:F2"/>
    <mergeCell ref="H2:L2"/>
    <mergeCell ref="B21:F21"/>
  </mergeCells>
  <conditionalFormatting sqref="D4:D18">
    <cfRule type="iconSet" priority="3">
      <iconSet iconSet="5ArrowsGray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18">
    <cfRule type="iconSet" priority="2">
      <iconSet iconSet="5ArrowsGray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3:D37">
    <cfRule type="iconSet" priority="1">
      <iconSet iconSet="5ArrowsGray" reverse="1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paperSize="9" scale="89" orientation="landscape"/>
  <tableParts count="3">
    <tablePart r:id="rId1"/>
    <tablePart r:id="rId2"/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2:AD209"/>
  <sheetViews>
    <sheetView tabSelected="1" workbookViewId="0">
      <selection activeCell="R11" sqref="R11"/>
    </sheetView>
  </sheetViews>
  <sheetFormatPr defaultColWidth="8.85546875" defaultRowHeight="15"/>
  <cols>
    <col min="1" max="1" width="5.28515625" style="114" customWidth="1"/>
    <col min="2" max="2" width="14.85546875" style="114" bestFit="1" customWidth="1"/>
    <col min="3" max="3" width="11.7109375" style="114" bestFit="1" customWidth="1"/>
    <col min="4" max="4" width="5" style="125" customWidth="1"/>
    <col min="5" max="21" width="5.7109375" style="125" customWidth="1"/>
    <col min="22" max="22" width="6.140625" style="114" bestFit="1" customWidth="1"/>
    <col min="23" max="23" width="2.42578125" style="114" customWidth="1"/>
    <col min="24" max="24" width="11.42578125" style="125" bestFit="1" customWidth="1"/>
    <col min="25" max="25" width="1" style="114" customWidth="1"/>
    <col min="26" max="26" width="5" style="125" customWidth="1"/>
    <col min="27" max="27" width="1.140625" style="114" customWidth="1"/>
    <col min="28" max="28" width="9.7109375" style="125" customWidth="1"/>
    <col min="29" max="29" width="2.28515625" style="114" customWidth="1"/>
    <col min="30" max="30" width="11" style="114" customWidth="1"/>
    <col min="31" max="16384" width="8.85546875" style="114"/>
  </cols>
  <sheetData>
    <row r="2" spans="2:30" ht="18.75">
      <c r="B2" s="116" t="s">
        <v>80</v>
      </c>
      <c r="D2" s="127" t="s">
        <v>91</v>
      </c>
      <c r="H2" s="128">
        <v>-2</v>
      </c>
      <c r="I2" s="129">
        <v>-1</v>
      </c>
      <c r="J2" s="130" t="s">
        <v>92</v>
      </c>
      <c r="K2" s="131">
        <v>1</v>
      </c>
      <c r="L2" s="132">
        <v>2</v>
      </c>
    </row>
    <row r="4" spans="2:30" ht="15.75" thickBot="1">
      <c r="B4" s="15" t="s">
        <v>21</v>
      </c>
      <c r="C4" s="15" t="s">
        <v>22</v>
      </c>
      <c r="D4" s="126" t="s">
        <v>23</v>
      </c>
      <c r="E4" s="126" t="s">
        <v>24</v>
      </c>
      <c r="F4" s="126" t="s">
        <v>25</v>
      </c>
      <c r="G4" s="126" t="s">
        <v>26</v>
      </c>
      <c r="H4" s="126" t="s">
        <v>27</v>
      </c>
      <c r="I4" s="126" t="s">
        <v>28</v>
      </c>
      <c r="J4" s="126" t="s">
        <v>29</v>
      </c>
      <c r="K4" s="126" t="s">
        <v>30</v>
      </c>
      <c r="L4" s="126" t="s">
        <v>31</v>
      </c>
      <c r="M4" s="126" t="s">
        <v>81</v>
      </c>
      <c r="N4" s="126" t="s">
        <v>82</v>
      </c>
      <c r="O4" s="126" t="s">
        <v>83</v>
      </c>
      <c r="P4" s="126" t="s">
        <v>84</v>
      </c>
      <c r="Q4" s="126" t="s">
        <v>85</v>
      </c>
      <c r="R4" s="126" t="s">
        <v>86</v>
      </c>
      <c r="S4" s="126" t="s">
        <v>87</v>
      </c>
      <c r="T4" s="126" t="s">
        <v>88</v>
      </c>
      <c r="U4" s="126" t="s">
        <v>89</v>
      </c>
      <c r="V4" s="119" t="s">
        <v>40</v>
      </c>
      <c r="X4" s="44" t="s">
        <v>93</v>
      </c>
      <c r="Z4" s="97" t="s">
        <v>94</v>
      </c>
      <c r="AB4" s="133" t="s">
        <v>95</v>
      </c>
      <c r="AD4" s="159" t="s">
        <v>104</v>
      </c>
    </row>
    <row r="5" spans="2:30">
      <c r="B5" s="117" t="s">
        <v>6</v>
      </c>
      <c r="C5" s="118" t="s">
        <v>7</v>
      </c>
      <c r="D5" s="174">
        <f>SMALL(Tabell7[1],1)</f>
        <v>1</v>
      </c>
      <c r="E5" s="174">
        <f>SMALL(Tabell7[2],1)</f>
        <v>0</v>
      </c>
      <c r="F5" s="174">
        <f>SMALL(Tabell7[3],1)</f>
        <v>0</v>
      </c>
      <c r="G5" s="174">
        <f>SMALL(Tabell7[4],1)</f>
        <v>0</v>
      </c>
      <c r="H5" s="174">
        <f>SMALL(Tabell7[5],1)</f>
        <v>0</v>
      </c>
      <c r="I5" s="174">
        <f>SMALL(Tabell7[6],1)</f>
        <v>0</v>
      </c>
      <c r="J5" s="174">
        <f>SMALL(Tabell7[7],1)</f>
        <v>0</v>
      </c>
      <c r="K5" s="174">
        <f>SMALL(Tabell7[8],1)</f>
        <v>1</v>
      </c>
      <c r="L5" s="174">
        <f>SMALL(Tabell7[9],1)</f>
        <v>0</v>
      </c>
      <c r="M5" s="174">
        <f>SMALL(Tabell7[10],1)</f>
        <v>1</v>
      </c>
      <c r="N5" s="174">
        <f>SMALL(Tabell7[11],1)</f>
        <v>0</v>
      </c>
      <c r="O5" s="174">
        <f>SMALL(Tabell7[12],1)</f>
        <v>1</v>
      </c>
      <c r="P5" s="174">
        <f>SMALL(Tabell7[13],1)</f>
        <v>1</v>
      </c>
      <c r="Q5" s="174">
        <f>SMALL(Tabell7[14],1)</f>
        <v>1</v>
      </c>
      <c r="R5" s="174">
        <f>SMALL(Tabell7[15],1)</f>
        <v>0</v>
      </c>
      <c r="S5" s="174">
        <f>SMALL(Tabell7[16],1)</f>
        <v>1</v>
      </c>
      <c r="T5" s="174">
        <f>SMALL(Tabell7[17],1)</f>
        <v>0</v>
      </c>
      <c r="U5" s="174">
        <f>SMALL(Tabell7[18],1)</f>
        <v>0</v>
      </c>
      <c r="V5" s="120">
        <f t="shared" ref="V5:V18" si="0">SUM(D5:U5)</f>
        <v>7</v>
      </c>
      <c r="X5" s="303">
        <f>72+Tabell5[[#This Row],[Tot]]</f>
        <v>79</v>
      </c>
      <c r="Z5" s="51">
        <f>RANK(X5,Tabell42[Score],1)</f>
        <v>10</v>
      </c>
      <c r="AB5" s="134">
        <f>X5-SMALL(X5:X19,1)</f>
        <v>10</v>
      </c>
      <c r="AD5" s="160">
        <v>82</v>
      </c>
    </row>
    <row r="6" spans="2:30">
      <c r="B6" s="16" t="s">
        <v>10</v>
      </c>
      <c r="C6" s="17" t="s">
        <v>11</v>
      </c>
      <c r="D6" s="174">
        <f>SMALL(Tabell714[1],1)</f>
        <v>0</v>
      </c>
      <c r="E6" s="174">
        <f>SMALL(Tabell714[2],1)</f>
        <v>1</v>
      </c>
      <c r="F6" s="174">
        <f>SMALL(Tabell714[3],1)</f>
        <v>1</v>
      </c>
      <c r="G6" s="174">
        <f>SMALL(Tabell714[4],1)</f>
        <v>0</v>
      </c>
      <c r="H6" s="174">
        <f>SMALL(Tabell714[5],1)</f>
        <v>-1</v>
      </c>
      <c r="I6" s="174">
        <f>SMALL(Tabell714[6],1)</f>
        <v>1</v>
      </c>
      <c r="J6" s="174">
        <f>SMALL(Tabell714[7],1)</f>
        <v>0</v>
      </c>
      <c r="K6" s="174">
        <f>SMALL(Tabell714[8],1)</f>
        <v>0</v>
      </c>
      <c r="L6" s="174">
        <f>SMALL(Tabell714[9],1)</f>
        <v>0</v>
      </c>
      <c r="M6" s="174">
        <f>SMALL(Tabell714[10],1)</f>
        <v>0</v>
      </c>
      <c r="N6" s="174">
        <f>SMALL(Tabell714[11],1)</f>
        <v>0</v>
      </c>
      <c r="O6" s="174">
        <f>SMALL(Tabell714[12],1)</f>
        <v>0</v>
      </c>
      <c r="P6" s="174">
        <f>SMALL(Tabell714[13],1)</f>
        <v>0</v>
      </c>
      <c r="Q6" s="174">
        <f>SMALL(Tabell714[14],1)</f>
        <v>0</v>
      </c>
      <c r="R6" s="174">
        <f>SMALL(Tabell714[15],1)</f>
        <v>-1</v>
      </c>
      <c r="S6" s="174">
        <f>SMALL(Tabell714[16],1)</f>
        <v>1</v>
      </c>
      <c r="T6" s="174">
        <f>SMALL(Tabell714[17],1)</f>
        <v>0</v>
      </c>
      <c r="U6" s="174">
        <f>SMALL(Tabell714[18],1)</f>
        <v>0</v>
      </c>
      <c r="V6" s="121">
        <f t="shared" si="0"/>
        <v>2</v>
      </c>
      <c r="X6" s="303">
        <f>72+Tabell5[[#This Row],[Tot]]</f>
        <v>74</v>
      </c>
      <c r="Z6" s="51">
        <f>RANK(X6,Tabell42[Score],1)</f>
        <v>5</v>
      </c>
      <c r="AB6" s="134">
        <f>X6-SMALL(X5:X19,1)</f>
        <v>5</v>
      </c>
      <c r="AD6" s="161">
        <v>70</v>
      </c>
    </row>
    <row r="7" spans="2:30">
      <c r="B7" s="16" t="s">
        <v>14</v>
      </c>
      <c r="C7" s="17" t="s">
        <v>13</v>
      </c>
      <c r="D7" s="174">
        <f>SMALL(Tabell71415[1],1)</f>
        <v>1</v>
      </c>
      <c r="E7" s="174">
        <f>SMALL(Tabell71415[2],1)</f>
        <v>0</v>
      </c>
      <c r="F7" s="174">
        <f>SMALL(Tabell71415[3],1)</f>
        <v>0</v>
      </c>
      <c r="G7" s="174">
        <f>SMALL(Tabell71415[4],1)</f>
        <v>0</v>
      </c>
      <c r="H7" s="174">
        <f>SMALL(Tabell71415[5],1)</f>
        <v>1</v>
      </c>
      <c r="I7" s="174">
        <f>SMALL(Tabell71415[6],1)</f>
        <v>0</v>
      </c>
      <c r="J7" s="174">
        <f>SMALL(Tabell71415[7],1)</f>
        <v>0</v>
      </c>
      <c r="K7" s="174">
        <f>SMALL(Tabell71415[8],1)</f>
        <v>0</v>
      </c>
      <c r="L7" s="174">
        <f>SMALL(Tabell71415[9],1)</f>
        <v>1</v>
      </c>
      <c r="M7" s="174">
        <f>SMALL(Tabell71415[10],1)</f>
        <v>0</v>
      </c>
      <c r="N7" s="174">
        <f>SMALL(Tabell71415[11],1)</f>
        <v>1</v>
      </c>
      <c r="O7" s="174">
        <f>SMALL(Tabell71415[12],1)</f>
        <v>0</v>
      </c>
      <c r="P7" s="174">
        <f>SMALL(Tabell71415[13],1)</f>
        <v>1</v>
      </c>
      <c r="Q7" s="174">
        <f>SMALL(Tabell71415[14],1)</f>
        <v>1</v>
      </c>
      <c r="R7" s="174">
        <f>SMALL(Tabell71415[15],1)</f>
        <v>1</v>
      </c>
      <c r="S7" s="174">
        <f>SMALL(Tabell71415[16],1)</f>
        <v>1</v>
      </c>
      <c r="T7" s="174">
        <f>SMALL(Tabell71415[17],1)</f>
        <v>1</v>
      </c>
      <c r="U7" s="174">
        <f>SMALL(Tabell71415[18],1)</f>
        <v>0</v>
      </c>
      <c r="V7" s="121">
        <f t="shared" si="0"/>
        <v>9</v>
      </c>
      <c r="X7" s="303">
        <f>72+Tabell5[[#This Row],[Tot]]</f>
        <v>81</v>
      </c>
      <c r="Z7" s="51">
        <f>RANK(X7,Tabell42[Score],1)</f>
        <v>12</v>
      </c>
      <c r="AB7" s="134">
        <f>X7-SMALL(X5:X19,1)</f>
        <v>12</v>
      </c>
      <c r="AD7" s="161">
        <v>72</v>
      </c>
    </row>
    <row r="8" spans="2:30">
      <c r="B8" s="16" t="s">
        <v>8</v>
      </c>
      <c r="C8" s="17" t="s">
        <v>9</v>
      </c>
      <c r="D8" s="174">
        <f>SMALL(Tabell7141520[1],1)</f>
        <v>-1</v>
      </c>
      <c r="E8" s="174">
        <f>SMALL(Tabell7141520[2],1)</f>
        <v>0</v>
      </c>
      <c r="F8" s="174">
        <f>SMALL(Tabell7141520[3],1)</f>
        <v>0</v>
      </c>
      <c r="G8" s="174">
        <f>SMALL(Tabell7141520[4],1)</f>
        <v>1</v>
      </c>
      <c r="H8" s="174">
        <f>SMALL(Tabell7141520[5],1)</f>
        <v>0</v>
      </c>
      <c r="I8" s="174">
        <f>SMALL(Tabell7141520[6],1)</f>
        <v>0</v>
      </c>
      <c r="J8" s="174">
        <f>SMALL(Tabell7141520[7],1)</f>
        <v>0</v>
      </c>
      <c r="K8" s="174">
        <f>SMALL(Tabell7141520[8],1)</f>
        <v>1</v>
      </c>
      <c r="L8" s="174">
        <f>SMALL(Tabell7141520[9],1)</f>
        <v>0</v>
      </c>
      <c r="M8" s="174">
        <f>SMALL(Tabell7141520[10],1)</f>
        <v>0</v>
      </c>
      <c r="N8" s="174">
        <f>SMALL(Tabell7141520[11],1)</f>
        <v>0</v>
      </c>
      <c r="O8" s="174">
        <f>SMALL(Tabell7141520[12],1)</f>
        <v>0</v>
      </c>
      <c r="P8" s="174">
        <f>SMALL(Tabell7141520[13],1)</f>
        <v>0</v>
      </c>
      <c r="Q8" s="174">
        <f>SMALL(Tabell7141520[14],1)</f>
        <v>0</v>
      </c>
      <c r="R8" s="174">
        <f>SMALL(Tabell7141520[15],1)</f>
        <v>0</v>
      </c>
      <c r="S8" s="174">
        <f>SMALL(Tabell7141520[16],1)</f>
        <v>0</v>
      </c>
      <c r="T8" s="174">
        <f>SMALL(Tabell7141520[17],1)</f>
        <v>0</v>
      </c>
      <c r="U8" s="174">
        <f>SMALL(Tabell7141520[18],1)</f>
        <v>-2</v>
      </c>
      <c r="V8" s="121">
        <f t="shared" si="0"/>
        <v>-1</v>
      </c>
      <c r="X8" s="303">
        <f>72+Tabell5[[#This Row],[Tot]]</f>
        <v>71</v>
      </c>
      <c r="Z8" s="51">
        <f>RANK(X8,Tabell42[Score],1)</f>
        <v>3</v>
      </c>
      <c r="AB8" s="134">
        <f>X8-SMALL(X5:X19,1)</f>
        <v>2</v>
      </c>
      <c r="AD8" s="161">
        <v>74</v>
      </c>
    </row>
    <row r="9" spans="2:30">
      <c r="B9" s="16" t="s">
        <v>15</v>
      </c>
      <c r="C9" s="17" t="s">
        <v>16</v>
      </c>
      <c r="D9" s="174">
        <f>SMALL(Tabell714152021[1],1)</f>
        <v>0</v>
      </c>
      <c r="E9" s="174">
        <f>SMALL(Tabell714152021[2],1)</f>
        <v>0</v>
      </c>
      <c r="F9" s="174">
        <f>SMALL(Tabell714152021[3],1)</f>
        <v>0</v>
      </c>
      <c r="G9" s="174">
        <f>SMALL(Tabell714152021[4],1)</f>
        <v>-1</v>
      </c>
      <c r="H9" s="174">
        <f>SMALL(Tabell714152021[5],1)</f>
        <v>0</v>
      </c>
      <c r="I9" s="174">
        <f>SMALL(Tabell714152021[6],1)</f>
        <v>0</v>
      </c>
      <c r="J9" s="174">
        <f>SMALL(Tabell714152021[7],1)</f>
        <v>1</v>
      </c>
      <c r="K9" s="174">
        <f>SMALL(Tabell714152021[8],1)</f>
        <v>0</v>
      </c>
      <c r="L9" s="174">
        <f>SMALL(Tabell714152021[9],1)</f>
        <v>1</v>
      </c>
      <c r="M9" s="174">
        <f>SMALL(Tabell714152021[10],1)</f>
        <v>1</v>
      </c>
      <c r="N9" s="174">
        <f>SMALL(Tabell714152021[11],1)</f>
        <v>0</v>
      </c>
      <c r="O9" s="174">
        <f>SMALL(Tabell714152021[12],1)</f>
        <v>1</v>
      </c>
      <c r="P9" s="174">
        <f>SMALL(Tabell714152021[13],1)</f>
        <v>0</v>
      </c>
      <c r="Q9" s="174">
        <f>SMALL(Tabell714152021[14],1)</f>
        <v>-1</v>
      </c>
      <c r="R9" s="174">
        <f>SMALL(Tabell714152021[15],1)</f>
        <v>1</v>
      </c>
      <c r="S9" s="174">
        <f>SMALL(Tabell714152021[16],1)</f>
        <v>0</v>
      </c>
      <c r="T9" s="174">
        <f>SMALL(Tabell714152021[17],1)</f>
        <v>0</v>
      </c>
      <c r="U9" s="174">
        <f>SMALL(Tabell714152021[18],1)</f>
        <v>0</v>
      </c>
      <c r="V9" s="121">
        <f t="shared" si="0"/>
        <v>3</v>
      </c>
      <c r="X9" s="303">
        <f>72+Tabell5[[#This Row],[Tot]]</f>
        <v>75</v>
      </c>
      <c r="Z9" s="51">
        <f>RANK(X9,Tabell42[Score],1)</f>
        <v>6</v>
      </c>
      <c r="AB9" s="134">
        <f>X9-SMALL(X5:X19,1)</f>
        <v>6</v>
      </c>
      <c r="AD9" s="161">
        <v>73</v>
      </c>
    </row>
    <row r="10" spans="2:30">
      <c r="B10" s="16" t="s">
        <v>12</v>
      </c>
      <c r="C10" s="17" t="s">
        <v>13</v>
      </c>
      <c r="D10" s="174">
        <f>SMALL(Tabell71415202134[1],1)</f>
        <v>2</v>
      </c>
      <c r="E10" s="174">
        <f>SMALL(Tabell71415202134[2],1)</f>
        <v>0</v>
      </c>
      <c r="F10" s="174">
        <f>SMALL(Tabell71415202134[3],1)</f>
        <v>2</v>
      </c>
      <c r="G10" s="174">
        <f>SMALL(Tabell71415202134[4],1)</f>
        <v>0</v>
      </c>
      <c r="H10" s="174">
        <f>SMALL(Tabell71415202134[5],1)</f>
        <v>0</v>
      </c>
      <c r="I10" s="174">
        <f>SMALL(Tabell71415202134[6],1)</f>
        <v>1</v>
      </c>
      <c r="J10" s="174">
        <f>SMALL(Tabell71415202134[7],1)</f>
        <v>0</v>
      </c>
      <c r="K10" s="174">
        <f>SMALL(Tabell71415202134[8],1)</f>
        <v>1</v>
      </c>
      <c r="L10" s="174">
        <f>SMALL(Tabell71415202134[9],1)</f>
        <v>1</v>
      </c>
      <c r="M10" s="174">
        <f>SMALL(Tabell71415202134[10],1)</f>
        <v>1</v>
      </c>
      <c r="N10" s="174">
        <f>SMALL(Tabell71415202134[11],1)</f>
        <v>1</v>
      </c>
      <c r="O10" s="174">
        <f>SMALL(Tabell71415202134[12],1)</f>
        <v>1</v>
      </c>
      <c r="P10" s="174">
        <f>SMALL(Tabell71415202134[13],1)</f>
        <v>0</v>
      </c>
      <c r="Q10" s="174">
        <f>SMALL(Tabell71415202134[14],1)</f>
        <v>1</v>
      </c>
      <c r="R10" s="174">
        <f>SMALL(Tabell71415202134[15],1)</f>
        <v>0</v>
      </c>
      <c r="S10" s="174">
        <f>SMALL(Tabell71415202134[16],1)</f>
        <v>1</v>
      </c>
      <c r="T10" s="174">
        <f>SMALL(Tabell71415202134[17],1)</f>
        <v>0</v>
      </c>
      <c r="U10" s="174">
        <f>SMALL(Tabell71415202134[18],1)</f>
        <v>1</v>
      </c>
      <c r="V10" s="121">
        <f t="shared" si="0"/>
        <v>13</v>
      </c>
      <c r="X10" s="303">
        <f>72+Tabell5[[#This Row],[Tot]]</f>
        <v>85</v>
      </c>
      <c r="Z10" s="51">
        <f>RANK(X10,Tabell42[Score],1)</f>
        <v>14</v>
      </c>
      <c r="AB10" s="134">
        <f>X10-SMALL(X5:X19,1)</f>
        <v>16</v>
      </c>
      <c r="AD10" s="161">
        <v>79</v>
      </c>
    </row>
    <row r="11" spans="2:30">
      <c r="B11" s="16" t="s">
        <v>0</v>
      </c>
      <c r="C11" s="17" t="s">
        <v>1</v>
      </c>
      <c r="D11" s="174">
        <f>SMALL(Tabell7141520213435[1],1)</f>
        <v>-1</v>
      </c>
      <c r="E11" s="174">
        <f>SMALL(Tabell7141520213435[2],1)</f>
        <v>0</v>
      </c>
      <c r="F11" s="174">
        <f>SMALL(Tabell7141520213435[3],1)</f>
        <v>0</v>
      </c>
      <c r="G11" s="174">
        <f>SMALL(Tabell7141520213435[4],1)</f>
        <v>0</v>
      </c>
      <c r="H11" s="174">
        <f>SMALL(Tabell7141520213435[5],1)</f>
        <v>-1</v>
      </c>
      <c r="I11" s="174">
        <f>SMALL(Tabell7141520213435[6],1)</f>
        <v>0</v>
      </c>
      <c r="J11" s="174">
        <f>SMALL(Tabell7141520213435[7],1)</f>
        <v>0</v>
      </c>
      <c r="K11" s="174">
        <f>SMALL(Tabell7141520213435[8],1)</f>
        <v>0</v>
      </c>
      <c r="L11" s="174">
        <f>SMALL(Tabell7141520213435[9],1)</f>
        <v>-1</v>
      </c>
      <c r="M11" s="174">
        <f>SMALL(Tabell7141520213435[10],1)</f>
        <v>0</v>
      </c>
      <c r="N11" s="174">
        <f>SMALL(Tabell7141520213435[11],1)</f>
        <v>1</v>
      </c>
      <c r="O11" s="174">
        <f>SMALL(Tabell7141520213435[12],1)</f>
        <v>0</v>
      </c>
      <c r="P11" s="174">
        <f>SMALL(Tabell7141520213435[13],1)</f>
        <v>0</v>
      </c>
      <c r="Q11" s="174">
        <f>SMALL(Tabell7141520213435[14],1)</f>
        <v>-1</v>
      </c>
      <c r="R11" s="174">
        <f>SMALL(Tabell7141520213435[15],1)</f>
        <v>0</v>
      </c>
      <c r="S11" s="174">
        <f>SMALL(Tabell7141520213435[16],1)</f>
        <v>0</v>
      </c>
      <c r="T11" s="174">
        <f>SMALL(Tabell7141520213435[17],1)</f>
        <v>0</v>
      </c>
      <c r="U11" s="174">
        <f>SMALL(Tabell7141520213435[18],1)</f>
        <v>0</v>
      </c>
      <c r="V11" s="121">
        <f t="shared" si="0"/>
        <v>-3</v>
      </c>
      <c r="X11" s="303">
        <f>72+Tabell5[[#This Row],[Tot]]</f>
        <v>69</v>
      </c>
      <c r="Z11" s="51">
        <f>RANK(X11,Tabell42[Score],1)</f>
        <v>1</v>
      </c>
      <c r="AB11" s="134">
        <f>X11-SMALL(X15:X19,1)</f>
        <v>0</v>
      </c>
      <c r="AD11" s="161">
        <v>71</v>
      </c>
    </row>
    <row r="12" spans="2:30">
      <c r="B12" s="16" t="s">
        <v>4</v>
      </c>
      <c r="C12" s="17" t="s">
        <v>5</v>
      </c>
      <c r="D12" s="174">
        <f>SMALL(Tabell714152021343536[1],1)</f>
        <v>1</v>
      </c>
      <c r="E12" s="174">
        <f>SMALL(Tabell714152021343536[2],1)</f>
        <v>0</v>
      </c>
      <c r="F12" s="174">
        <f>SMALL(Tabell714152021343536[3],1)</f>
        <v>0</v>
      </c>
      <c r="G12" s="174">
        <f>SMALL(Tabell714152021343536[4],1)</f>
        <v>0</v>
      </c>
      <c r="H12" s="174">
        <f>SMALL(Tabell714152021343536[5],1)</f>
        <v>0</v>
      </c>
      <c r="I12" s="174">
        <f>SMALL(Tabell714152021343536[6],1)</f>
        <v>0</v>
      </c>
      <c r="J12" s="174">
        <f>SMALL(Tabell714152021343536[7],1)</f>
        <v>0</v>
      </c>
      <c r="K12" s="174">
        <f>SMALL(Tabell714152021343536[8],1)</f>
        <v>0</v>
      </c>
      <c r="L12" s="174">
        <f>SMALL(Tabell714152021343536[9],1)</f>
        <v>1</v>
      </c>
      <c r="M12" s="174">
        <f>SMALL(Tabell714152021343536[10],1)</f>
        <v>0</v>
      </c>
      <c r="N12" s="174">
        <f>SMALL(Tabell714152021343536[11],1)</f>
        <v>0</v>
      </c>
      <c r="O12" s="174">
        <f>SMALL(Tabell714152021343536[12],1)</f>
        <v>0</v>
      </c>
      <c r="P12" s="174">
        <f>SMALL(Tabell714152021343536[13],1)</f>
        <v>0</v>
      </c>
      <c r="Q12" s="174">
        <f>SMALL(Tabell714152021343536[14],1)</f>
        <v>0</v>
      </c>
      <c r="R12" s="174">
        <f>SMALL(Tabell714152021343536[15],1)</f>
        <v>0</v>
      </c>
      <c r="S12" s="174">
        <f>SMALL(Tabell714152021343536[16],1)</f>
        <v>0</v>
      </c>
      <c r="T12" s="174">
        <f>SMALL(Tabell714152021343536[17],1)</f>
        <v>1</v>
      </c>
      <c r="U12" s="174">
        <f>SMALL(Tabell714152021343536[18],1)</f>
        <v>1</v>
      </c>
      <c r="V12" s="121">
        <f t="shared" si="0"/>
        <v>4</v>
      </c>
      <c r="X12" s="303">
        <f>72+Tabell5[[#This Row],[Tot]]</f>
        <v>76</v>
      </c>
      <c r="Z12" s="51">
        <f>RANK(X12,Tabell42[Score],1)</f>
        <v>7</v>
      </c>
      <c r="AB12" s="134">
        <f>X12-SMALL(X5:X19,1)</f>
        <v>7</v>
      </c>
      <c r="AD12" s="161">
        <v>75</v>
      </c>
    </row>
    <row r="13" spans="2:30">
      <c r="B13" s="16" t="s">
        <v>17</v>
      </c>
      <c r="C13" s="17" t="s">
        <v>18</v>
      </c>
      <c r="D13" s="174">
        <f>SMALL(Tabell71415202134353637[1],1)</f>
        <v>2</v>
      </c>
      <c r="E13" s="174">
        <f>SMALL(Tabell71415202134353637[2],1)</f>
        <v>1</v>
      </c>
      <c r="F13" s="174">
        <f>SMALL(Tabell71415202134353637[3],1)</f>
        <v>0</v>
      </c>
      <c r="G13" s="174">
        <f>SMALL(Tabell71415202134353637[4],1)</f>
        <v>1</v>
      </c>
      <c r="H13" s="174">
        <f>SMALL(Tabell71415202134353637[5],1)</f>
        <v>0</v>
      </c>
      <c r="I13" s="174">
        <f>SMALL(Tabell71415202134353637[6],1)</f>
        <v>0</v>
      </c>
      <c r="J13" s="174">
        <f>SMALL(Tabell71415202134353637[7],1)</f>
        <v>0</v>
      </c>
      <c r="K13" s="174">
        <f>SMALL(Tabell71415202134353637[8],1)</f>
        <v>0</v>
      </c>
      <c r="L13" s="174">
        <f>SMALL(Tabell71415202134353637[9],1)</f>
        <v>0</v>
      </c>
      <c r="M13" s="174">
        <f>SMALL(Tabell71415202134353637[10],1)</f>
        <v>1</v>
      </c>
      <c r="N13" s="174">
        <f>SMALL(Tabell71415202134353637[11],1)</f>
        <v>1</v>
      </c>
      <c r="O13" s="174">
        <f>SMALL(Tabell71415202134353637[12],1)</f>
        <v>-1</v>
      </c>
      <c r="P13" s="174">
        <f>SMALL(Tabell71415202134353637[13],1)</f>
        <v>1</v>
      </c>
      <c r="Q13" s="174">
        <f>SMALL(Tabell71415202134353637[14],1)</f>
        <v>1</v>
      </c>
      <c r="R13" s="174">
        <f>SMALL(Tabell71415202134353637[15],1)</f>
        <v>0</v>
      </c>
      <c r="S13" s="174">
        <f>SMALL(Tabell71415202134353637[16],1)</f>
        <v>0</v>
      </c>
      <c r="T13" s="174">
        <f>SMALL(Tabell71415202134353637[17],1)</f>
        <v>1</v>
      </c>
      <c r="U13" s="174">
        <f>SMALL(Tabell71415202134353637[18],1)</f>
        <v>1</v>
      </c>
      <c r="V13" s="121">
        <f t="shared" si="0"/>
        <v>9</v>
      </c>
      <c r="X13" s="303">
        <f>72+Tabell5[[#This Row],[Tot]]</f>
        <v>81</v>
      </c>
      <c r="Z13" s="51">
        <f>RANK(X13,Tabell42[Score],1)</f>
        <v>12</v>
      </c>
      <c r="AB13" s="134">
        <f>X13-SMALL(X5:X19,1)</f>
        <v>12</v>
      </c>
      <c r="AD13" s="161">
        <v>80</v>
      </c>
    </row>
    <row r="14" spans="2:30">
      <c r="B14" s="16" t="s">
        <v>8</v>
      </c>
      <c r="C14" s="17" t="s">
        <v>19</v>
      </c>
      <c r="D14" s="174">
        <f>SMALL(Tabell7141520213435363738[1],1)</f>
        <v>2</v>
      </c>
      <c r="E14" s="174">
        <f>SMALL(Tabell7141520213435363738[2],1)</f>
        <v>1</v>
      </c>
      <c r="F14" s="174">
        <f>SMALL(Tabell7141520213435363738[3],1)</f>
        <v>3</v>
      </c>
      <c r="G14" s="174">
        <f>SMALL(Tabell7141520213435363738[4],1)</f>
        <v>1</v>
      </c>
      <c r="H14" s="174">
        <f>SMALL(Tabell7141520213435363738[5],1)</f>
        <v>0</v>
      </c>
      <c r="I14" s="174">
        <f>SMALL(Tabell7141520213435363738[6],1)</f>
        <v>1</v>
      </c>
      <c r="J14" s="174">
        <f>SMALL(Tabell7141520213435363738[7],1)</f>
        <v>0</v>
      </c>
      <c r="K14" s="174">
        <f>SMALL(Tabell7141520213435363738[8],1)</f>
        <v>2</v>
      </c>
      <c r="L14" s="174">
        <f>SMALL(Tabell7141520213435363738[9],1)</f>
        <v>1</v>
      </c>
      <c r="M14" s="174">
        <f>SMALL(Tabell7141520213435363738[10],1)</f>
        <v>1</v>
      </c>
      <c r="N14" s="174">
        <f>SMALL(Tabell7141520213435363738[11],1)</f>
        <v>2</v>
      </c>
      <c r="O14" s="174">
        <f>SMALL(Tabell7141520213435363738[12],1)</f>
        <v>2</v>
      </c>
      <c r="P14" s="174">
        <f>SMALL(Tabell7141520213435363738[13],1)</f>
        <v>5</v>
      </c>
      <c r="Q14" s="174">
        <f>SMALL(Tabell7141520213435363738[14],1)</f>
        <v>1</v>
      </c>
      <c r="R14" s="174">
        <f>SMALL(Tabell7141520213435363738[15],1)</f>
        <v>1</v>
      </c>
      <c r="S14" s="174">
        <f>SMALL(Tabell7141520213435363738[16],1)</f>
        <v>2</v>
      </c>
      <c r="T14" s="174">
        <f>SMALL(Tabell7141520213435363738[17],1)</f>
        <v>2</v>
      </c>
      <c r="U14" s="174">
        <f>SMALL(Tabell7141520213435363738[18],1)</f>
        <v>3</v>
      </c>
      <c r="V14" s="121">
        <f t="shared" si="0"/>
        <v>30</v>
      </c>
      <c r="X14" s="303">
        <f>72+Tabell5[[#This Row],[Tot]]</f>
        <v>102</v>
      </c>
      <c r="Z14" s="51">
        <f>RANK(X14,Tabell42[Score],1)</f>
        <v>15</v>
      </c>
      <c r="AB14" s="134">
        <f>X14-SMALL(X5:X19,1)</f>
        <v>33</v>
      </c>
      <c r="AD14" s="161">
        <v>82</v>
      </c>
    </row>
    <row r="15" spans="2:30">
      <c r="B15" s="6" t="s">
        <v>141</v>
      </c>
      <c r="C15" s="7" t="s">
        <v>142</v>
      </c>
      <c r="D15" s="174">
        <f>SMALL(Tabell714152021343536373839[1],1)</f>
        <v>0</v>
      </c>
      <c r="E15" s="174">
        <f>SMALL(Tabell714152021343536373839[2],1)</f>
        <v>1</v>
      </c>
      <c r="F15" s="174">
        <f>SMALL(Tabell714152021343536373839[3],1)</f>
        <v>0</v>
      </c>
      <c r="G15" s="174">
        <f>SMALL(Tabell714152021343536373839[4],1)</f>
        <v>0</v>
      </c>
      <c r="H15" s="174">
        <f>SMALL(Tabell714152021343536373839[5],1)</f>
        <v>1</v>
      </c>
      <c r="I15" s="174">
        <f>SMALL(Tabell714152021343536373839[6],1)</f>
        <v>0</v>
      </c>
      <c r="J15" s="174">
        <f>SMALL(Tabell714152021343536373839[7],1)</f>
        <v>0</v>
      </c>
      <c r="K15" s="174">
        <f>SMALL(Tabell714152021343536373839[8],1)</f>
        <v>0</v>
      </c>
      <c r="L15" s="174">
        <f>SMALL(Tabell714152021343536373839[9],1)</f>
        <v>0</v>
      </c>
      <c r="M15" s="174">
        <f>SMALL(Tabell714152021343536373839[10],1)</f>
        <v>1</v>
      </c>
      <c r="N15" s="174">
        <f>SMALL(Tabell714152021343536373839[11],1)</f>
        <v>1</v>
      </c>
      <c r="O15" s="174">
        <f>SMALL(Tabell714152021343536373839[12],1)</f>
        <v>1</v>
      </c>
      <c r="P15" s="174">
        <f>SMALL(Tabell714152021343536373839[13],1)</f>
        <v>1</v>
      </c>
      <c r="Q15" s="174">
        <f>SMALL(Tabell714152021343536373839[14],1)</f>
        <v>0</v>
      </c>
      <c r="R15" s="174">
        <f>SMALL(Tabell714152021343536373839[15],1)</f>
        <v>0</v>
      </c>
      <c r="S15" s="174">
        <f>SMALL(Tabell714152021343536373839[16],1)</f>
        <v>1</v>
      </c>
      <c r="T15" s="174">
        <f>SMALL(Tabell714152021343536373839[17],1)</f>
        <v>1</v>
      </c>
      <c r="U15" s="174">
        <f>SMALL(Tabell714152021343536373839[18],1)</f>
        <v>0</v>
      </c>
      <c r="V15" s="121">
        <f t="shared" si="0"/>
        <v>8</v>
      </c>
      <c r="X15" s="303">
        <f>72+Tabell5[[#This Row],[Tot]]</f>
        <v>80</v>
      </c>
      <c r="Z15" s="51">
        <f>RANK(X15,Tabell42[Score],1)</f>
        <v>11</v>
      </c>
      <c r="AB15" s="134">
        <f>X15-SMALL(X5:X19,1)</f>
        <v>11</v>
      </c>
      <c r="AD15" s="161"/>
    </row>
    <row r="16" spans="2:30">
      <c r="B16" s="16" t="s">
        <v>2</v>
      </c>
      <c r="C16" s="17" t="s">
        <v>3</v>
      </c>
      <c r="D16" s="174">
        <f>SMALL(Tabell71415202134353637383940[1],1)</f>
        <v>0</v>
      </c>
      <c r="E16" s="174">
        <f>SMALL(Tabell71415202134353637383940[2],1)</f>
        <v>0</v>
      </c>
      <c r="F16" s="174">
        <f>SMALL(Tabell71415202134353637383940[3],1)</f>
        <v>0</v>
      </c>
      <c r="G16" s="174">
        <f>SMALL(Tabell71415202134353637383940[4],1)</f>
        <v>-1</v>
      </c>
      <c r="H16" s="174">
        <f>SMALL(Tabell71415202134353637383940[5],1)</f>
        <v>0</v>
      </c>
      <c r="I16" s="174">
        <f>SMALL(Tabell71415202134353637383940[6],1)</f>
        <v>0</v>
      </c>
      <c r="J16" s="174">
        <f>SMALL(Tabell71415202134353637383940[7],1)</f>
        <v>0</v>
      </c>
      <c r="K16" s="174">
        <f>SMALL(Tabell71415202134353637383940[8],1)</f>
        <v>0</v>
      </c>
      <c r="L16" s="174">
        <f>SMALL(Tabell71415202134353637383940[9],1)</f>
        <v>-1</v>
      </c>
      <c r="M16" s="174">
        <f>SMALL(Tabell71415202134353637383940[10],1)</f>
        <v>0</v>
      </c>
      <c r="N16" s="174">
        <f>SMALL(Tabell71415202134353637383940[11],1)</f>
        <v>0</v>
      </c>
      <c r="O16" s="174">
        <f>SMALL(Tabell71415202134353637383940[12],1)</f>
        <v>0</v>
      </c>
      <c r="P16" s="174">
        <f>SMALL(Tabell71415202134353637383940[13],1)</f>
        <v>0</v>
      </c>
      <c r="Q16" s="174">
        <f>SMALL(Tabell71415202134353637383940[14],1)</f>
        <v>0</v>
      </c>
      <c r="R16" s="174">
        <f>SMALL(Tabell71415202134353637383940[15],1)</f>
        <v>0</v>
      </c>
      <c r="S16" s="174">
        <f>SMALL(Tabell71415202134353637383940[16],1)</f>
        <v>0</v>
      </c>
      <c r="T16" s="174">
        <f>SMALL(Tabell71415202134353637383940[17],1)</f>
        <v>0</v>
      </c>
      <c r="U16" s="174">
        <f>SMALL(Tabell71415202134353637383940[18],1)</f>
        <v>-1</v>
      </c>
      <c r="V16" s="121">
        <f t="shared" si="0"/>
        <v>-3</v>
      </c>
      <c r="X16" s="303">
        <f>72+Tabell5[[#This Row],[Tot]]</f>
        <v>69</v>
      </c>
      <c r="Z16" s="51">
        <f>RANK(X16,Tabell42[Score],1)</f>
        <v>1</v>
      </c>
      <c r="AB16" s="134">
        <f>X16-SMALL(X5:X19,1)</f>
        <v>0</v>
      </c>
      <c r="AD16" s="161">
        <v>68</v>
      </c>
    </row>
    <row r="17" spans="2:30">
      <c r="B17" s="6" t="s">
        <v>122</v>
      </c>
      <c r="C17" s="7" t="s">
        <v>123</v>
      </c>
      <c r="D17" s="174">
        <f>SMALL(Tabell714152021343536373839404142[1],1)</f>
        <v>1</v>
      </c>
      <c r="E17" s="174">
        <f>SMALL(Tabell714152021343536373839404142[2],1)</f>
        <v>0</v>
      </c>
      <c r="F17" s="174">
        <f>SMALL(Tabell714152021343536373839404142[3],1)</f>
        <v>1</v>
      </c>
      <c r="G17" s="174">
        <f>SMALL(Tabell714152021343536373839404142[4],1)</f>
        <v>0</v>
      </c>
      <c r="H17" s="174">
        <f>SMALL(Tabell714152021343536373839404142[5],1)</f>
        <v>1</v>
      </c>
      <c r="I17" s="174">
        <f>SMALL(Tabell714152021343536373839404142[6],1)</f>
        <v>0</v>
      </c>
      <c r="J17" s="174">
        <f>SMALL(Tabell714152021343536373839404142[7],1)</f>
        <v>0</v>
      </c>
      <c r="K17" s="174">
        <f>SMALL(Tabell714152021343536373839404142[8],1)</f>
        <v>1</v>
      </c>
      <c r="L17" s="174">
        <f>SMALL(Tabell714152021343536373839404142[9],1)</f>
        <v>0</v>
      </c>
      <c r="M17" s="174">
        <f>SMALL(Tabell714152021343536373839404142[10],1)</f>
        <v>0</v>
      </c>
      <c r="N17" s="174">
        <f>SMALL(Tabell714152021343536373839404142[11],1)</f>
        <v>0</v>
      </c>
      <c r="O17" s="174">
        <f>SMALL(Tabell714152021343536373839404142[12],1)</f>
        <v>0</v>
      </c>
      <c r="P17" s="174">
        <f>SMALL(Tabell714152021343536373839404142[13],1)</f>
        <v>-1</v>
      </c>
      <c r="Q17" s="174">
        <f>SMALL(Tabell714152021343536373839404142[14],1)</f>
        <v>0</v>
      </c>
      <c r="R17" s="174">
        <f>SMALL(Tabell714152021343536373839404142[15],1)</f>
        <v>0</v>
      </c>
      <c r="S17" s="174">
        <f>SMALL(Tabell714152021343536373839404142[16],1)</f>
        <v>1</v>
      </c>
      <c r="T17" s="174">
        <f>SMALL(Tabell714152021343536373839404142[17],1)</f>
        <v>0</v>
      </c>
      <c r="U17" s="174">
        <f>SMALL(Tabell714152021343536373839404142[18],1)</f>
        <v>2</v>
      </c>
      <c r="V17" s="121">
        <f t="shared" si="0"/>
        <v>6</v>
      </c>
      <c r="X17" s="303">
        <f>72+Tabell5[[#This Row],[Tot]]</f>
        <v>78</v>
      </c>
      <c r="Z17" s="51">
        <f>RANK(X17,Tabell42[Score],1)</f>
        <v>9</v>
      </c>
      <c r="AB17" s="134">
        <f>X17-SMALL(X6:X19,1)</f>
        <v>9</v>
      </c>
      <c r="AD17" s="161">
        <v>76</v>
      </c>
    </row>
    <row r="18" spans="2:30" ht="15.75" thickBot="1">
      <c r="B18" s="8" t="s">
        <v>113</v>
      </c>
      <c r="C18" s="9" t="s">
        <v>114</v>
      </c>
      <c r="D18" s="174">
        <f>SMALL(Tabell7141520213435363738394041[1],1)</f>
        <v>0</v>
      </c>
      <c r="E18" s="174">
        <f>SMALL(Tabell7141520213435363738394041[2],1)</f>
        <v>1</v>
      </c>
      <c r="F18" s="174">
        <f>SMALL(Tabell7141520213435363738394041[3],1)</f>
        <v>0</v>
      </c>
      <c r="G18" s="174">
        <f>SMALL(Tabell7141520213435363738394041[4],1)</f>
        <v>0</v>
      </c>
      <c r="H18" s="174">
        <f>SMALL(Tabell7141520213435363738394041[5],1)</f>
        <v>1</v>
      </c>
      <c r="I18" s="174">
        <f>SMALL(Tabell7141520213435363738394041[6],1)</f>
        <v>0</v>
      </c>
      <c r="J18" s="174">
        <f>SMALL(Tabell7141520213435363738394041[7],1)</f>
        <v>1</v>
      </c>
      <c r="K18" s="174">
        <f>SMALL(Tabell7141520213435363738394041[8],1)</f>
        <v>0</v>
      </c>
      <c r="L18" s="174">
        <f>SMALL(Tabell7141520213435363738394041[9],1)</f>
        <v>1</v>
      </c>
      <c r="M18" s="174">
        <f>SMALL(Tabell7141520213435363738394041[10],1)</f>
        <v>1</v>
      </c>
      <c r="N18" s="174">
        <f>SMALL(Tabell7141520213435363738394041[11],1)</f>
        <v>1</v>
      </c>
      <c r="O18" s="174">
        <f>SMALL(Tabell7141520213435363738394041[12],1)</f>
        <v>-1</v>
      </c>
      <c r="P18" s="174">
        <f>SMALL(Tabell7141520213435363738394041[13],1)</f>
        <v>0</v>
      </c>
      <c r="Q18" s="174">
        <f>SMALL(Tabell7141520213435363738394041[14],1)</f>
        <v>0</v>
      </c>
      <c r="R18" s="174">
        <f>SMALL(Tabell7141520213435363738394041[15],1)</f>
        <v>0</v>
      </c>
      <c r="S18" s="174">
        <f>SMALL(Tabell7141520213435363738394041[16],1)</f>
        <v>0</v>
      </c>
      <c r="T18" s="174">
        <f>SMALL(Tabell7141520213435363738394041[17],1)</f>
        <v>0</v>
      </c>
      <c r="U18" s="174">
        <f>SMALL(Tabell7141520213435363738394041[18],1)</f>
        <v>0</v>
      </c>
      <c r="V18" s="121">
        <f t="shared" si="0"/>
        <v>5</v>
      </c>
      <c r="X18" s="303">
        <f>SUM(Tabell5[[#This Row],[1]:[18]])+72</f>
        <v>77</v>
      </c>
      <c r="Z18" s="51">
        <f>RANK(X18,Tabell42[Score],1)</f>
        <v>8</v>
      </c>
      <c r="AB18" s="134">
        <f>X18-SMALL(X5:X19,1)</f>
        <v>8</v>
      </c>
      <c r="AD18" s="162">
        <v>71</v>
      </c>
    </row>
    <row r="19" spans="2:30">
      <c r="B19" s="6" t="s">
        <v>117</v>
      </c>
      <c r="C19" s="7" t="s">
        <v>118</v>
      </c>
      <c r="D19" s="174">
        <f>SMALL(Tabell71415202134353637383940414272[1],1)</f>
        <v>-1</v>
      </c>
      <c r="E19" s="174">
        <f>SMALL(Tabell71415202134353637383940414272[2],1)</f>
        <v>1</v>
      </c>
      <c r="F19" s="174">
        <f>SMALL(Tabell71415202134353637383940414272[3],1)</f>
        <v>0</v>
      </c>
      <c r="G19" s="174">
        <f>SMALL(Tabell71415202134353637383940414272[4],1)</f>
        <v>0</v>
      </c>
      <c r="H19" s="174">
        <f>SMALL(Tabell71415202134353637383940414272[5],1)</f>
        <v>0</v>
      </c>
      <c r="I19" s="174">
        <f>SMALL(Tabell71415202134353637383940414272[6],1)</f>
        <v>0</v>
      </c>
      <c r="J19" s="174">
        <f>SMALL(Tabell71415202134353637383940414272[7],1)</f>
        <v>0</v>
      </c>
      <c r="K19" s="174">
        <f>SMALL(Tabell71415202134353637383940414272[8],1)</f>
        <v>-1</v>
      </c>
      <c r="L19" s="174">
        <f>SMALL(Tabell71415202134353637383940414272[9],1)</f>
        <v>0</v>
      </c>
      <c r="M19" s="174">
        <f>SMALL(Tabell71415202134353637383940414272[10],1)</f>
        <v>0</v>
      </c>
      <c r="N19" s="174">
        <f>SMALL(Tabell71415202134353637383940414272[11],1)</f>
        <v>0</v>
      </c>
      <c r="O19" s="174">
        <f>SMALL(Tabell71415202134353637383940414272[12],1)</f>
        <v>0</v>
      </c>
      <c r="P19" s="174">
        <f>SMALL(Tabell71415202134353637383940414272[13],1)</f>
        <v>0</v>
      </c>
      <c r="Q19" s="174">
        <f>SMALL(Tabell71415202134353637383940414272[14],1)</f>
        <v>0</v>
      </c>
      <c r="R19" s="174">
        <f>SMALL(Tabell71415202134353637383940414272[15],1)</f>
        <v>1</v>
      </c>
      <c r="S19" s="174">
        <f>SMALL(Tabell71415202134353637383940414272[16],1)</f>
        <v>0</v>
      </c>
      <c r="T19" s="174">
        <f>SMALL(Tabell71415202134353637383940414272[17],1)</f>
        <v>0</v>
      </c>
      <c r="U19" s="174">
        <f>SMALL(Tabell71415202134353637383940414272[18],1)</f>
        <v>0</v>
      </c>
      <c r="V19" s="121">
        <f>SUM(D19:U19)</f>
        <v>0</v>
      </c>
      <c r="X19" s="303">
        <f>SUM(Tabell5[[#This Row],[1]:[18]])+72</f>
        <v>72</v>
      </c>
      <c r="Z19" s="51">
        <f>RANK(X19,Tabell42[Score],1)</f>
        <v>4</v>
      </c>
      <c r="AB19" s="134">
        <f>X19-SMALL(X5:X19,1)</f>
        <v>3</v>
      </c>
      <c r="AD19" s="216">
        <v>70</v>
      </c>
    </row>
    <row r="20" spans="2:30">
      <c r="X20" s="135"/>
    </row>
    <row r="21" spans="2:30">
      <c r="K21" s="125" t="s">
        <v>100</v>
      </c>
    </row>
    <row r="22" spans="2:30" ht="18.75">
      <c r="B22" s="116" t="s">
        <v>96</v>
      </c>
      <c r="C22" s="116"/>
      <c r="D22" s="136" t="s">
        <v>97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4" spans="2:30">
      <c r="B24" s="12" t="s">
        <v>21</v>
      </c>
      <c r="C24" s="13" t="s">
        <v>22</v>
      </c>
      <c r="D24" s="34" t="s">
        <v>23</v>
      </c>
      <c r="E24" s="34" t="s">
        <v>24</v>
      </c>
      <c r="F24" s="34" t="s">
        <v>25</v>
      </c>
      <c r="G24" s="34" t="s">
        <v>26</v>
      </c>
      <c r="H24" s="34" t="s">
        <v>27</v>
      </c>
      <c r="I24" s="34" t="s">
        <v>28</v>
      </c>
      <c r="J24" s="34" t="s">
        <v>29</v>
      </c>
      <c r="K24" s="34" t="s">
        <v>30</v>
      </c>
      <c r="L24" s="34" t="s">
        <v>31</v>
      </c>
      <c r="M24" s="34" t="s">
        <v>81</v>
      </c>
      <c r="N24" s="34" t="s">
        <v>82</v>
      </c>
      <c r="O24" s="34" t="s">
        <v>83</v>
      </c>
      <c r="P24" s="34" t="s">
        <v>84</v>
      </c>
      <c r="Q24" s="34" t="s">
        <v>85</v>
      </c>
      <c r="R24" s="34" t="s">
        <v>86</v>
      </c>
      <c r="S24" s="34" t="s">
        <v>87</v>
      </c>
      <c r="T24" s="34" t="s">
        <v>88</v>
      </c>
      <c r="U24" s="34" t="s">
        <v>89</v>
      </c>
      <c r="V24" s="122" t="s">
        <v>40</v>
      </c>
      <c r="X24" s="44" t="s">
        <v>93</v>
      </c>
    </row>
    <row r="25" spans="2:30">
      <c r="B25" s="12" t="s">
        <v>6</v>
      </c>
      <c r="C25" s="13" t="s">
        <v>7</v>
      </c>
      <c r="D25" s="28">
        <v>1</v>
      </c>
      <c r="E25" s="28">
        <v>2</v>
      </c>
      <c r="F25" s="28">
        <v>1</v>
      </c>
      <c r="G25" s="28">
        <v>1</v>
      </c>
      <c r="H25" s="28">
        <v>2</v>
      </c>
      <c r="I25" s="28">
        <v>0</v>
      </c>
      <c r="J25" s="28">
        <v>1</v>
      </c>
      <c r="K25" s="28">
        <v>2</v>
      </c>
      <c r="L25" s="28">
        <v>2</v>
      </c>
      <c r="M25" s="28">
        <v>1</v>
      </c>
      <c r="N25" s="28">
        <v>2</v>
      </c>
      <c r="O25" s="28">
        <v>2</v>
      </c>
      <c r="P25" s="28">
        <v>1</v>
      </c>
      <c r="Q25" s="28">
        <v>2</v>
      </c>
      <c r="R25" s="28">
        <v>1</v>
      </c>
      <c r="S25" s="28">
        <v>2</v>
      </c>
      <c r="T25" s="28">
        <v>1</v>
      </c>
      <c r="U25" s="28">
        <v>1</v>
      </c>
      <c r="V25" s="123">
        <f t="shared" ref="V25:V34" si="1">SUM(D25:U25)</f>
        <v>25</v>
      </c>
      <c r="X25" s="45">
        <f>70+Tabell7[[#This Row],[Tot]]</f>
        <v>95</v>
      </c>
    </row>
    <row r="26" spans="2:30">
      <c r="B26" s="12" t="s">
        <v>6</v>
      </c>
      <c r="C26" s="13" t="s">
        <v>7</v>
      </c>
      <c r="D26" s="28">
        <v>10</v>
      </c>
      <c r="E26" s="28">
        <v>10</v>
      </c>
      <c r="F26" s="28">
        <v>10</v>
      </c>
      <c r="G26" s="28">
        <v>10</v>
      </c>
      <c r="H26" s="28">
        <v>10</v>
      </c>
      <c r="I26" s="28">
        <v>10</v>
      </c>
      <c r="J26" s="28">
        <v>10</v>
      </c>
      <c r="K26" s="28">
        <v>10</v>
      </c>
      <c r="L26" s="28">
        <v>10</v>
      </c>
      <c r="M26" s="28">
        <v>10</v>
      </c>
      <c r="N26" s="28">
        <v>10</v>
      </c>
      <c r="O26" s="28">
        <v>10</v>
      </c>
      <c r="P26" s="28">
        <v>10</v>
      </c>
      <c r="Q26" s="28">
        <v>10</v>
      </c>
      <c r="R26" s="28">
        <v>10</v>
      </c>
      <c r="S26" s="28">
        <v>10</v>
      </c>
      <c r="T26" s="28">
        <v>10</v>
      </c>
      <c r="U26" s="28">
        <v>10</v>
      </c>
      <c r="V26" s="123">
        <f t="shared" si="1"/>
        <v>180</v>
      </c>
      <c r="X26" s="45">
        <f>72+Tabell7[[#This Row],[Tot]]</f>
        <v>252</v>
      </c>
    </row>
    <row r="27" spans="2:30">
      <c r="B27" s="12" t="s">
        <v>6</v>
      </c>
      <c r="C27" s="13" t="s">
        <v>7</v>
      </c>
      <c r="D27" s="28">
        <v>1</v>
      </c>
      <c r="E27" s="28">
        <v>1</v>
      </c>
      <c r="F27" s="28">
        <v>1</v>
      </c>
      <c r="G27" s="28">
        <v>0</v>
      </c>
      <c r="H27" s="28">
        <v>0</v>
      </c>
      <c r="I27" s="28">
        <v>0</v>
      </c>
      <c r="J27" s="28">
        <v>1</v>
      </c>
      <c r="K27" s="28">
        <v>1</v>
      </c>
      <c r="L27" s="28">
        <v>2</v>
      </c>
      <c r="M27" s="28">
        <v>2</v>
      </c>
      <c r="N27" s="28">
        <v>3</v>
      </c>
      <c r="O27" s="28">
        <v>1</v>
      </c>
      <c r="P27" s="28">
        <v>1</v>
      </c>
      <c r="Q27" s="28">
        <v>2</v>
      </c>
      <c r="R27" s="28">
        <v>2</v>
      </c>
      <c r="S27" s="28">
        <v>1</v>
      </c>
      <c r="T27" s="28">
        <v>0</v>
      </c>
      <c r="U27" s="28">
        <v>0</v>
      </c>
      <c r="V27" s="123">
        <f t="shared" si="1"/>
        <v>19</v>
      </c>
      <c r="X27" s="45">
        <f>72+Tabell7[[#This Row],[Tot]]</f>
        <v>91</v>
      </c>
    </row>
    <row r="28" spans="2:30">
      <c r="B28" s="12" t="s">
        <v>6</v>
      </c>
      <c r="C28" s="13" t="s">
        <v>7</v>
      </c>
      <c r="D28" s="28">
        <v>1</v>
      </c>
      <c r="E28" s="28">
        <v>2</v>
      </c>
      <c r="F28" s="28">
        <v>3</v>
      </c>
      <c r="G28" s="28">
        <v>1</v>
      </c>
      <c r="H28" s="28">
        <v>2</v>
      </c>
      <c r="I28" s="28">
        <v>2</v>
      </c>
      <c r="J28" s="28">
        <v>1</v>
      </c>
      <c r="K28" s="28">
        <v>1</v>
      </c>
      <c r="L28" s="28">
        <v>2</v>
      </c>
      <c r="M28" s="28">
        <v>2</v>
      </c>
      <c r="N28" s="28">
        <v>2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0</v>
      </c>
      <c r="V28" s="123">
        <f t="shared" si="1"/>
        <v>25</v>
      </c>
      <c r="X28" s="45">
        <f>72+Tabell7[[#This Row],[Tot]]</f>
        <v>97</v>
      </c>
    </row>
    <row r="29" spans="2:30">
      <c r="B29" s="12" t="s">
        <v>6</v>
      </c>
      <c r="C29" s="13" t="s">
        <v>7</v>
      </c>
      <c r="D29" s="28">
        <v>4</v>
      </c>
      <c r="E29" s="28">
        <v>2</v>
      </c>
      <c r="F29" s="28">
        <v>3</v>
      </c>
      <c r="G29" s="28">
        <v>2</v>
      </c>
      <c r="H29" s="28">
        <v>2</v>
      </c>
      <c r="I29" s="28">
        <v>2</v>
      </c>
      <c r="J29" s="28">
        <v>2</v>
      </c>
      <c r="K29" s="28">
        <v>3</v>
      </c>
      <c r="L29" s="28">
        <v>3</v>
      </c>
      <c r="M29" s="28">
        <v>4</v>
      </c>
      <c r="N29" s="28">
        <v>0</v>
      </c>
      <c r="O29" s="28">
        <v>1</v>
      </c>
      <c r="P29" s="28">
        <v>5</v>
      </c>
      <c r="Q29" s="28">
        <v>1</v>
      </c>
      <c r="R29" s="28">
        <v>1</v>
      </c>
      <c r="S29" s="28">
        <v>2</v>
      </c>
      <c r="T29" s="28">
        <v>2</v>
      </c>
      <c r="U29" s="28">
        <v>3</v>
      </c>
      <c r="V29" s="123">
        <f t="shared" si="1"/>
        <v>42</v>
      </c>
      <c r="X29" s="45">
        <f>71+Tabell7[[#This Row],[Tot]]</f>
        <v>113</v>
      </c>
    </row>
    <row r="30" spans="2:30">
      <c r="B30" s="12" t="s">
        <v>6</v>
      </c>
      <c r="C30" s="13" t="s">
        <v>7</v>
      </c>
      <c r="D30" s="28">
        <v>10</v>
      </c>
      <c r="E30" s="28">
        <v>10</v>
      </c>
      <c r="F30" s="28">
        <v>10</v>
      </c>
      <c r="G30" s="28">
        <v>10</v>
      </c>
      <c r="H30" s="28">
        <v>10</v>
      </c>
      <c r="I30" s="28">
        <v>10</v>
      </c>
      <c r="J30" s="28">
        <v>10</v>
      </c>
      <c r="K30" s="28">
        <v>10</v>
      </c>
      <c r="L30" s="28">
        <v>10</v>
      </c>
      <c r="M30" s="28">
        <v>10</v>
      </c>
      <c r="N30" s="28">
        <v>10</v>
      </c>
      <c r="O30" s="28">
        <v>10</v>
      </c>
      <c r="P30" s="28">
        <v>10</v>
      </c>
      <c r="Q30" s="28">
        <v>10</v>
      </c>
      <c r="R30" s="28">
        <v>10</v>
      </c>
      <c r="S30" s="28">
        <v>10</v>
      </c>
      <c r="T30" s="28">
        <v>10</v>
      </c>
      <c r="U30" s="28">
        <v>10</v>
      </c>
      <c r="V30" s="123">
        <f t="shared" si="1"/>
        <v>180</v>
      </c>
      <c r="X30" s="45">
        <f>71+Tabell7[[#This Row],[Tot]]</f>
        <v>251</v>
      </c>
    </row>
    <row r="31" spans="2:30">
      <c r="B31" s="12" t="s">
        <v>6</v>
      </c>
      <c r="C31" s="13" t="s">
        <v>7</v>
      </c>
      <c r="D31" s="28">
        <v>4</v>
      </c>
      <c r="E31" s="28">
        <v>1</v>
      </c>
      <c r="F31" s="28">
        <v>2</v>
      </c>
      <c r="G31" s="28">
        <v>2</v>
      </c>
      <c r="H31" s="28">
        <v>0</v>
      </c>
      <c r="I31" s="28">
        <v>3</v>
      </c>
      <c r="J31" s="28">
        <v>0</v>
      </c>
      <c r="K31" s="28">
        <v>1</v>
      </c>
      <c r="L31" s="28">
        <v>1</v>
      </c>
      <c r="M31" s="28">
        <v>2</v>
      </c>
      <c r="N31" s="28">
        <v>2</v>
      </c>
      <c r="O31" s="28">
        <v>3</v>
      </c>
      <c r="P31" s="28">
        <v>2</v>
      </c>
      <c r="Q31" s="28">
        <v>3</v>
      </c>
      <c r="R31" s="28">
        <v>0</v>
      </c>
      <c r="S31" s="28">
        <v>1</v>
      </c>
      <c r="T31" s="28">
        <v>2</v>
      </c>
      <c r="U31" s="28">
        <v>3</v>
      </c>
      <c r="V31" s="123">
        <f t="shared" si="1"/>
        <v>32</v>
      </c>
      <c r="X31" s="45">
        <f>72+Tabell7[[#This Row],[Tot]]</f>
        <v>104</v>
      </c>
    </row>
    <row r="32" spans="2:30">
      <c r="B32" s="12" t="s">
        <v>6</v>
      </c>
      <c r="C32" s="13" t="s">
        <v>7</v>
      </c>
      <c r="D32" s="28">
        <v>2</v>
      </c>
      <c r="E32" s="28">
        <v>1</v>
      </c>
      <c r="F32" s="28">
        <v>0</v>
      </c>
      <c r="G32" s="28">
        <v>2</v>
      </c>
      <c r="H32" s="28">
        <v>1</v>
      </c>
      <c r="I32" s="28">
        <v>2</v>
      </c>
      <c r="J32" s="28">
        <v>1</v>
      </c>
      <c r="K32" s="28">
        <v>2</v>
      </c>
      <c r="L32" s="28">
        <v>2</v>
      </c>
      <c r="M32" s="28">
        <v>1</v>
      </c>
      <c r="N32" s="28">
        <v>1</v>
      </c>
      <c r="O32" s="28">
        <v>1</v>
      </c>
      <c r="P32" s="28">
        <v>2</v>
      </c>
      <c r="Q32" s="28">
        <v>1</v>
      </c>
      <c r="R32" s="28">
        <v>3</v>
      </c>
      <c r="S32" s="28">
        <v>3</v>
      </c>
      <c r="T32" s="28">
        <v>2</v>
      </c>
      <c r="U32" s="28">
        <v>1</v>
      </c>
      <c r="V32" s="123">
        <f t="shared" si="1"/>
        <v>28</v>
      </c>
      <c r="X32" s="45">
        <f>72+Tabell7[[#This Row],[Tot]]</f>
        <v>100</v>
      </c>
    </row>
    <row r="33" spans="2:30">
      <c r="B33" s="12" t="s">
        <v>6</v>
      </c>
      <c r="C33" s="13" t="s">
        <v>7</v>
      </c>
      <c r="D33" s="28">
        <v>3</v>
      </c>
      <c r="E33" s="28">
        <v>2</v>
      </c>
      <c r="F33" s="28">
        <v>1</v>
      </c>
      <c r="G33" s="28">
        <v>5</v>
      </c>
      <c r="H33" s="28">
        <v>3</v>
      </c>
      <c r="I33" s="28">
        <v>1</v>
      </c>
      <c r="J33" s="28">
        <v>4</v>
      </c>
      <c r="K33" s="28">
        <v>1</v>
      </c>
      <c r="L33" s="28">
        <v>3</v>
      </c>
      <c r="M33" s="28">
        <v>3</v>
      </c>
      <c r="N33" s="28">
        <v>2</v>
      </c>
      <c r="O33" s="28">
        <v>2</v>
      </c>
      <c r="P33" s="28">
        <v>3</v>
      </c>
      <c r="Q33" s="28">
        <v>5</v>
      </c>
      <c r="R33" s="28">
        <v>2</v>
      </c>
      <c r="S33" s="28">
        <v>2</v>
      </c>
      <c r="T33" s="28">
        <v>2</v>
      </c>
      <c r="U33" s="28">
        <v>3</v>
      </c>
      <c r="V33" s="123">
        <f t="shared" si="1"/>
        <v>47</v>
      </c>
      <c r="X33" s="45">
        <f>71+Tabell7[[#This Row],[Tot]]</f>
        <v>118</v>
      </c>
    </row>
    <row r="34" spans="2:30">
      <c r="B34" s="141" t="s">
        <v>6</v>
      </c>
      <c r="C34" s="142" t="s">
        <v>7</v>
      </c>
      <c r="D34" s="28">
        <v>2</v>
      </c>
      <c r="E34" s="28">
        <v>0</v>
      </c>
      <c r="F34" s="28">
        <v>0</v>
      </c>
      <c r="G34" s="28">
        <v>1</v>
      </c>
      <c r="H34" s="28">
        <v>2</v>
      </c>
      <c r="I34" s="28">
        <v>2</v>
      </c>
      <c r="J34" s="28">
        <v>0</v>
      </c>
      <c r="K34" s="28">
        <v>2</v>
      </c>
      <c r="L34" s="28">
        <v>0</v>
      </c>
      <c r="M34" s="28">
        <v>1</v>
      </c>
      <c r="N34" s="28">
        <v>1</v>
      </c>
      <c r="O34" s="28">
        <v>3</v>
      </c>
      <c r="P34" s="28">
        <v>2</v>
      </c>
      <c r="Q34" s="28">
        <v>3</v>
      </c>
      <c r="R34" s="28">
        <v>2</v>
      </c>
      <c r="S34" s="28">
        <v>3</v>
      </c>
      <c r="T34" s="28">
        <v>2</v>
      </c>
      <c r="U34" s="28">
        <v>0</v>
      </c>
      <c r="V34" s="124">
        <f t="shared" si="1"/>
        <v>26</v>
      </c>
      <c r="X34" s="46">
        <f>70+Tabell7[[#This Row],[Tot]]</f>
        <v>96</v>
      </c>
    </row>
    <row r="36" spans="2:30">
      <c r="B36" s="12" t="s">
        <v>21</v>
      </c>
      <c r="C36" s="13" t="s">
        <v>22</v>
      </c>
      <c r="D36" s="34" t="s">
        <v>23</v>
      </c>
      <c r="E36" s="34" t="s">
        <v>24</v>
      </c>
      <c r="F36" s="34" t="s">
        <v>25</v>
      </c>
      <c r="G36" s="34" t="s">
        <v>26</v>
      </c>
      <c r="H36" s="34" t="s">
        <v>27</v>
      </c>
      <c r="I36" s="34" t="s">
        <v>28</v>
      </c>
      <c r="J36" s="34" t="s">
        <v>29</v>
      </c>
      <c r="K36" s="34" t="s">
        <v>30</v>
      </c>
      <c r="L36" s="34" t="s">
        <v>31</v>
      </c>
      <c r="M36" s="34" t="s">
        <v>81</v>
      </c>
      <c r="N36" s="34" t="s">
        <v>82</v>
      </c>
      <c r="O36" s="34" t="s">
        <v>83</v>
      </c>
      <c r="P36" s="34" t="s">
        <v>84</v>
      </c>
      <c r="Q36" s="34" t="s">
        <v>85</v>
      </c>
      <c r="R36" s="34" t="s">
        <v>86</v>
      </c>
      <c r="S36" s="34" t="s">
        <v>87</v>
      </c>
      <c r="T36" s="34" t="s">
        <v>88</v>
      </c>
      <c r="U36" s="34" t="s">
        <v>89</v>
      </c>
      <c r="V36" s="122" t="s">
        <v>40</v>
      </c>
      <c r="X36" s="44" t="s">
        <v>93</v>
      </c>
    </row>
    <row r="37" spans="2:30">
      <c r="B37" s="143" t="s">
        <v>10</v>
      </c>
      <c r="C37" s="144" t="s">
        <v>11</v>
      </c>
      <c r="D37" s="28">
        <v>1</v>
      </c>
      <c r="E37" s="28">
        <v>2</v>
      </c>
      <c r="F37" s="28">
        <v>1</v>
      </c>
      <c r="G37" s="28">
        <v>1</v>
      </c>
      <c r="H37" s="28">
        <v>1</v>
      </c>
      <c r="I37" s="28">
        <v>2</v>
      </c>
      <c r="J37" s="28">
        <v>3</v>
      </c>
      <c r="K37" s="28">
        <v>1</v>
      </c>
      <c r="L37" s="28">
        <v>0</v>
      </c>
      <c r="M37" s="28">
        <v>0</v>
      </c>
      <c r="N37" s="28">
        <v>0</v>
      </c>
      <c r="O37" s="28">
        <v>1</v>
      </c>
      <c r="P37" s="28">
        <v>1</v>
      </c>
      <c r="Q37" s="28">
        <v>3</v>
      </c>
      <c r="R37" s="28">
        <v>3</v>
      </c>
      <c r="S37" s="28">
        <v>1</v>
      </c>
      <c r="T37" s="28">
        <v>1</v>
      </c>
      <c r="U37" s="28">
        <v>2</v>
      </c>
      <c r="V37" s="123">
        <f t="shared" ref="V37:V45" si="2">SUM(D37:U37)</f>
        <v>24</v>
      </c>
      <c r="X37" s="45">
        <f>71+Tabell714[[#This Row],[Tot]]</f>
        <v>95</v>
      </c>
    </row>
    <row r="38" spans="2:30">
      <c r="B38" s="143" t="s">
        <v>10</v>
      </c>
      <c r="C38" s="144" t="s">
        <v>11</v>
      </c>
      <c r="D38" s="28">
        <v>2</v>
      </c>
      <c r="E38" s="28">
        <v>1</v>
      </c>
      <c r="F38" s="28">
        <v>2</v>
      </c>
      <c r="G38" s="28">
        <v>0</v>
      </c>
      <c r="H38" s="28">
        <v>4</v>
      </c>
      <c r="I38" s="28">
        <v>1</v>
      </c>
      <c r="J38" s="28">
        <v>1</v>
      </c>
      <c r="K38" s="28">
        <v>3</v>
      </c>
      <c r="L38" s="28">
        <v>0</v>
      </c>
      <c r="M38" s="28">
        <v>3</v>
      </c>
      <c r="N38" s="28">
        <v>0</v>
      </c>
      <c r="O38" s="28">
        <v>4</v>
      </c>
      <c r="P38" s="28">
        <v>1</v>
      </c>
      <c r="Q38" s="28">
        <v>2</v>
      </c>
      <c r="R38" s="28">
        <v>-1</v>
      </c>
      <c r="S38" s="28">
        <v>1</v>
      </c>
      <c r="T38" s="28">
        <v>2</v>
      </c>
      <c r="U38" s="28">
        <v>0</v>
      </c>
      <c r="V38" s="123">
        <f t="shared" si="2"/>
        <v>26</v>
      </c>
      <c r="X38" s="45">
        <f>72+Tabell714[[#This Row],[Tot]]</f>
        <v>98</v>
      </c>
    </row>
    <row r="39" spans="2:30">
      <c r="B39" s="143" t="s">
        <v>10</v>
      </c>
      <c r="C39" s="144" t="s">
        <v>11</v>
      </c>
      <c r="D39" s="28">
        <v>3</v>
      </c>
      <c r="E39" s="28">
        <v>1</v>
      </c>
      <c r="F39" s="28">
        <v>1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2</v>
      </c>
      <c r="M39" s="28">
        <v>0</v>
      </c>
      <c r="N39" s="28">
        <v>0</v>
      </c>
      <c r="O39" s="28">
        <v>1</v>
      </c>
      <c r="P39" s="28">
        <v>1</v>
      </c>
      <c r="Q39" s="28">
        <v>1</v>
      </c>
      <c r="R39" s="28">
        <v>2</v>
      </c>
      <c r="S39" s="28">
        <v>5</v>
      </c>
      <c r="T39" s="28">
        <v>2</v>
      </c>
      <c r="U39" s="28">
        <v>1</v>
      </c>
      <c r="V39" s="123">
        <f t="shared" si="2"/>
        <v>25</v>
      </c>
      <c r="X39" s="45">
        <f>72+Tabell714[[#This Row],[Tot]]</f>
        <v>97</v>
      </c>
    </row>
    <row r="40" spans="2:30">
      <c r="B40" s="143" t="s">
        <v>10</v>
      </c>
      <c r="C40" s="144" t="s">
        <v>11</v>
      </c>
      <c r="D40" s="28">
        <v>1</v>
      </c>
      <c r="E40" s="28">
        <v>1</v>
      </c>
      <c r="F40" s="28">
        <v>2</v>
      </c>
      <c r="G40" s="28">
        <v>0</v>
      </c>
      <c r="H40" s="28">
        <v>3</v>
      </c>
      <c r="I40" s="28">
        <v>2</v>
      </c>
      <c r="J40" s="28">
        <v>1</v>
      </c>
      <c r="K40" s="28">
        <v>0</v>
      </c>
      <c r="L40" s="28">
        <v>0</v>
      </c>
      <c r="M40" s="28">
        <v>2</v>
      </c>
      <c r="N40" s="28">
        <v>0</v>
      </c>
      <c r="O40" s="28">
        <v>1</v>
      </c>
      <c r="P40" s="28">
        <v>2</v>
      </c>
      <c r="Q40" s="28">
        <v>0</v>
      </c>
      <c r="R40" s="28">
        <v>0</v>
      </c>
      <c r="S40" s="28">
        <v>1</v>
      </c>
      <c r="T40" s="28">
        <v>0</v>
      </c>
      <c r="U40" s="28">
        <v>1</v>
      </c>
      <c r="V40" s="123">
        <f t="shared" si="2"/>
        <v>17</v>
      </c>
      <c r="X40" s="45">
        <f>72+Tabell714[[#This Row],[Tot]]</f>
        <v>89</v>
      </c>
    </row>
    <row r="41" spans="2:30">
      <c r="B41" s="143" t="s">
        <v>10</v>
      </c>
      <c r="C41" s="144" t="s">
        <v>11</v>
      </c>
      <c r="D41" s="28">
        <v>3</v>
      </c>
      <c r="E41" s="28">
        <v>1</v>
      </c>
      <c r="F41" s="28">
        <v>1</v>
      </c>
      <c r="G41" s="28">
        <v>3</v>
      </c>
      <c r="H41" s="28">
        <v>0</v>
      </c>
      <c r="I41" s="28">
        <v>2</v>
      </c>
      <c r="J41" s="28">
        <v>0</v>
      </c>
      <c r="K41" s="28">
        <v>3</v>
      </c>
      <c r="L41" s="28">
        <v>1</v>
      </c>
      <c r="M41" s="28">
        <v>2</v>
      </c>
      <c r="N41" s="28">
        <v>1</v>
      </c>
      <c r="O41" s="28">
        <v>1</v>
      </c>
      <c r="P41" s="28">
        <v>0</v>
      </c>
      <c r="Q41" s="28">
        <v>1</v>
      </c>
      <c r="R41" s="28">
        <v>2</v>
      </c>
      <c r="S41" s="28">
        <v>5</v>
      </c>
      <c r="T41" s="28">
        <v>4</v>
      </c>
      <c r="U41" s="28">
        <v>1</v>
      </c>
      <c r="V41" s="123">
        <f t="shared" si="2"/>
        <v>31</v>
      </c>
      <c r="X41" s="45">
        <f>71+Tabell714[[#This Row],[Tot]]</f>
        <v>102</v>
      </c>
      <c r="AD41" s="114" t="s">
        <v>100</v>
      </c>
    </row>
    <row r="42" spans="2:30">
      <c r="B42" s="143" t="s">
        <v>10</v>
      </c>
      <c r="C42" s="144" t="s">
        <v>11</v>
      </c>
      <c r="D42" s="28">
        <v>3</v>
      </c>
      <c r="E42" s="28">
        <v>1</v>
      </c>
      <c r="F42" s="28">
        <v>3</v>
      </c>
      <c r="G42" s="28">
        <v>0</v>
      </c>
      <c r="H42" s="28">
        <v>-1</v>
      </c>
      <c r="I42" s="28">
        <v>5</v>
      </c>
      <c r="J42" s="28">
        <v>2</v>
      </c>
      <c r="K42" s="28">
        <v>0</v>
      </c>
      <c r="L42" s="28">
        <v>2</v>
      </c>
      <c r="M42" s="28">
        <v>2</v>
      </c>
      <c r="N42" s="28">
        <v>2</v>
      </c>
      <c r="O42" s="28">
        <v>0</v>
      </c>
      <c r="P42" s="28">
        <v>1</v>
      </c>
      <c r="Q42" s="28">
        <v>1</v>
      </c>
      <c r="R42" s="28">
        <v>1</v>
      </c>
      <c r="S42" s="28">
        <v>1</v>
      </c>
      <c r="T42" s="28">
        <v>5</v>
      </c>
      <c r="U42" s="28">
        <v>3</v>
      </c>
      <c r="V42" s="123">
        <f t="shared" si="2"/>
        <v>31</v>
      </c>
      <c r="X42" s="45">
        <f>70+Tabell714[[#This Row],[Tot]]</f>
        <v>101</v>
      </c>
    </row>
    <row r="43" spans="2:30">
      <c r="B43" s="143" t="s">
        <v>10</v>
      </c>
      <c r="C43" s="144" t="s">
        <v>11</v>
      </c>
      <c r="D43" s="28">
        <v>1</v>
      </c>
      <c r="E43" s="28">
        <v>1</v>
      </c>
      <c r="F43" s="28">
        <v>3</v>
      </c>
      <c r="G43" s="28">
        <v>1</v>
      </c>
      <c r="H43" s="28">
        <v>0</v>
      </c>
      <c r="I43" s="28">
        <v>3</v>
      </c>
      <c r="J43" s="28">
        <v>0</v>
      </c>
      <c r="K43" s="28">
        <v>1</v>
      </c>
      <c r="L43" s="28">
        <v>2</v>
      </c>
      <c r="M43" s="28">
        <v>0</v>
      </c>
      <c r="N43" s="28">
        <v>1</v>
      </c>
      <c r="O43" s="28">
        <v>1</v>
      </c>
      <c r="P43" s="28">
        <v>1</v>
      </c>
      <c r="Q43" s="28">
        <v>2</v>
      </c>
      <c r="R43" s="28">
        <v>3</v>
      </c>
      <c r="S43" s="28">
        <v>3</v>
      </c>
      <c r="T43" s="28">
        <v>2</v>
      </c>
      <c r="U43" s="28">
        <v>1</v>
      </c>
      <c r="V43" s="123">
        <f>SUM(D43:U43)</f>
        <v>26</v>
      </c>
      <c r="X43" s="45">
        <f>72+Tabell714[[#This Row],[Tot]]</f>
        <v>98</v>
      </c>
    </row>
    <row r="44" spans="2:30">
      <c r="B44" s="143" t="s">
        <v>10</v>
      </c>
      <c r="C44" s="144" t="s">
        <v>11</v>
      </c>
      <c r="D44" s="28">
        <v>2</v>
      </c>
      <c r="E44" s="28">
        <v>1</v>
      </c>
      <c r="F44" s="28">
        <v>41</v>
      </c>
      <c r="G44" s="28">
        <v>2</v>
      </c>
      <c r="H44" s="28">
        <v>1</v>
      </c>
      <c r="I44" s="28">
        <v>3</v>
      </c>
      <c r="J44" s="28">
        <v>1</v>
      </c>
      <c r="K44" s="28">
        <v>1</v>
      </c>
      <c r="L44" s="28">
        <v>1</v>
      </c>
      <c r="M44" s="28">
        <v>1</v>
      </c>
      <c r="N44" s="28">
        <v>0</v>
      </c>
      <c r="O44" s="28">
        <v>0</v>
      </c>
      <c r="P44" s="28">
        <v>2</v>
      </c>
      <c r="Q44" s="28">
        <v>2</v>
      </c>
      <c r="R44" s="28">
        <v>1</v>
      </c>
      <c r="S44" s="28">
        <v>1</v>
      </c>
      <c r="T44" s="28">
        <v>2</v>
      </c>
      <c r="U44" s="28">
        <v>10</v>
      </c>
      <c r="V44" s="123">
        <f t="shared" si="2"/>
        <v>72</v>
      </c>
      <c r="X44" s="45">
        <f>72+Tabell714[[#This Row],[Tot]]</f>
        <v>144</v>
      </c>
    </row>
    <row r="45" spans="2:30">
      <c r="B45" s="143" t="s">
        <v>10</v>
      </c>
      <c r="C45" s="144" t="s">
        <v>11</v>
      </c>
      <c r="D45" s="28">
        <v>3</v>
      </c>
      <c r="E45" s="28">
        <v>2</v>
      </c>
      <c r="F45" s="28">
        <v>1</v>
      </c>
      <c r="G45" s="28">
        <v>2</v>
      </c>
      <c r="H45" s="28">
        <v>2</v>
      </c>
      <c r="I45" s="28">
        <v>1</v>
      </c>
      <c r="J45" s="28">
        <v>3</v>
      </c>
      <c r="K45" s="28">
        <v>3</v>
      </c>
      <c r="L45" s="28">
        <v>3</v>
      </c>
      <c r="M45" s="28">
        <v>0</v>
      </c>
      <c r="N45" s="28">
        <v>0</v>
      </c>
      <c r="O45" s="28">
        <v>2</v>
      </c>
      <c r="P45" s="28">
        <v>5</v>
      </c>
      <c r="Q45" s="28">
        <v>2</v>
      </c>
      <c r="R45" s="28">
        <v>2</v>
      </c>
      <c r="S45" s="28">
        <v>1</v>
      </c>
      <c r="T45" s="28">
        <v>2</v>
      </c>
      <c r="U45" s="28">
        <v>2</v>
      </c>
      <c r="V45" s="123">
        <f t="shared" si="2"/>
        <v>36</v>
      </c>
      <c r="X45" s="46">
        <f>71+Tabell714[[#This Row],[Tot]]</f>
        <v>107</v>
      </c>
    </row>
    <row r="46" spans="2:30">
      <c r="B46" s="143" t="s">
        <v>10</v>
      </c>
      <c r="C46" s="144" t="s">
        <v>11</v>
      </c>
      <c r="D46" s="28">
        <v>0</v>
      </c>
      <c r="E46" s="28">
        <v>3</v>
      </c>
      <c r="F46" s="28">
        <v>1</v>
      </c>
      <c r="G46" s="28">
        <v>2</v>
      </c>
      <c r="H46" s="28">
        <v>2</v>
      </c>
      <c r="I46" s="28">
        <v>3</v>
      </c>
      <c r="J46" s="28">
        <v>1</v>
      </c>
      <c r="K46" s="28">
        <v>4</v>
      </c>
      <c r="L46" s="28">
        <v>2</v>
      </c>
      <c r="M46" s="28">
        <v>2</v>
      </c>
      <c r="N46" s="28">
        <v>3</v>
      </c>
      <c r="O46" s="28">
        <v>4</v>
      </c>
      <c r="P46" s="28">
        <v>1</v>
      </c>
      <c r="Q46" s="28">
        <v>3</v>
      </c>
      <c r="R46" s="28">
        <v>1</v>
      </c>
      <c r="S46" s="28">
        <v>3</v>
      </c>
      <c r="T46" s="28">
        <v>0</v>
      </c>
      <c r="U46" s="28">
        <v>5</v>
      </c>
      <c r="V46" s="124">
        <f t="shared" ref="V46" si="3">SUM(D46:U46)</f>
        <v>40</v>
      </c>
      <c r="X46" s="46">
        <f>70+Tabell714[[#This Row],[Tot]]</f>
        <v>110</v>
      </c>
    </row>
    <row r="47" spans="2:30">
      <c r="B47" s="166"/>
      <c r="C47" s="166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8"/>
      <c r="X47" s="114"/>
    </row>
    <row r="49" spans="2:24">
      <c r="B49" s="12" t="s">
        <v>21</v>
      </c>
      <c r="C49" s="13" t="s">
        <v>22</v>
      </c>
      <c r="D49" s="34" t="s">
        <v>23</v>
      </c>
      <c r="E49" s="34" t="s">
        <v>24</v>
      </c>
      <c r="F49" s="34" t="s">
        <v>25</v>
      </c>
      <c r="G49" s="34" t="s">
        <v>26</v>
      </c>
      <c r="H49" s="34" t="s">
        <v>27</v>
      </c>
      <c r="I49" s="34" t="s">
        <v>28</v>
      </c>
      <c r="J49" s="34" t="s">
        <v>29</v>
      </c>
      <c r="K49" s="34" t="s">
        <v>30</v>
      </c>
      <c r="L49" s="34" t="s">
        <v>31</v>
      </c>
      <c r="M49" s="34" t="s">
        <v>81</v>
      </c>
      <c r="N49" s="34" t="s">
        <v>82</v>
      </c>
      <c r="O49" s="34" t="s">
        <v>83</v>
      </c>
      <c r="P49" s="34" t="s">
        <v>84</v>
      </c>
      <c r="Q49" s="34" t="s">
        <v>85</v>
      </c>
      <c r="R49" s="34" t="s">
        <v>86</v>
      </c>
      <c r="S49" s="34" t="s">
        <v>87</v>
      </c>
      <c r="T49" s="34" t="s">
        <v>88</v>
      </c>
      <c r="U49" s="34" t="s">
        <v>89</v>
      </c>
      <c r="V49" s="122" t="s">
        <v>40</v>
      </c>
      <c r="X49" s="44" t="s">
        <v>93</v>
      </c>
    </row>
    <row r="50" spans="2:24">
      <c r="B50" s="143" t="s">
        <v>14</v>
      </c>
      <c r="C50" s="144" t="s">
        <v>13</v>
      </c>
      <c r="D50" s="28">
        <v>10</v>
      </c>
      <c r="E50" s="28">
        <v>10</v>
      </c>
      <c r="F50" s="28">
        <v>10</v>
      </c>
      <c r="G50" s="28">
        <v>10</v>
      </c>
      <c r="H50" s="28">
        <v>10</v>
      </c>
      <c r="I50" s="28">
        <v>10</v>
      </c>
      <c r="J50" s="28">
        <v>10</v>
      </c>
      <c r="K50" s="28">
        <v>10</v>
      </c>
      <c r="L50" s="28">
        <v>10</v>
      </c>
      <c r="M50" s="28">
        <v>10</v>
      </c>
      <c r="N50" s="28">
        <v>10</v>
      </c>
      <c r="O50" s="28">
        <v>10</v>
      </c>
      <c r="P50" s="28">
        <v>10</v>
      </c>
      <c r="Q50" s="28">
        <v>10</v>
      </c>
      <c r="R50" s="28">
        <v>10</v>
      </c>
      <c r="S50" s="28">
        <v>10</v>
      </c>
      <c r="T50" s="28">
        <v>10</v>
      </c>
      <c r="U50" s="28">
        <v>10</v>
      </c>
      <c r="V50" s="123">
        <f t="shared" ref="V50" si="4">SUM(D50:U50)</f>
        <v>180</v>
      </c>
      <c r="X50" s="45">
        <f>70+Tabell71415[[#This Row],[Tot]]</f>
        <v>250</v>
      </c>
    </row>
    <row r="51" spans="2:24">
      <c r="B51" s="143" t="s">
        <v>14</v>
      </c>
      <c r="C51" s="144" t="s">
        <v>13</v>
      </c>
      <c r="D51" s="28">
        <v>3</v>
      </c>
      <c r="E51" s="28">
        <v>2</v>
      </c>
      <c r="F51" s="28">
        <v>0</v>
      </c>
      <c r="G51" s="28">
        <v>2</v>
      </c>
      <c r="H51" s="28">
        <v>2</v>
      </c>
      <c r="I51" s="28">
        <v>1</v>
      </c>
      <c r="J51" s="28">
        <v>3</v>
      </c>
      <c r="K51" s="28">
        <v>2</v>
      </c>
      <c r="L51" s="28">
        <v>1</v>
      </c>
      <c r="M51" s="28">
        <v>4</v>
      </c>
      <c r="N51" s="28">
        <v>2</v>
      </c>
      <c r="O51" s="28">
        <v>2</v>
      </c>
      <c r="P51" s="28">
        <v>2</v>
      </c>
      <c r="Q51" s="28">
        <v>1</v>
      </c>
      <c r="R51" s="28">
        <v>1</v>
      </c>
      <c r="S51" s="28">
        <v>1</v>
      </c>
      <c r="T51" s="28">
        <v>3</v>
      </c>
      <c r="U51" s="28">
        <v>0</v>
      </c>
      <c r="V51" s="123">
        <f t="shared" ref="V51:V59" si="5">SUM(D51:U51)</f>
        <v>32</v>
      </c>
      <c r="X51" s="45">
        <f>71+Tabell71415[[#This Row],[Tot]]</f>
        <v>103</v>
      </c>
    </row>
    <row r="52" spans="2:24">
      <c r="B52" s="143" t="s">
        <v>14</v>
      </c>
      <c r="C52" s="144" t="s">
        <v>13</v>
      </c>
      <c r="D52" s="28">
        <v>10</v>
      </c>
      <c r="E52" s="28">
        <v>10</v>
      </c>
      <c r="F52" s="28">
        <v>10</v>
      </c>
      <c r="G52" s="28">
        <v>10</v>
      </c>
      <c r="H52" s="28">
        <v>10</v>
      </c>
      <c r="I52" s="28">
        <v>10</v>
      </c>
      <c r="J52" s="28">
        <v>10</v>
      </c>
      <c r="K52" s="28">
        <v>10</v>
      </c>
      <c r="L52" s="28">
        <v>10</v>
      </c>
      <c r="M52" s="28">
        <v>10</v>
      </c>
      <c r="N52" s="28">
        <v>10</v>
      </c>
      <c r="O52" s="28">
        <v>10</v>
      </c>
      <c r="P52" s="28">
        <v>10</v>
      </c>
      <c r="Q52" s="28">
        <v>10</v>
      </c>
      <c r="R52" s="28">
        <v>10</v>
      </c>
      <c r="S52" s="28">
        <v>10</v>
      </c>
      <c r="T52" s="28">
        <v>10</v>
      </c>
      <c r="U52" s="28">
        <v>10</v>
      </c>
      <c r="V52" s="123">
        <f t="shared" si="5"/>
        <v>180</v>
      </c>
      <c r="X52" s="45">
        <f>72+Tabell71415[[#This Row],[Tot]]</f>
        <v>252</v>
      </c>
    </row>
    <row r="53" spans="2:24">
      <c r="B53" s="143" t="s">
        <v>14</v>
      </c>
      <c r="C53" s="144" t="s">
        <v>13</v>
      </c>
      <c r="D53" s="28">
        <v>10</v>
      </c>
      <c r="E53" s="28">
        <v>10</v>
      </c>
      <c r="F53" s="28">
        <v>10</v>
      </c>
      <c r="G53" s="28">
        <v>10</v>
      </c>
      <c r="H53" s="28">
        <v>10</v>
      </c>
      <c r="I53" s="28">
        <v>10</v>
      </c>
      <c r="J53" s="28">
        <v>10</v>
      </c>
      <c r="K53" s="28">
        <v>10</v>
      </c>
      <c r="L53" s="28">
        <v>10</v>
      </c>
      <c r="M53" s="28">
        <v>10</v>
      </c>
      <c r="N53" s="28">
        <v>10</v>
      </c>
      <c r="O53" s="28">
        <v>10</v>
      </c>
      <c r="P53" s="28">
        <v>10</v>
      </c>
      <c r="Q53" s="28">
        <v>10</v>
      </c>
      <c r="R53" s="28">
        <v>10</v>
      </c>
      <c r="S53" s="28">
        <v>10</v>
      </c>
      <c r="T53" s="28">
        <v>10</v>
      </c>
      <c r="U53" s="28">
        <v>10</v>
      </c>
      <c r="V53" s="123">
        <f t="shared" si="5"/>
        <v>180</v>
      </c>
      <c r="X53" s="45">
        <f>72+Tabell71415[[#This Row],[Tot]]</f>
        <v>252</v>
      </c>
    </row>
    <row r="54" spans="2:24">
      <c r="B54" s="143" t="s">
        <v>14</v>
      </c>
      <c r="C54" s="144" t="s">
        <v>13</v>
      </c>
      <c r="D54" s="28">
        <v>4</v>
      </c>
      <c r="E54" s="28">
        <v>0</v>
      </c>
      <c r="F54" s="28">
        <v>1</v>
      </c>
      <c r="G54" s="28">
        <v>2</v>
      </c>
      <c r="H54" s="28">
        <v>2</v>
      </c>
      <c r="I54" s="28">
        <v>0</v>
      </c>
      <c r="J54" s="28">
        <v>0</v>
      </c>
      <c r="K54" s="28">
        <v>3</v>
      </c>
      <c r="L54" s="28">
        <v>2</v>
      </c>
      <c r="M54" s="28">
        <v>2</v>
      </c>
      <c r="N54" s="28">
        <v>1</v>
      </c>
      <c r="O54" s="28">
        <v>1</v>
      </c>
      <c r="P54" s="28">
        <v>1</v>
      </c>
      <c r="Q54" s="28">
        <v>2</v>
      </c>
      <c r="R54" s="28">
        <v>1</v>
      </c>
      <c r="S54" s="28">
        <v>2</v>
      </c>
      <c r="T54" s="28">
        <v>1</v>
      </c>
      <c r="U54" s="28">
        <v>3</v>
      </c>
      <c r="V54" s="123">
        <f t="shared" si="5"/>
        <v>28</v>
      </c>
      <c r="X54" s="45">
        <f>72+Tabell71415[[#This Row],[Tot]]</f>
        <v>100</v>
      </c>
    </row>
    <row r="55" spans="2:24">
      <c r="B55" s="143" t="s">
        <v>14</v>
      </c>
      <c r="C55" s="144" t="s">
        <v>13</v>
      </c>
      <c r="D55" s="28">
        <v>10</v>
      </c>
      <c r="E55" s="28">
        <v>10</v>
      </c>
      <c r="F55" s="28">
        <v>10</v>
      </c>
      <c r="G55" s="28">
        <v>10</v>
      </c>
      <c r="H55" s="28">
        <v>10</v>
      </c>
      <c r="I55" s="28">
        <v>10</v>
      </c>
      <c r="J55" s="28">
        <v>10</v>
      </c>
      <c r="K55" s="28">
        <v>10</v>
      </c>
      <c r="L55" s="28">
        <v>10</v>
      </c>
      <c r="M55" s="28">
        <v>10</v>
      </c>
      <c r="N55" s="28">
        <v>10</v>
      </c>
      <c r="O55" s="28">
        <v>10</v>
      </c>
      <c r="P55" s="28">
        <v>10</v>
      </c>
      <c r="Q55" s="28">
        <v>10</v>
      </c>
      <c r="R55" s="28">
        <v>10</v>
      </c>
      <c r="S55" s="28">
        <v>10</v>
      </c>
      <c r="T55" s="28">
        <v>10</v>
      </c>
      <c r="U55" s="28">
        <v>10</v>
      </c>
      <c r="V55" s="123">
        <f t="shared" si="5"/>
        <v>180</v>
      </c>
      <c r="X55" s="45">
        <f>70+Tabell71415[[#This Row],[Tot]]</f>
        <v>250</v>
      </c>
    </row>
    <row r="56" spans="2:24">
      <c r="B56" s="143" t="s">
        <v>14</v>
      </c>
      <c r="C56" s="144" t="s">
        <v>13</v>
      </c>
      <c r="D56" s="28">
        <v>1</v>
      </c>
      <c r="E56" s="28">
        <v>2</v>
      </c>
      <c r="F56" s="28">
        <v>1</v>
      </c>
      <c r="G56" s="28">
        <v>1</v>
      </c>
      <c r="H56" s="28">
        <v>1</v>
      </c>
      <c r="I56" s="28">
        <v>4</v>
      </c>
      <c r="J56" s="28">
        <v>0</v>
      </c>
      <c r="K56" s="28">
        <v>2</v>
      </c>
      <c r="L56" s="28">
        <v>4</v>
      </c>
      <c r="M56" s="28">
        <v>3</v>
      </c>
      <c r="N56" s="28">
        <v>2</v>
      </c>
      <c r="O56" s="28">
        <v>1</v>
      </c>
      <c r="P56" s="28">
        <v>1</v>
      </c>
      <c r="Q56" s="28">
        <v>2</v>
      </c>
      <c r="R56" s="28">
        <v>4</v>
      </c>
      <c r="S56" s="28">
        <v>1</v>
      </c>
      <c r="T56" s="28">
        <v>3</v>
      </c>
      <c r="U56" s="28">
        <v>1</v>
      </c>
      <c r="V56" s="123">
        <f>SUM(D56:U56)</f>
        <v>34</v>
      </c>
      <c r="X56" s="45">
        <f>72+Tabell71415[[#This Row],[Tot]]</f>
        <v>106</v>
      </c>
    </row>
    <row r="57" spans="2:24">
      <c r="B57" s="143" t="s">
        <v>14</v>
      </c>
      <c r="C57" s="144" t="s">
        <v>13</v>
      </c>
      <c r="D57" s="28">
        <v>2</v>
      </c>
      <c r="E57" s="28">
        <v>2</v>
      </c>
      <c r="F57" s="28">
        <v>0</v>
      </c>
      <c r="G57" s="28">
        <v>0</v>
      </c>
      <c r="H57" s="28">
        <v>1</v>
      </c>
      <c r="I57" s="28">
        <v>2</v>
      </c>
      <c r="J57" s="28">
        <v>1</v>
      </c>
      <c r="K57" s="28">
        <v>1</v>
      </c>
      <c r="L57" s="28">
        <v>3</v>
      </c>
      <c r="M57" s="28">
        <v>2</v>
      </c>
      <c r="N57" s="28">
        <v>4</v>
      </c>
      <c r="O57" s="28">
        <v>0</v>
      </c>
      <c r="P57" s="28">
        <v>1</v>
      </c>
      <c r="Q57" s="28">
        <v>2</v>
      </c>
      <c r="R57" s="28">
        <v>2</v>
      </c>
      <c r="S57" s="28">
        <v>2</v>
      </c>
      <c r="T57" s="28">
        <v>1</v>
      </c>
      <c r="U57" s="28">
        <v>2</v>
      </c>
      <c r="V57" s="123">
        <f t="shared" si="5"/>
        <v>28</v>
      </c>
      <c r="X57" s="45">
        <f>72+Tabell71415[[#This Row],[Tot]]</f>
        <v>100</v>
      </c>
    </row>
    <row r="58" spans="2:24">
      <c r="B58" s="143" t="s">
        <v>14</v>
      </c>
      <c r="C58" s="144" t="s">
        <v>13</v>
      </c>
      <c r="D58" s="28">
        <v>3</v>
      </c>
      <c r="E58" s="28">
        <v>2</v>
      </c>
      <c r="F58" s="28">
        <v>1</v>
      </c>
      <c r="G58" s="28">
        <v>5</v>
      </c>
      <c r="H58" s="28">
        <v>3</v>
      </c>
      <c r="I58" s="28">
        <v>1</v>
      </c>
      <c r="J58" s="28">
        <v>2</v>
      </c>
      <c r="K58" s="28">
        <v>0</v>
      </c>
      <c r="L58" s="28">
        <v>4</v>
      </c>
      <c r="M58" s="28">
        <v>0</v>
      </c>
      <c r="N58" s="28">
        <v>2</v>
      </c>
      <c r="O58" s="28">
        <v>2</v>
      </c>
      <c r="P58" s="28">
        <v>4</v>
      </c>
      <c r="Q58" s="28">
        <v>3</v>
      </c>
      <c r="R58" s="28">
        <v>2</v>
      </c>
      <c r="S58" s="28">
        <v>3</v>
      </c>
      <c r="T58" s="28">
        <v>1</v>
      </c>
      <c r="U58" s="28">
        <v>3</v>
      </c>
      <c r="V58" s="123">
        <f t="shared" si="5"/>
        <v>41</v>
      </c>
      <c r="X58" s="46">
        <f>71+Tabell71415[[#This Row],[Tot]]</f>
        <v>112</v>
      </c>
    </row>
    <row r="59" spans="2:24">
      <c r="B59" s="143" t="s">
        <v>14</v>
      </c>
      <c r="C59" s="144" t="s">
        <v>13</v>
      </c>
      <c r="D59" s="28">
        <v>2</v>
      </c>
      <c r="E59" s="28">
        <v>1</v>
      </c>
      <c r="F59" s="28">
        <v>2</v>
      </c>
      <c r="G59" s="28">
        <v>2</v>
      </c>
      <c r="H59" s="28">
        <v>4</v>
      </c>
      <c r="I59" s="28">
        <v>3</v>
      </c>
      <c r="J59" s="28">
        <v>0</v>
      </c>
      <c r="K59" s="28">
        <v>4</v>
      </c>
      <c r="L59" s="28">
        <v>1</v>
      </c>
      <c r="M59" s="28">
        <v>5</v>
      </c>
      <c r="N59" s="28">
        <v>3</v>
      </c>
      <c r="O59" s="28">
        <v>5</v>
      </c>
      <c r="P59" s="28">
        <v>1</v>
      </c>
      <c r="Q59" s="28">
        <v>3</v>
      </c>
      <c r="R59" s="28">
        <v>2</v>
      </c>
      <c r="S59" s="28">
        <v>3</v>
      </c>
      <c r="T59" s="28">
        <v>3</v>
      </c>
      <c r="U59" s="28">
        <v>1</v>
      </c>
      <c r="V59" s="124">
        <f t="shared" si="5"/>
        <v>45</v>
      </c>
      <c r="X59" s="46">
        <f>70+Tabell71415[[#This Row],[Tot]]</f>
        <v>115</v>
      </c>
    </row>
    <row r="61" spans="2:24">
      <c r="B61" s="12" t="s">
        <v>21</v>
      </c>
      <c r="C61" s="13" t="s">
        <v>22</v>
      </c>
      <c r="D61" s="34" t="s">
        <v>23</v>
      </c>
      <c r="E61" s="34" t="s">
        <v>24</v>
      </c>
      <c r="F61" s="34" t="s">
        <v>25</v>
      </c>
      <c r="G61" s="34" t="s">
        <v>26</v>
      </c>
      <c r="H61" s="34" t="s">
        <v>27</v>
      </c>
      <c r="I61" s="34" t="s">
        <v>28</v>
      </c>
      <c r="J61" s="34" t="s">
        <v>29</v>
      </c>
      <c r="K61" s="34" t="s">
        <v>30</v>
      </c>
      <c r="L61" s="34" t="s">
        <v>31</v>
      </c>
      <c r="M61" s="34" t="s">
        <v>81</v>
      </c>
      <c r="N61" s="34" t="s">
        <v>82</v>
      </c>
      <c r="O61" s="34" t="s">
        <v>83</v>
      </c>
      <c r="P61" s="34" t="s">
        <v>84</v>
      </c>
      <c r="Q61" s="34" t="s">
        <v>85</v>
      </c>
      <c r="R61" s="34" t="s">
        <v>86</v>
      </c>
      <c r="S61" s="34" t="s">
        <v>87</v>
      </c>
      <c r="T61" s="34" t="s">
        <v>88</v>
      </c>
      <c r="U61" s="34" t="s">
        <v>89</v>
      </c>
      <c r="V61" s="122" t="s">
        <v>40</v>
      </c>
      <c r="X61" s="44" t="s">
        <v>93</v>
      </c>
    </row>
    <row r="62" spans="2:24">
      <c r="B62" s="143" t="s">
        <v>8</v>
      </c>
      <c r="C62" s="144" t="s">
        <v>9</v>
      </c>
      <c r="D62" s="28">
        <v>0</v>
      </c>
      <c r="E62" s="28">
        <v>1</v>
      </c>
      <c r="F62" s="28">
        <v>1</v>
      </c>
      <c r="G62" s="28">
        <v>1</v>
      </c>
      <c r="H62" s="28">
        <v>1</v>
      </c>
      <c r="I62" s="28">
        <v>4</v>
      </c>
      <c r="J62" s="28">
        <v>2</v>
      </c>
      <c r="K62" s="28">
        <v>3</v>
      </c>
      <c r="L62" s="28">
        <v>1</v>
      </c>
      <c r="M62" s="28">
        <v>0</v>
      </c>
      <c r="N62" s="28">
        <v>0</v>
      </c>
      <c r="O62" s="28">
        <v>4</v>
      </c>
      <c r="P62" s="28">
        <v>2</v>
      </c>
      <c r="Q62" s="28">
        <v>2</v>
      </c>
      <c r="R62" s="28">
        <v>2</v>
      </c>
      <c r="S62" s="28">
        <v>2</v>
      </c>
      <c r="T62" s="28">
        <v>5</v>
      </c>
      <c r="U62" s="28">
        <v>0</v>
      </c>
      <c r="V62" s="123">
        <f t="shared" ref="V62:V71" si="6">SUM(D62:U62)</f>
        <v>31</v>
      </c>
      <c r="X62" s="45">
        <f>71+V62</f>
        <v>102</v>
      </c>
    </row>
    <row r="63" spans="2:24">
      <c r="B63" s="143" t="s">
        <v>8</v>
      </c>
      <c r="C63" s="144" t="s">
        <v>9</v>
      </c>
      <c r="D63" s="28">
        <v>2</v>
      </c>
      <c r="E63" s="28">
        <v>1</v>
      </c>
      <c r="F63" s="28">
        <v>1</v>
      </c>
      <c r="G63" s="28">
        <v>2</v>
      </c>
      <c r="H63" s="28">
        <v>1</v>
      </c>
      <c r="I63" s="28">
        <v>0</v>
      </c>
      <c r="J63" s="28">
        <v>1</v>
      </c>
      <c r="K63" s="28">
        <v>1</v>
      </c>
      <c r="L63" s="28">
        <v>0</v>
      </c>
      <c r="M63" s="28">
        <v>1</v>
      </c>
      <c r="N63" s="28">
        <v>1</v>
      </c>
      <c r="O63" s="28">
        <v>3</v>
      </c>
      <c r="P63" s="28">
        <v>1</v>
      </c>
      <c r="Q63" s="28">
        <v>2</v>
      </c>
      <c r="R63" s="28">
        <v>2</v>
      </c>
      <c r="S63" s="28">
        <v>2</v>
      </c>
      <c r="T63" s="28">
        <v>4</v>
      </c>
      <c r="U63" s="28">
        <v>-2</v>
      </c>
      <c r="V63" s="123">
        <f t="shared" si="6"/>
        <v>23</v>
      </c>
      <c r="X63" s="45">
        <f>72+V63</f>
        <v>95</v>
      </c>
    </row>
    <row r="64" spans="2:24">
      <c r="B64" s="143" t="s">
        <v>8</v>
      </c>
      <c r="C64" s="144" t="s">
        <v>9</v>
      </c>
      <c r="D64" s="28">
        <v>4</v>
      </c>
      <c r="E64" s="28">
        <v>2</v>
      </c>
      <c r="F64" s="28">
        <v>1</v>
      </c>
      <c r="G64" s="28">
        <v>2</v>
      </c>
      <c r="H64" s="28">
        <v>1</v>
      </c>
      <c r="I64" s="28">
        <v>1</v>
      </c>
      <c r="J64" s="28">
        <v>0</v>
      </c>
      <c r="K64" s="28">
        <v>2</v>
      </c>
      <c r="L64" s="28">
        <v>1</v>
      </c>
      <c r="M64" s="28">
        <v>2</v>
      </c>
      <c r="N64" s="28">
        <v>1</v>
      </c>
      <c r="O64" s="28">
        <v>0</v>
      </c>
      <c r="P64" s="28">
        <v>2</v>
      </c>
      <c r="Q64" s="28">
        <v>2</v>
      </c>
      <c r="R64" s="28">
        <v>1</v>
      </c>
      <c r="S64" s="28">
        <v>3</v>
      </c>
      <c r="T64" s="28">
        <v>0</v>
      </c>
      <c r="U64" s="28">
        <v>0</v>
      </c>
      <c r="V64" s="123">
        <f t="shared" si="6"/>
        <v>25</v>
      </c>
      <c r="X64" s="45">
        <f>72+V64</f>
        <v>97</v>
      </c>
    </row>
    <row r="65" spans="2:24">
      <c r="B65" s="143" t="s">
        <v>8</v>
      </c>
      <c r="C65" s="144" t="s">
        <v>9</v>
      </c>
      <c r="D65" s="28">
        <v>0</v>
      </c>
      <c r="E65" s="28">
        <v>1</v>
      </c>
      <c r="F65" s="28">
        <v>2</v>
      </c>
      <c r="G65" s="28">
        <v>2</v>
      </c>
      <c r="H65" s="28">
        <v>2</v>
      </c>
      <c r="I65" s="28">
        <v>2</v>
      </c>
      <c r="J65" s="28">
        <v>0</v>
      </c>
      <c r="K65" s="28">
        <v>1</v>
      </c>
      <c r="L65" s="28">
        <v>1</v>
      </c>
      <c r="M65" s="28">
        <v>1</v>
      </c>
      <c r="N65" s="28">
        <v>1</v>
      </c>
      <c r="O65" s="28">
        <v>0</v>
      </c>
      <c r="P65" s="28">
        <v>1</v>
      </c>
      <c r="Q65" s="28">
        <v>1</v>
      </c>
      <c r="R65" s="28">
        <v>1</v>
      </c>
      <c r="S65" s="28">
        <v>1</v>
      </c>
      <c r="T65" s="28">
        <v>1</v>
      </c>
      <c r="U65" s="28">
        <v>0</v>
      </c>
      <c r="V65" s="123">
        <f t="shared" si="6"/>
        <v>18</v>
      </c>
      <c r="X65" s="45">
        <f>72+V65</f>
        <v>90</v>
      </c>
    </row>
    <row r="66" spans="2:24">
      <c r="B66" s="143" t="s">
        <v>8</v>
      </c>
      <c r="C66" s="144" t="s">
        <v>9</v>
      </c>
      <c r="D66" s="28">
        <v>2</v>
      </c>
      <c r="E66" s="28">
        <v>1</v>
      </c>
      <c r="F66" s="28">
        <v>3</v>
      </c>
      <c r="G66" s="28">
        <v>2</v>
      </c>
      <c r="H66" s="28">
        <v>0</v>
      </c>
      <c r="I66" s="28">
        <v>2</v>
      </c>
      <c r="J66" s="28">
        <v>3</v>
      </c>
      <c r="K66" s="28">
        <v>1</v>
      </c>
      <c r="L66" s="28">
        <v>3</v>
      </c>
      <c r="M66" s="28">
        <v>4</v>
      </c>
      <c r="N66" s="28">
        <v>3</v>
      </c>
      <c r="O66" s="28">
        <v>1</v>
      </c>
      <c r="P66" s="28">
        <v>2</v>
      </c>
      <c r="Q66" s="28">
        <v>0</v>
      </c>
      <c r="R66" s="28">
        <v>0</v>
      </c>
      <c r="S66" s="28">
        <v>3</v>
      </c>
      <c r="T66" s="28">
        <v>1</v>
      </c>
      <c r="U66" s="28">
        <v>2</v>
      </c>
      <c r="V66" s="123">
        <f t="shared" si="6"/>
        <v>33</v>
      </c>
      <c r="X66" s="45">
        <f>71+V66</f>
        <v>104</v>
      </c>
    </row>
    <row r="67" spans="2:24">
      <c r="B67" s="143" t="s">
        <v>8</v>
      </c>
      <c r="C67" s="144" t="s">
        <v>9</v>
      </c>
      <c r="D67" s="28">
        <v>2</v>
      </c>
      <c r="E67" s="28">
        <v>3</v>
      </c>
      <c r="F67" s="28">
        <v>2</v>
      </c>
      <c r="G67" s="28">
        <v>3</v>
      </c>
      <c r="H67" s="28">
        <v>3</v>
      </c>
      <c r="I67" s="28">
        <v>1</v>
      </c>
      <c r="J67" s="28">
        <v>1</v>
      </c>
      <c r="K67" s="28">
        <v>1</v>
      </c>
      <c r="L67" s="28">
        <v>0</v>
      </c>
      <c r="M67" s="28">
        <v>1</v>
      </c>
      <c r="N67" s="28">
        <v>1</v>
      </c>
      <c r="O67" s="28">
        <v>2</v>
      </c>
      <c r="P67" s="28">
        <v>5</v>
      </c>
      <c r="Q67" s="28">
        <v>3</v>
      </c>
      <c r="R67" s="28">
        <v>1</v>
      </c>
      <c r="S67" s="28">
        <v>0</v>
      </c>
      <c r="T67" s="28">
        <v>3</v>
      </c>
      <c r="U67" s="28">
        <v>1</v>
      </c>
      <c r="V67" s="123">
        <f t="shared" si="6"/>
        <v>33</v>
      </c>
      <c r="X67" s="45">
        <f>70+V67</f>
        <v>103</v>
      </c>
    </row>
    <row r="68" spans="2:24">
      <c r="B68" s="143" t="s">
        <v>8</v>
      </c>
      <c r="C68" s="144" t="s">
        <v>9</v>
      </c>
      <c r="D68" s="28">
        <v>1</v>
      </c>
      <c r="E68" s="28">
        <v>1</v>
      </c>
      <c r="F68" s="28">
        <v>2</v>
      </c>
      <c r="G68" s="28">
        <v>2</v>
      </c>
      <c r="H68" s="28">
        <v>1</v>
      </c>
      <c r="I68" s="28">
        <v>1</v>
      </c>
      <c r="J68" s="28">
        <v>3</v>
      </c>
      <c r="K68" s="28">
        <v>1</v>
      </c>
      <c r="L68" s="28">
        <v>2</v>
      </c>
      <c r="M68" s="28">
        <v>2</v>
      </c>
      <c r="N68" s="28">
        <v>1</v>
      </c>
      <c r="O68" s="28">
        <v>5</v>
      </c>
      <c r="P68" s="28">
        <v>0</v>
      </c>
      <c r="Q68" s="28">
        <v>0</v>
      </c>
      <c r="R68" s="28">
        <v>1</v>
      </c>
      <c r="S68" s="28">
        <v>1</v>
      </c>
      <c r="T68" s="28">
        <v>4</v>
      </c>
      <c r="U68" s="28">
        <v>0</v>
      </c>
      <c r="V68" s="123">
        <f t="shared" si="6"/>
        <v>28</v>
      </c>
      <c r="X68" s="45">
        <f>72+V68</f>
        <v>100</v>
      </c>
    </row>
    <row r="69" spans="2:24">
      <c r="B69" s="143" t="s">
        <v>8</v>
      </c>
      <c r="C69" s="144" t="s">
        <v>9</v>
      </c>
      <c r="D69" s="28">
        <v>1</v>
      </c>
      <c r="E69" s="28">
        <v>0</v>
      </c>
      <c r="F69" s="28">
        <v>0</v>
      </c>
      <c r="G69" s="28">
        <v>1</v>
      </c>
      <c r="H69" s="28">
        <v>3</v>
      </c>
      <c r="I69" s="28">
        <v>1</v>
      </c>
      <c r="J69" s="28">
        <v>4</v>
      </c>
      <c r="K69" s="28">
        <v>1</v>
      </c>
      <c r="L69" s="28">
        <v>2</v>
      </c>
      <c r="M69" s="28">
        <v>2</v>
      </c>
      <c r="N69" s="28">
        <v>2</v>
      </c>
      <c r="O69" s="28">
        <v>0</v>
      </c>
      <c r="P69" s="28">
        <v>3</v>
      </c>
      <c r="Q69" s="28">
        <v>1</v>
      </c>
      <c r="R69" s="28">
        <v>2</v>
      </c>
      <c r="S69" s="28">
        <v>1</v>
      </c>
      <c r="T69" s="28">
        <v>2</v>
      </c>
      <c r="U69" s="28">
        <v>1</v>
      </c>
      <c r="V69" s="123">
        <f t="shared" si="6"/>
        <v>27</v>
      </c>
      <c r="X69" s="45">
        <f>72+V69</f>
        <v>99</v>
      </c>
    </row>
    <row r="70" spans="2:24">
      <c r="B70" s="143" t="s">
        <v>8</v>
      </c>
      <c r="C70" s="144" t="s">
        <v>9</v>
      </c>
      <c r="D70" s="28">
        <v>-1</v>
      </c>
      <c r="E70" s="28">
        <v>2</v>
      </c>
      <c r="F70" s="28">
        <v>3</v>
      </c>
      <c r="G70" s="28">
        <v>1</v>
      </c>
      <c r="H70" s="28">
        <v>1</v>
      </c>
      <c r="I70" s="28">
        <v>0</v>
      </c>
      <c r="J70" s="28">
        <v>0</v>
      </c>
      <c r="K70" s="28">
        <v>2</v>
      </c>
      <c r="L70" s="28">
        <v>3</v>
      </c>
      <c r="M70" s="28">
        <v>0</v>
      </c>
      <c r="N70" s="28">
        <v>1</v>
      </c>
      <c r="O70" s="28">
        <v>2</v>
      </c>
      <c r="P70" s="28">
        <v>3</v>
      </c>
      <c r="Q70" s="28">
        <v>0</v>
      </c>
      <c r="R70" s="28">
        <v>0</v>
      </c>
      <c r="S70" s="28">
        <v>1</v>
      </c>
      <c r="T70" s="28">
        <v>2</v>
      </c>
      <c r="U70" s="28">
        <v>1</v>
      </c>
      <c r="V70" s="123">
        <f t="shared" si="6"/>
        <v>21</v>
      </c>
      <c r="X70" s="46">
        <f>71+V70</f>
        <v>92</v>
      </c>
    </row>
    <row r="71" spans="2:24">
      <c r="B71" s="143" t="s">
        <v>8</v>
      </c>
      <c r="C71" s="144" t="s">
        <v>9</v>
      </c>
      <c r="D71" s="28">
        <v>0</v>
      </c>
      <c r="E71" s="28">
        <v>0</v>
      </c>
      <c r="F71" s="28">
        <v>5</v>
      </c>
      <c r="G71" s="28">
        <v>1</v>
      </c>
      <c r="H71" s="28">
        <v>0</v>
      </c>
      <c r="I71" s="28">
        <v>2</v>
      </c>
      <c r="J71" s="28">
        <v>4</v>
      </c>
      <c r="K71" s="28">
        <v>3</v>
      </c>
      <c r="L71" s="28">
        <v>5</v>
      </c>
      <c r="M71" s="28">
        <v>4</v>
      </c>
      <c r="N71" s="28">
        <v>1</v>
      </c>
      <c r="O71" s="28">
        <v>1</v>
      </c>
      <c r="P71" s="28">
        <v>3</v>
      </c>
      <c r="Q71" s="28">
        <v>2</v>
      </c>
      <c r="R71" s="28">
        <v>1</v>
      </c>
      <c r="S71" s="28">
        <v>0</v>
      </c>
      <c r="T71" s="28">
        <v>1</v>
      </c>
      <c r="U71" s="28">
        <v>1</v>
      </c>
      <c r="V71" s="124">
        <f t="shared" si="6"/>
        <v>34</v>
      </c>
      <c r="X71" s="46">
        <f>74+V71</f>
        <v>108</v>
      </c>
    </row>
    <row r="73" spans="2:24">
      <c r="B73" s="12" t="s">
        <v>21</v>
      </c>
      <c r="C73" s="13" t="s">
        <v>22</v>
      </c>
      <c r="D73" s="34" t="s">
        <v>23</v>
      </c>
      <c r="E73" s="34" t="s">
        <v>24</v>
      </c>
      <c r="F73" s="34" t="s">
        <v>25</v>
      </c>
      <c r="G73" s="34" t="s">
        <v>26</v>
      </c>
      <c r="H73" s="34" t="s">
        <v>27</v>
      </c>
      <c r="I73" s="34" t="s">
        <v>28</v>
      </c>
      <c r="J73" s="34" t="s">
        <v>29</v>
      </c>
      <c r="K73" s="34" t="s">
        <v>30</v>
      </c>
      <c r="L73" s="34" t="s">
        <v>31</v>
      </c>
      <c r="M73" s="34" t="s">
        <v>81</v>
      </c>
      <c r="N73" s="34" t="s">
        <v>82</v>
      </c>
      <c r="O73" s="34" t="s">
        <v>83</v>
      </c>
      <c r="P73" s="34" t="s">
        <v>84</v>
      </c>
      <c r="Q73" s="34" t="s">
        <v>85</v>
      </c>
      <c r="R73" s="34" t="s">
        <v>86</v>
      </c>
      <c r="S73" s="34" t="s">
        <v>87</v>
      </c>
      <c r="T73" s="34" t="s">
        <v>88</v>
      </c>
      <c r="U73" s="34" t="s">
        <v>89</v>
      </c>
      <c r="V73" s="122" t="s">
        <v>40</v>
      </c>
      <c r="X73" s="44" t="s">
        <v>93</v>
      </c>
    </row>
    <row r="74" spans="2:24">
      <c r="B74" s="143" t="s">
        <v>15</v>
      </c>
      <c r="C74" s="144" t="s">
        <v>16</v>
      </c>
      <c r="D74" s="28">
        <v>2</v>
      </c>
      <c r="E74" s="28">
        <v>3</v>
      </c>
      <c r="F74" s="28">
        <v>5</v>
      </c>
      <c r="G74" s="28">
        <v>2</v>
      </c>
      <c r="H74" s="28">
        <v>0</v>
      </c>
      <c r="I74" s="28">
        <v>3</v>
      </c>
      <c r="J74" s="28">
        <v>4</v>
      </c>
      <c r="K74" s="28">
        <v>2</v>
      </c>
      <c r="L74" s="28">
        <v>2</v>
      </c>
      <c r="M74" s="28">
        <v>1</v>
      </c>
      <c r="N74" s="28">
        <v>1</v>
      </c>
      <c r="O74" s="28">
        <v>2</v>
      </c>
      <c r="P74" s="28">
        <v>0</v>
      </c>
      <c r="Q74" s="28">
        <v>3</v>
      </c>
      <c r="R74" s="28">
        <v>2</v>
      </c>
      <c r="S74" s="28">
        <v>2</v>
      </c>
      <c r="T74" s="28">
        <v>2</v>
      </c>
      <c r="U74" s="28">
        <v>0</v>
      </c>
      <c r="V74" s="123">
        <f t="shared" ref="V74:V83" si="7">SUM(D74:U74)</f>
        <v>36</v>
      </c>
      <c r="X74" s="45">
        <f>71+V74</f>
        <v>107</v>
      </c>
    </row>
    <row r="75" spans="2:24">
      <c r="B75" s="143" t="s">
        <v>15</v>
      </c>
      <c r="C75" s="144" t="s">
        <v>16</v>
      </c>
      <c r="D75" s="28">
        <v>2</v>
      </c>
      <c r="E75" s="28">
        <v>2</v>
      </c>
      <c r="F75" s="28">
        <v>1</v>
      </c>
      <c r="G75" s="28">
        <v>1</v>
      </c>
      <c r="H75" s="28">
        <v>1</v>
      </c>
      <c r="I75" s="28">
        <v>0</v>
      </c>
      <c r="J75" s="28">
        <v>4</v>
      </c>
      <c r="K75" s="28">
        <v>1</v>
      </c>
      <c r="L75" s="28">
        <v>1</v>
      </c>
      <c r="M75" s="28">
        <v>5</v>
      </c>
      <c r="N75" s="28">
        <v>1</v>
      </c>
      <c r="O75" s="28">
        <v>2</v>
      </c>
      <c r="P75" s="28">
        <v>2</v>
      </c>
      <c r="Q75" s="28">
        <v>3</v>
      </c>
      <c r="R75" s="28">
        <v>2</v>
      </c>
      <c r="S75" s="28">
        <v>0</v>
      </c>
      <c r="T75" s="28">
        <v>0</v>
      </c>
      <c r="U75" s="28">
        <v>1</v>
      </c>
      <c r="V75" s="123">
        <f t="shared" si="7"/>
        <v>29</v>
      </c>
      <c r="X75" s="45">
        <f>72+V75</f>
        <v>101</v>
      </c>
    </row>
    <row r="76" spans="2:24">
      <c r="B76" s="143" t="s">
        <v>15</v>
      </c>
      <c r="C76" s="144" t="s">
        <v>16</v>
      </c>
      <c r="D76" s="28">
        <v>0</v>
      </c>
      <c r="E76" s="28">
        <v>0</v>
      </c>
      <c r="F76" s="28">
        <v>0</v>
      </c>
      <c r="G76" s="28">
        <v>1</v>
      </c>
      <c r="H76" s="28">
        <v>0</v>
      </c>
      <c r="I76" s="28">
        <v>1</v>
      </c>
      <c r="J76" s="28">
        <v>3</v>
      </c>
      <c r="K76" s="28">
        <v>0</v>
      </c>
      <c r="L76" s="28">
        <v>1</v>
      </c>
      <c r="M76" s="28">
        <v>1</v>
      </c>
      <c r="N76" s="28">
        <v>5</v>
      </c>
      <c r="O76" s="28">
        <v>1</v>
      </c>
      <c r="P76" s="28">
        <v>0</v>
      </c>
      <c r="Q76" s="28">
        <v>1</v>
      </c>
      <c r="R76" s="28">
        <v>2</v>
      </c>
      <c r="S76" s="28">
        <v>1</v>
      </c>
      <c r="T76" s="28">
        <v>1</v>
      </c>
      <c r="U76" s="28">
        <v>2</v>
      </c>
      <c r="V76" s="123">
        <f t="shared" si="7"/>
        <v>20</v>
      </c>
      <c r="X76" s="45">
        <f>72+V76</f>
        <v>92</v>
      </c>
    </row>
    <row r="77" spans="2:24">
      <c r="B77" s="143" t="s">
        <v>15</v>
      </c>
      <c r="C77" s="144" t="s">
        <v>16</v>
      </c>
      <c r="D77" s="28">
        <v>0</v>
      </c>
      <c r="E77" s="28">
        <v>2</v>
      </c>
      <c r="F77" s="28">
        <v>1</v>
      </c>
      <c r="G77" s="28">
        <v>0</v>
      </c>
      <c r="H77" s="28">
        <v>3</v>
      </c>
      <c r="I77" s="28">
        <v>0</v>
      </c>
      <c r="J77" s="28">
        <v>2</v>
      </c>
      <c r="K77" s="28">
        <v>0</v>
      </c>
      <c r="L77" s="28">
        <v>2</v>
      </c>
      <c r="M77" s="28">
        <v>1</v>
      </c>
      <c r="N77" s="28">
        <v>2</v>
      </c>
      <c r="O77" s="28">
        <v>2</v>
      </c>
      <c r="P77" s="28">
        <v>1</v>
      </c>
      <c r="Q77" s="28">
        <v>1</v>
      </c>
      <c r="R77" s="28">
        <v>1</v>
      </c>
      <c r="S77" s="28">
        <v>2</v>
      </c>
      <c r="T77" s="28">
        <v>0</v>
      </c>
      <c r="U77" s="28">
        <v>1</v>
      </c>
      <c r="V77" s="123">
        <f t="shared" si="7"/>
        <v>21</v>
      </c>
      <c r="X77" s="45">
        <f>72+V77</f>
        <v>93</v>
      </c>
    </row>
    <row r="78" spans="2:24">
      <c r="B78" s="143" t="s">
        <v>15</v>
      </c>
      <c r="C78" s="144" t="s">
        <v>16</v>
      </c>
      <c r="D78" s="28">
        <v>2</v>
      </c>
      <c r="E78" s="28">
        <v>1</v>
      </c>
      <c r="F78" s="28">
        <v>3</v>
      </c>
      <c r="G78" s="28">
        <v>-1</v>
      </c>
      <c r="H78" s="28">
        <v>2</v>
      </c>
      <c r="I78" s="28">
        <v>1</v>
      </c>
      <c r="J78" s="28">
        <v>3</v>
      </c>
      <c r="K78" s="28">
        <v>3</v>
      </c>
      <c r="L78" s="28">
        <v>5</v>
      </c>
      <c r="M78" s="28">
        <v>2</v>
      </c>
      <c r="N78" s="28">
        <v>1</v>
      </c>
      <c r="O78" s="28">
        <v>1</v>
      </c>
      <c r="P78" s="28">
        <v>1</v>
      </c>
      <c r="Q78" s="28">
        <v>4</v>
      </c>
      <c r="R78" s="28">
        <v>2</v>
      </c>
      <c r="S78" s="28">
        <v>3</v>
      </c>
      <c r="T78" s="28">
        <v>0</v>
      </c>
      <c r="U78" s="28">
        <v>4</v>
      </c>
      <c r="V78" s="123">
        <f t="shared" si="7"/>
        <v>37</v>
      </c>
      <c r="X78" s="45">
        <f>71+V78</f>
        <v>108</v>
      </c>
    </row>
    <row r="79" spans="2:24">
      <c r="B79" s="143" t="s">
        <v>15</v>
      </c>
      <c r="C79" s="144" t="s">
        <v>16</v>
      </c>
      <c r="D79" s="28">
        <v>1</v>
      </c>
      <c r="E79" s="28">
        <v>1</v>
      </c>
      <c r="F79" s="28">
        <v>3</v>
      </c>
      <c r="G79" s="28">
        <v>1</v>
      </c>
      <c r="H79" s="28">
        <v>2</v>
      </c>
      <c r="I79" s="28">
        <v>2</v>
      </c>
      <c r="J79" s="28">
        <v>2</v>
      </c>
      <c r="K79" s="28">
        <v>3</v>
      </c>
      <c r="L79" s="28">
        <v>2</v>
      </c>
      <c r="M79" s="28">
        <v>1</v>
      </c>
      <c r="N79" s="28">
        <v>2</v>
      </c>
      <c r="O79" s="28">
        <v>1</v>
      </c>
      <c r="P79" s="28">
        <v>0</v>
      </c>
      <c r="Q79" s="28">
        <v>1</v>
      </c>
      <c r="R79" s="28">
        <v>3</v>
      </c>
      <c r="S79" s="28">
        <v>3</v>
      </c>
      <c r="T79" s="28">
        <v>1</v>
      </c>
      <c r="U79" s="28">
        <v>4</v>
      </c>
      <c r="V79" s="123">
        <f t="shared" si="7"/>
        <v>33</v>
      </c>
      <c r="X79" s="45">
        <f>70+V79</f>
        <v>103</v>
      </c>
    </row>
    <row r="80" spans="2:24">
      <c r="B80" s="143" t="s">
        <v>15</v>
      </c>
      <c r="C80" s="144" t="s">
        <v>16</v>
      </c>
      <c r="D80" s="28">
        <v>1</v>
      </c>
      <c r="E80" s="28">
        <v>1</v>
      </c>
      <c r="F80" s="28">
        <v>1</v>
      </c>
      <c r="G80" s="28">
        <v>1</v>
      </c>
      <c r="H80" s="28">
        <v>3</v>
      </c>
      <c r="I80" s="28">
        <v>4</v>
      </c>
      <c r="J80" s="28">
        <v>2</v>
      </c>
      <c r="K80" s="28">
        <v>0</v>
      </c>
      <c r="L80" s="28">
        <v>1</v>
      </c>
      <c r="M80" s="28">
        <v>2</v>
      </c>
      <c r="N80" s="28">
        <v>0</v>
      </c>
      <c r="O80" s="28">
        <v>1</v>
      </c>
      <c r="P80" s="28">
        <v>3</v>
      </c>
      <c r="Q80" s="28">
        <v>1</v>
      </c>
      <c r="R80" s="28">
        <v>2</v>
      </c>
      <c r="S80" s="28">
        <v>2</v>
      </c>
      <c r="T80" s="28">
        <v>1</v>
      </c>
      <c r="U80" s="28">
        <v>0</v>
      </c>
      <c r="V80" s="123">
        <f t="shared" si="7"/>
        <v>26</v>
      </c>
      <c r="X80" s="45">
        <f>72+V80</f>
        <v>98</v>
      </c>
    </row>
    <row r="81" spans="2:24">
      <c r="B81" s="143" t="s">
        <v>15</v>
      </c>
      <c r="C81" s="144" t="s">
        <v>16</v>
      </c>
      <c r="D81" s="28">
        <v>0</v>
      </c>
      <c r="E81" s="28">
        <v>2</v>
      </c>
      <c r="F81" s="28">
        <v>3</v>
      </c>
      <c r="G81" s="28">
        <v>2</v>
      </c>
      <c r="H81" s="28">
        <v>5</v>
      </c>
      <c r="I81" s="28">
        <v>0</v>
      </c>
      <c r="J81" s="28">
        <v>1</v>
      </c>
      <c r="K81" s="28">
        <v>2</v>
      </c>
      <c r="L81" s="28">
        <v>2</v>
      </c>
      <c r="M81" s="28">
        <v>3</v>
      </c>
      <c r="N81" s="28">
        <v>2</v>
      </c>
      <c r="O81" s="28">
        <v>1</v>
      </c>
      <c r="P81" s="28">
        <v>1</v>
      </c>
      <c r="Q81" s="28">
        <v>2</v>
      </c>
      <c r="R81" s="28">
        <v>5</v>
      </c>
      <c r="S81" s="28">
        <v>1</v>
      </c>
      <c r="T81" s="28">
        <v>1</v>
      </c>
      <c r="U81" s="28">
        <v>3</v>
      </c>
      <c r="V81" s="123">
        <f t="shared" si="7"/>
        <v>36</v>
      </c>
      <c r="X81" s="45">
        <f>72+V81</f>
        <v>108</v>
      </c>
    </row>
    <row r="82" spans="2:24">
      <c r="B82" s="143" t="s">
        <v>15</v>
      </c>
      <c r="C82" s="144" t="s">
        <v>16</v>
      </c>
      <c r="D82" s="28">
        <v>4</v>
      </c>
      <c r="E82" s="28">
        <v>2</v>
      </c>
      <c r="F82" s="28">
        <v>1</v>
      </c>
      <c r="G82" s="28">
        <v>1</v>
      </c>
      <c r="H82" s="28">
        <v>0</v>
      </c>
      <c r="I82" s="28">
        <v>2</v>
      </c>
      <c r="J82" s="28">
        <v>5</v>
      </c>
      <c r="K82" s="28">
        <v>0</v>
      </c>
      <c r="L82" s="28">
        <v>3</v>
      </c>
      <c r="M82" s="28">
        <v>2</v>
      </c>
      <c r="N82" s="28">
        <v>2</v>
      </c>
      <c r="O82" s="28">
        <v>5</v>
      </c>
      <c r="P82" s="28">
        <v>2</v>
      </c>
      <c r="Q82" s="28">
        <v>-1</v>
      </c>
      <c r="R82" s="28">
        <v>1</v>
      </c>
      <c r="S82" s="28">
        <v>2</v>
      </c>
      <c r="T82" s="28">
        <v>1</v>
      </c>
      <c r="U82" s="28">
        <v>1</v>
      </c>
      <c r="V82" s="123">
        <f t="shared" si="7"/>
        <v>33</v>
      </c>
      <c r="X82" s="45">
        <f>71+V82</f>
        <v>104</v>
      </c>
    </row>
    <row r="83" spans="2:24">
      <c r="B83" s="143" t="s">
        <v>15</v>
      </c>
      <c r="C83" s="144" t="s">
        <v>16</v>
      </c>
      <c r="D83" s="28">
        <v>2</v>
      </c>
      <c r="E83" s="28">
        <v>2</v>
      </c>
      <c r="F83" s="28">
        <v>1</v>
      </c>
      <c r="G83" s="28">
        <v>2</v>
      </c>
      <c r="H83" s="28">
        <v>1</v>
      </c>
      <c r="I83" s="28">
        <v>3</v>
      </c>
      <c r="J83" s="28">
        <v>1</v>
      </c>
      <c r="K83" s="28">
        <v>3</v>
      </c>
      <c r="L83" s="28">
        <v>2</v>
      </c>
      <c r="M83" s="28">
        <v>2</v>
      </c>
      <c r="N83" s="28">
        <v>5</v>
      </c>
      <c r="O83" s="28">
        <v>4</v>
      </c>
      <c r="P83" s="28">
        <v>3</v>
      </c>
      <c r="Q83" s="28">
        <v>2</v>
      </c>
      <c r="R83" s="28">
        <v>1</v>
      </c>
      <c r="S83" s="28">
        <v>3</v>
      </c>
      <c r="T83" s="28">
        <v>1</v>
      </c>
      <c r="U83" s="28">
        <v>4</v>
      </c>
      <c r="V83" s="124">
        <f t="shared" si="7"/>
        <v>42</v>
      </c>
      <c r="X83" s="46">
        <f>74+V83</f>
        <v>116</v>
      </c>
    </row>
    <row r="85" spans="2:24">
      <c r="B85" s="12" t="s">
        <v>21</v>
      </c>
      <c r="C85" s="13" t="s">
        <v>22</v>
      </c>
      <c r="D85" s="34" t="s">
        <v>23</v>
      </c>
      <c r="E85" s="34" t="s">
        <v>24</v>
      </c>
      <c r="F85" s="34" t="s">
        <v>25</v>
      </c>
      <c r="G85" s="34" t="s">
        <v>26</v>
      </c>
      <c r="H85" s="34" t="s">
        <v>27</v>
      </c>
      <c r="I85" s="34" t="s">
        <v>28</v>
      </c>
      <c r="J85" s="34" t="s">
        <v>29</v>
      </c>
      <c r="K85" s="34" t="s">
        <v>30</v>
      </c>
      <c r="L85" s="34" t="s">
        <v>31</v>
      </c>
      <c r="M85" s="34" t="s">
        <v>81</v>
      </c>
      <c r="N85" s="34" t="s">
        <v>82</v>
      </c>
      <c r="O85" s="34" t="s">
        <v>83</v>
      </c>
      <c r="P85" s="34" t="s">
        <v>84</v>
      </c>
      <c r="Q85" s="34" t="s">
        <v>85</v>
      </c>
      <c r="R85" s="34" t="s">
        <v>86</v>
      </c>
      <c r="S85" s="34" t="s">
        <v>87</v>
      </c>
      <c r="T85" s="34" t="s">
        <v>88</v>
      </c>
      <c r="U85" s="34" t="s">
        <v>89</v>
      </c>
      <c r="V85" s="122" t="s">
        <v>40</v>
      </c>
      <c r="X85" s="44" t="s">
        <v>93</v>
      </c>
    </row>
    <row r="86" spans="2:24">
      <c r="B86" s="143" t="s">
        <v>12</v>
      </c>
      <c r="C86" s="144" t="s">
        <v>13</v>
      </c>
      <c r="D86" s="28">
        <v>10</v>
      </c>
      <c r="E86" s="28">
        <v>10</v>
      </c>
      <c r="F86" s="28">
        <v>10</v>
      </c>
      <c r="G86" s="28">
        <v>10</v>
      </c>
      <c r="H86" s="28">
        <v>10</v>
      </c>
      <c r="I86" s="28">
        <v>10</v>
      </c>
      <c r="J86" s="28">
        <v>10</v>
      </c>
      <c r="K86" s="28">
        <v>10</v>
      </c>
      <c r="L86" s="28">
        <v>10</v>
      </c>
      <c r="M86" s="28">
        <v>10</v>
      </c>
      <c r="N86" s="28">
        <v>10</v>
      </c>
      <c r="O86" s="28">
        <v>10</v>
      </c>
      <c r="P86" s="28">
        <v>10</v>
      </c>
      <c r="Q86" s="28">
        <v>10</v>
      </c>
      <c r="R86" s="28">
        <v>10</v>
      </c>
      <c r="S86" s="28">
        <v>10</v>
      </c>
      <c r="T86" s="28">
        <v>10</v>
      </c>
      <c r="U86" s="28">
        <v>10</v>
      </c>
      <c r="V86" s="123">
        <f t="shared" ref="V86:V95" si="8">SUM(D86:U86)</f>
        <v>180</v>
      </c>
      <c r="X86" s="45">
        <f>70+V86</f>
        <v>250</v>
      </c>
    </row>
    <row r="87" spans="2:24">
      <c r="B87" s="143" t="s">
        <v>12</v>
      </c>
      <c r="C87" s="144" t="s">
        <v>13</v>
      </c>
      <c r="D87" s="28">
        <v>2</v>
      </c>
      <c r="E87" s="28">
        <v>1</v>
      </c>
      <c r="F87" s="28">
        <v>3</v>
      </c>
      <c r="G87" s="28">
        <v>3</v>
      </c>
      <c r="H87" s="28">
        <v>1</v>
      </c>
      <c r="I87" s="28">
        <v>1</v>
      </c>
      <c r="J87" s="28">
        <v>2</v>
      </c>
      <c r="K87" s="28">
        <v>1</v>
      </c>
      <c r="L87" s="28">
        <v>2</v>
      </c>
      <c r="M87" s="28">
        <v>4</v>
      </c>
      <c r="N87" s="28">
        <v>1</v>
      </c>
      <c r="O87" s="28">
        <v>2</v>
      </c>
      <c r="P87" s="28">
        <v>4</v>
      </c>
      <c r="Q87" s="28">
        <v>4</v>
      </c>
      <c r="R87" s="28">
        <v>2</v>
      </c>
      <c r="S87" s="28">
        <v>1</v>
      </c>
      <c r="T87" s="28">
        <v>5</v>
      </c>
      <c r="U87" s="28">
        <v>3</v>
      </c>
      <c r="V87" s="123">
        <f t="shared" si="8"/>
        <v>42</v>
      </c>
      <c r="X87" s="45">
        <f>71+V87</f>
        <v>113</v>
      </c>
    </row>
    <row r="88" spans="2:24">
      <c r="B88" s="143" t="s">
        <v>12</v>
      </c>
      <c r="C88" s="144" t="s">
        <v>13</v>
      </c>
      <c r="D88" s="28">
        <v>3</v>
      </c>
      <c r="E88" s="28">
        <v>2</v>
      </c>
      <c r="F88" s="28">
        <v>3</v>
      </c>
      <c r="G88" s="28">
        <v>0</v>
      </c>
      <c r="H88" s="28">
        <v>3</v>
      </c>
      <c r="I88" s="28">
        <v>2</v>
      </c>
      <c r="J88" s="28">
        <v>2</v>
      </c>
      <c r="K88" s="28">
        <v>1</v>
      </c>
      <c r="L88" s="28">
        <v>1</v>
      </c>
      <c r="M88" s="28">
        <v>1</v>
      </c>
      <c r="N88" s="28">
        <v>2</v>
      </c>
      <c r="O88" s="28">
        <v>2</v>
      </c>
      <c r="P88" s="28">
        <v>0</v>
      </c>
      <c r="Q88" s="28">
        <v>3</v>
      </c>
      <c r="R88" s="28">
        <v>0</v>
      </c>
      <c r="S88" s="28">
        <v>4</v>
      </c>
      <c r="T88" s="28">
        <v>5</v>
      </c>
      <c r="U88" s="28">
        <v>5</v>
      </c>
      <c r="V88" s="123">
        <f t="shared" si="8"/>
        <v>39</v>
      </c>
      <c r="X88" s="45">
        <f>72+V88</f>
        <v>111</v>
      </c>
    </row>
    <row r="89" spans="2:24">
      <c r="B89" s="143" t="s">
        <v>12</v>
      </c>
      <c r="C89" s="144" t="s">
        <v>13</v>
      </c>
      <c r="D89" s="28">
        <v>4</v>
      </c>
      <c r="E89" s="28">
        <v>1</v>
      </c>
      <c r="F89" s="28">
        <v>5</v>
      </c>
      <c r="G89" s="28">
        <v>5</v>
      </c>
      <c r="H89" s="28">
        <v>4</v>
      </c>
      <c r="I89" s="28">
        <v>1</v>
      </c>
      <c r="J89" s="28">
        <v>3</v>
      </c>
      <c r="K89" s="28">
        <v>2</v>
      </c>
      <c r="L89" s="28">
        <v>3</v>
      </c>
      <c r="M89" s="28">
        <v>2</v>
      </c>
      <c r="N89" s="28">
        <v>3</v>
      </c>
      <c r="O89" s="28">
        <v>4</v>
      </c>
      <c r="P89" s="28">
        <v>1</v>
      </c>
      <c r="Q89" s="28">
        <v>5</v>
      </c>
      <c r="R89" s="28">
        <v>2</v>
      </c>
      <c r="S89" s="28">
        <v>4</v>
      </c>
      <c r="T89" s="28">
        <v>3</v>
      </c>
      <c r="U89" s="28">
        <v>5</v>
      </c>
      <c r="V89" s="123">
        <f t="shared" si="8"/>
        <v>57</v>
      </c>
      <c r="X89" s="45">
        <f>72+V89</f>
        <v>129</v>
      </c>
    </row>
    <row r="90" spans="2:24">
      <c r="B90" s="143" t="s">
        <v>12</v>
      </c>
      <c r="C90" s="144" t="s">
        <v>13</v>
      </c>
      <c r="D90" s="28">
        <v>5</v>
      </c>
      <c r="E90" s="28">
        <v>1</v>
      </c>
      <c r="F90" s="28">
        <v>2</v>
      </c>
      <c r="G90" s="28">
        <v>0</v>
      </c>
      <c r="H90" s="28">
        <v>1</v>
      </c>
      <c r="I90" s="28">
        <v>1</v>
      </c>
      <c r="J90" s="28">
        <v>1</v>
      </c>
      <c r="K90" s="28">
        <v>5</v>
      </c>
      <c r="L90" s="28">
        <v>3</v>
      </c>
      <c r="M90" s="28">
        <v>2</v>
      </c>
      <c r="N90" s="28">
        <v>4</v>
      </c>
      <c r="O90" s="28">
        <v>2</v>
      </c>
      <c r="P90" s="28">
        <v>3</v>
      </c>
      <c r="Q90" s="28">
        <v>5</v>
      </c>
      <c r="R90" s="28">
        <v>5</v>
      </c>
      <c r="S90" s="28">
        <v>4</v>
      </c>
      <c r="T90" s="28">
        <v>1</v>
      </c>
      <c r="U90" s="28">
        <v>5</v>
      </c>
      <c r="V90" s="123">
        <f t="shared" si="8"/>
        <v>50</v>
      </c>
      <c r="X90" s="45">
        <f>72+V90</f>
        <v>122</v>
      </c>
    </row>
    <row r="91" spans="2:24">
      <c r="B91" s="143" t="s">
        <v>12</v>
      </c>
      <c r="C91" s="144" t="s">
        <v>13</v>
      </c>
      <c r="D91" s="28">
        <v>3</v>
      </c>
      <c r="E91" s="28">
        <v>4</v>
      </c>
      <c r="F91" s="28">
        <v>4</v>
      </c>
      <c r="G91" s="28">
        <v>2</v>
      </c>
      <c r="H91" s="28">
        <v>2</v>
      </c>
      <c r="I91" s="28">
        <v>4</v>
      </c>
      <c r="J91" s="28">
        <v>1</v>
      </c>
      <c r="K91" s="28">
        <v>3</v>
      </c>
      <c r="L91" s="28">
        <v>1</v>
      </c>
      <c r="M91" s="28">
        <v>5</v>
      </c>
      <c r="N91" s="28">
        <v>1</v>
      </c>
      <c r="O91" s="28">
        <v>1</v>
      </c>
      <c r="P91" s="28">
        <v>3</v>
      </c>
      <c r="Q91" s="28">
        <v>3</v>
      </c>
      <c r="R91" s="28">
        <v>1</v>
      </c>
      <c r="S91" s="28">
        <v>5</v>
      </c>
      <c r="T91" s="28">
        <v>5</v>
      </c>
      <c r="U91" s="28">
        <v>5</v>
      </c>
      <c r="V91" s="123">
        <f>SUM(D91:U91)</f>
        <v>53</v>
      </c>
      <c r="X91" s="45">
        <f>70+V91</f>
        <v>123</v>
      </c>
    </row>
    <row r="92" spans="2:24">
      <c r="B92" s="143" t="s">
        <v>12</v>
      </c>
      <c r="C92" s="144" t="s">
        <v>13</v>
      </c>
      <c r="D92" s="28">
        <v>2</v>
      </c>
      <c r="E92" s="28">
        <v>0</v>
      </c>
      <c r="F92" s="28">
        <v>3</v>
      </c>
      <c r="G92" s="28">
        <v>2</v>
      </c>
      <c r="H92" s="28">
        <v>2</v>
      </c>
      <c r="I92" s="28">
        <v>5</v>
      </c>
      <c r="J92" s="28">
        <v>0</v>
      </c>
      <c r="K92" s="28">
        <v>4</v>
      </c>
      <c r="L92" s="28">
        <v>3</v>
      </c>
      <c r="M92" s="28">
        <v>2</v>
      </c>
      <c r="N92" s="28">
        <v>2</v>
      </c>
      <c r="O92" s="28">
        <v>5</v>
      </c>
      <c r="P92" s="28">
        <v>1</v>
      </c>
      <c r="Q92" s="28">
        <v>1</v>
      </c>
      <c r="R92" s="28">
        <v>2</v>
      </c>
      <c r="S92" s="28">
        <v>1</v>
      </c>
      <c r="T92" s="28">
        <v>3</v>
      </c>
      <c r="U92" s="28">
        <v>1</v>
      </c>
      <c r="V92" s="123">
        <f>SUM(D92:U92)</f>
        <v>39</v>
      </c>
      <c r="X92" s="45">
        <f>70+V92</f>
        <v>109</v>
      </c>
    </row>
    <row r="93" spans="2:24">
      <c r="B93" s="143" t="s">
        <v>12</v>
      </c>
      <c r="C93" s="144" t="s">
        <v>13</v>
      </c>
      <c r="D93" s="28">
        <v>10</v>
      </c>
      <c r="E93" s="28">
        <v>10</v>
      </c>
      <c r="F93" s="28">
        <v>10</v>
      </c>
      <c r="G93" s="28">
        <v>10</v>
      </c>
      <c r="H93" s="28">
        <v>10</v>
      </c>
      <c r="I93" s="28">
        <v>10</v>
      </c>
      <c r="J93" s="28">
        <v>10</v>
      </c>
      <c r="K93" s="28">
        <v>10</v>
      </c>
      <c r="L93" s="28">
        <v>10</v>
      </c>
      <c r="M93" s="28">
        <v>10</v>
      </c>
      <c r="N93" s="28">
        <v>10</v>
      </c>
      <c r="O93" s="28">
        <v>10</v>
      </c>
      <c r="P93" s="28">
        <v>10</v>
      </c>
      <c r="Q93" s="28">
        <v>10</v>
      </c>
      <c r="R93" s="28">
        <v>10</v>
      </c>
      <c r="S93" s="28">
        <v>10</v>
      </c>
      <c r="T93" s="28">
        <v>10</v>
      </c>
      <c r="U93" s="28">
        <v>10</v>
      </c>
      <c r="V93" s="123">
        <f t="shared" si="8"/>
        <v>180</v>
      </c>
      <c r="X93" s="45">
        <f>72+V93</f>
        <v>252</v>
      </c>
    </row>
    <row r="94" spans="2:24">
      <c r="B94" s="143" t="s">
        <v>12</v>
      </c>
      <c r="C94" s="144" t="s">
        <v>13</v>
      </c>
      <c r="D94" s="28">
        <v>4</v>
      </c>
      <c r="E94" s="28">
        <v>3</v>
      </c>
      <c r="F94" s="28">
        <v>3</v>
      </c>
      <c r="G94" s="28">
        <v>4</v>
      </c>
      <c r="H94" s="28">
        <v>0</v>
      </c>
      <c r="I94" s="28">
        <v>2</v>
      </c>
      <c r="J94" s="28">
        <v>2</v>
      </c>
      <c r="K94" s="28">
        <v>3</v>
      </c>
      <c r="L94" s="28">
        <v>2</v>
      </c>
      <c r="M94" s="28">
        <v>3</v>
      </c>
      <c r="N94" s="28">
        <v>5</v>
      </c>
      <c r="O94" s="28">
        <v>2</v>
      </c>
      <c r="P94" s="28">
        <v>2</v>
      </c>
      <c r="Q94" s="28">
        <v>5</v>
      </c>
      <c r="R94" s="28">
        <v>4</v>
      </c>
      <c r="S94" s="28">
        <v>5</v>
      </c>
      <c r="T94" s="28">
        <v>0</v>
      </c>
      <c r="U94" s="28">
        <v>5</v>
      </c>
      <c r="V94" s="123">
        <f t="shared" si="8"/>
        <v>54</v>
      </c>
      <c r="X94" s="45">
        <f>71+V94</f>
        <v>125</v>
      </c>
    </row>
    <row r="95" spans="2:24">
      <c r="B95" s="143" t="s">
        <v>12</v>
      </c>
      <c r="C95" s="144" t="s">
        <v>13</v>
      </c>
      <c r="D95" s="28">
        <v>2</v>
      </c>
      <c r="E95" s="28">
        <v>5</v>
      </c>
      <c r="F95" s="28">
        <v>4</v>
      </c>
      <c r="G95" s="28">
        <v>3</v>
      </c>
      <c r="H95" s="28">
        <v>4</v>
      </c>
      <c r="I95" s="28">
        <v>1</v>
      </c>
      <c r="J95" s="28">
        <v>1</v>
      </c>
      <c r="K95" s="28">
        <v>1</v>
      </c>
      <c r="L95" s="28">
        <v>4</v>
      </c>
      <c r="M95" s="28">
        <v>2</v>
      </c>
      <c r="N95" s="28">
        <v>2</v>
      </c>
      <c r="O95" s="28">
        <v>2</v>
      </c>
      <c r="P95" s="28">
        <v>2</v>
      </c>
      <c r="Q95" s="28">
        <v>2</v>
      </c>
      <c r="R95" s="28">
        <v>5</v>
      </c>
      <c r="S95" s="28">
        <v>4</v>
      </c>
      <c r="T95" s="28">
        <v>1</v>
      </c>
      <c r="U95" s="28">
        <v>1</v>
      </c>
      <c r="V95" s="124">
        <f t="shared" si="8"/>
        <v>46</v>
      </c>
      <c r="X95" s="46">
        <f>74+V95</f>
        <v>120</v>
      </c>
    </row>
    <row r="97" spans="2:24">
      <c r="B97" s="12" t="s">
        <v>21</v>
      </c>
      <c r="C97" s="13" t="s">
        <v>22</v>
      </c>
      <c r="D97" s="34" t="s">
        <v>23</v>
      </c>
      <c r="E97" s="34" t="s">
        <v>24</v>
      </c>
      <c r="F97" s="34" t="s">
        <v>25</v>
      </c>
      <c r="G97" s="34" t="s">
        <v>26</v>
      </c>
      <c r="H97" s="34" t="s">
        <v>27</v>
      </c>
      <c r="I97" s="34" t="s">
        <v>28</v>
      </c>
      <c r="J97" s="34" t="s">
        <v>29</v>
      </c>
      <c r="K97" s="34" t="s">
        <v>30</v>
      </c>
      <c r="L97" s="34" t="s">
        <v>31</v>
      </c>
      <c r="M97" s="34" t="s">
        <v>81</v>
      </c>
      <c r="N97" s="34" t="s">
        <v>82</v>
      </c>
      <c r="O97" s="34" t="s">
        <v>83</v>
      </c>
      <c r="P97" s="34" t="s">
        <v>84</v>
      </c>
      <c r="Q97" s="34" t="s">
        <v>85</v>
      </c>
      <c r="R97" s="34" t="s">
        <v>86</v>
      </c>
      <c r="S97" s="34" t="s">
        <v>87</v>
      </c>
      <c r="T97" s="34" t="s">
        <v>88</v>
      </c>
      <c r="U97" s="34" t="s">
        <v>89</v>
      </c>
      <c r="V97" s="122" t="s">
        <v>40</v>
      </c>
      <c r="X97" s="44" t="s">
        <v>93</v>
      </c>
    </row>
    <row r="98" spans="2:24">
      <c r="B98" s="143" t="s">
        <v>0</v>
      </c>
      <c r="C98" s="144" t="s">
        <v>1</v>
      </c>
      <c r="D98" s="28">
        <v>1</v>
      </c>
      <c r="E98" s="28">
        <v>0</v>
      </c>
      <c r="F98" s="28">
        <v>0</v>
      </c>
      <c r="G98" s="28">
        <v>2</v>
      </c>
      <c r="H98" s="28">
        <v>-1</v>
      </c>
      <c r="I98" s="28">
        <v>0</v>
      </c>
      <c r="J98" s="28">
        <v>2</v>
      </c>
      <c r="K98" s="28">
        <v>1</v>
      </c>
      <c r="L98" s="28">
        <v>-1</v>
      </c>
      <c r="M98" s="28">
        <v>1</v>
      </c>
      <c r="N98" s="28">
        <v>1</v>
      </c>
      <c r="O98" s="28">
        <v>1</v>
      </c>
      <c r="P98" s="28">
        <v>0</v>
      </c>
      <c r="Q98" s="28">
        <v>1</v>
      </c>
      <c r="R98" s="28">
        <v>4</v>
      </c>
      <c r="S98" s="28">
        <v>0</v>
      </c>
      <c r="T98" s="28">
        <v>1</v>
      </c>
      <c r="U98" s="28">
        <v>1</v>
      </c>
      <c r="V98" s="123">
        <f t="shared" ref="V98:V107" si="9">SUM(D98:U98)</f>
        <v>14</v>
      </c>
      <c r="X98" s="45">
        <f>71+V98</f>
        <v>85</v>
      </c>
    </row>
    <row r="99" spans="2:24">
      <c r="B99" s="143" t="s">
        <v>0</v>
      </c>
      <c r="C99" s="144" t="s">
        <v>1</v>
      </c>
      <c r="D99" s="28">
        <v>1</v>
      </c>
      <c r="E99" s="28">
        <v>1</v>
      </c>
      <c r="F99" s="28">
        <v>1</v>
      </c>
      <c r="G99" s="28">
        <v>0</v>
      </c>
      <c r="H99" s="28">
        <v>2</v>
      </c>
      <c r="I99" s="28">
        <v>1</v>
      </c>
      <c r="J99" s="28">
        <v>1</v>
      </c>
      <c r="K99" s="28">
        <v>0</v>
      </c>
      <c r="L99" s="28">
        <v>4</v>
      </c>
      <c r="M99" s="28">
        <v>1</v>
      </c>
      <c r="N99" s="28">
        <v>1</v>
      </c>
      <c r="O99" s="28">
        <v>3</v>
      </c>
      <c r="P99" s="28">
        <v>1</v>
      </c>
      <c r="Q99" s="28">
        <v>2</v>
      </c>
      <c r="R99" s="28">
        <v>1</v>
      </c>
      <c r="S99" s="28">
        <v>3</v>
      </c>
      <c r="T99" s="28">
        <v>1</v>
      </c>
      <c r="U99" s="28">
        <v>1</v>
      </c>
      <c r="V99" s="123">
        <f t="shared" si="9"/>
        <v>25</v>
      </c>
      <c r="X99" s="45">
        <f>72+V99</f>
        <v>97</v>
      </c>
    </row>
    <row r="100" spans="2:24">
      <c r="B100" s="143" t="s">
        <v>0</v>
      </c>
      <c r="C100" s="144" t="s">
        <v>1</v>
      </c>
      <c r="D100" s="28">
        <v>2</v>
      </c>
      <c r="E100" s="28">
        <v>0</v>
      </c>
      <c r="F100" s="28">
        <v>2</v>
      </c>
      <c r="G100" s="28">
        <v>1</v>
      </c>
      <c r="H100" s="28">
        <v>2</v>
      </c>
      <c r="I100" s="28">
        <v>1</v>
      </c>
      <c r="J100" s="28">
        <v>0</v>
      </c>
      <c r="K100" s="28">
        <v>1</v>
      </c>
      <c r="L100" s="28">
        <v>1</v>
      </c>
      <c r="M100" s="28">
        <v>1</v>
      </c>
      <c r="N100" s="28">
        <v>1</v>
      </c>
      <c r="O100" s="28">
        <v>1</v>
      </c>
      <c r="P100" s="28">
        <v>3</v>
      </c>
      <c r="Q100" s="28">
        <v>1</v>
      </c>
      <c r="R100" s="28">
        <v>3</v>
      </c>
      <c r="S100" s="28">
        <v>2</v>
      </c>
      <c r="T100" s="28">
        <v>2</v>
      </c>
      <c r="U100" s="28">
        <v>1</v>
      </c>
      <c r="V100" s="123">
        <f t="shared" si="9"/>
        <v>25</v>
      </c>
      <c r="X100" s="45">
        <f>72+V100</f>
        <v>97</v>
      </c>
    </row>
    <row r="101" spans="2:24">
      <c r="B101" s="143" t="s">
        <v>0</v>
      </c>
      <c r="C101" s="144" t="s">
        <v>1</v>
      </c>
      <c r="D101" s="28">
        <v>0</v>
      </c>
      <c r="E101" s="28">
        <v>0</v>
      </c>
      <c r="F101" s="28">
        <v>1</v>
      </c>
      <c r="G101" s="28">
        <v>1</v>
      </c>
      <c r="H101" s="28">
        <v>1</v>
      </c>
      <c r="I101" s="28">
        <v>1</v>
      </c>
      <c r="J101" s="28">
        <v>0</v>
      </c>
      <c r="K101" s="28">
        <v>1</v>
      </c>
      <c r="L101" s="28">
        <v>1</v>
      </c>
      <c r="M101" s="28">
        <v>1</v>
      </c>
      <c r="N101" s="28">
        <v>1</v>
      </c>
      <c r="O101" s="28">
        <v>1</v>
      </c>
      <c r="P101" s="28">
        <v>1</v>
      </c>
      <c r="Q101" s="28">
        <v>1</v>
      </c>
      <c r="R101" s="28">
        <v>1</v>
      </c>
      <c r="S101" s="28">
        <v>2</v>
      </c>
      <c r="T101" s="28">
        <v>0</v>
      </c>
      <c r="U101" s="28">
        <v>2</v>
      </c>
      <c r="V101" s="123">
        <f t="shared" ref="V101" si="10">SUM(D101:U101)</f>
        <v>16</v>
      </c>
      <c r="X101" s="45">
        <f>72+V101</f>
        <v>88</v>
      </c>
    </row>
    <row r="102" spans="2:24">
      <c r="B102" s="143" t="s">
        <v>0</v>
      </c>
      <c r="C102" s="144" t="s">
        <v>1</v>
      </c>
      <c r="D102" s="28">
        <v>1</v>
      </c>
      <c r="E102" s="28">
        <v>1</v>
      </c>
      <c r="F102" s="28">
        <v>1</v>
      </c>
      <c r="G102" s="28">
        <v>0</v>
      </c>
      <c r="H102" s="28">
        <v>1</v>
      </c>
      <c r="I102" s="28">
        <v>0</v>
      </c>
      <c r="J102" s="28">
        <v>0</v>
      </c>
      <c r="K102" s="28">
        <v>5</v>
      </c>
      <c r="L102" s="28">
        <v>3</v>
      </c>
      <c r="M102" s="28">
        <v>2</v>
      </c>
      <c r="N102" s="28">
        <v>3</v>
      </c>
      <c r="O102" s="28">
        <v>0</v>
      </c>
      <c r="P102" s="28">
        <v>4</v>
      </c>
      <c r="Q102" s="28">
        <v>2</v>
      </c>
      <c r="R102" s="28">
        <v>2</v>
      </c>
      <c r="S102" s="28">
        <v>1</v>
      </c>
      <c r="T102" s="28">
        <v>2</v>
      </c>
      <c r="U102" s="28">
        <v>1</v>
      </c>
      <c r="V102" s="123">
        <f t="shared" si="9"/>
        <v>29</v>
      </c>
      <c r="X102" s="45">
        <f>71+V102</f>
        <v>100</v>
      </c>
    </row>
    <row r="103" spans="2:24">
      <c r="B103" s="143" t="s">
        <v>0</v>
      </c>
      <c r="C103" s="144" t="s">
        <v>1</v>
      </c>
      <c r="D103" s="28">
        <v>1</v>
      </c>
      <c r="E103" s="28">
        <v>0</v>
      </c>
      <c r="F103" s="28">
        <v>1</v>
      </c>
      <c r="G103" s="28">
        <v>1</v>
      </c>
      <c r="H103" s="28">
        <v>2</v>
      </c>
      <c r="I103" s="28">
        <v>3</v>
      </c>
      <c r="J103" s="28">
        <v>1</v>
      </c>
      <c r="K103" s="28">
        <v>1</v>
      </c>
      <c r="L103" s="28">
        <v>1</v>
      </c>
      <c r="M103" s="28">
        <v>1</v>
      </c>
      <c r="N103" s="28">
        <v>1</v>
      </c>
      <c r="O103" s="28">
        <v>5</v>
      </c>
      <c r="P103" s="28">
        <v>2</v>
      </c>
      <c r="Q103" s="28">
        <v>3</v>
      </c>
      <c r="R103" s="28">
        <v>2</v>
      </c>
      <c r="S103" s="28">
        <v>2</v>
      </c>
      <c r="T103" s="28">
        <v>1</v>
      </c>
      <c r="U103" s="28">
        <v>1</v>
      </c>
      <c r="V103" s="123">
        <f t="shared" si="9"/>
        <v>29</v>
      </c>
      <c r="X103" s="45">
        <f>70+V103</f>
        <v>99</v>
      </c>
    </row>
    <row r="104" spans="2:24">
      <c r="B104" s="143" t="s">
        <v>0</v>
      </c>
      <c r="C104" s="144" t="s">
        <v>1</v>
      </c>
      <c r="D104" s="28">
        <v>1</v>
      </c>
      <c r="E104" s="28">
        <v>3</v>
      </c>
      <c r="F104" s="28">
        <v>1</v>
      </c>
      <c r="G104" s="28">
        <v>2</v>
      </c>
      <c r="H104" s="28">
        <v>0</v>
      </c>
      <c r="I104" s="28">
        <v>1</v>
      </c>
      <c r="J104" s="28">
        <v>0</v>
      </c>
      <c r="K104" s="28">
        <v>1</v>
      </c>
      <c r="L104" s="28">
        <v>1</v>
      </c>
      <c r="M104" s="28">
        <v>2</v>
      </c>
      <c r="N104" s="28">
        <v>2</v>
      </c>
      <c r="O104" s="28">
        <v>2</v>
      </c>
      <c r="P104" s="28">
        <v>1</v>
      </c>
      <c r="Q104" s="28">
        <v>0</v>
      </c>
      <c r="R104" s="28">
        <v>0</v>
      </c>
      <c r="S104" s="28">
        <v>2</v>
      </c>
      <c r="T104" s="28">
        <v>4</v>
      </c>
      <c r="U104" s="28">
        <v>3</v>
      </c>
      <c r="V104" s="123">
        <f>SUM(D104:U104)</f>
        <v>26</v>
      </c>
      <c r="X104" s="45">
        <f>72+V104</f>
        <v>98</v>
      </c>
    </row>
    <row r="105" spans="2:24">
      <c r="B105" s="143" t="s">
        <v>0</v>
      </c>
      <c r="C105" s="144" t="s">
        <v>1</v>
      </c>
      <c r="D105" s="28">
        <v>-1</v>
      </c>
      <c r="E105" s="28">
        <v>0</v>
      </c>
      <c r="F105" s="28">
        <v>2</v>
      </c>
      <c r="G105" s="28">
        <v>1</v>
      </c>
      <c r="H105" s="28">
        <v>3</v>
      </c>
      <c r="I105" s="28">
        <v>0</v>
      </c>
      <c r="J105" s="28">
        <v>1</v>
      </c>
      <c r="K105" s="28">
        <v>1</v>
      </c>
      <c r="L105" s="28">
        <v>0</v>
      </c>
      <c r="M105" s="28">
        <v>3</v>
      </c>
      <c r="N105" s="28">
        <v>2</v>
      </c>
      <c r="O105" s="28">
        <v>1</v>
      </c>
      <c r="P105" s="28">
        <v>0</v>
      </c>
      <c r="Q105" s="28">
        <v>2</v>
      </c>
      <c r="R105" s="28">
        <v>2</v>
      </c>
      <c r="S105" s="28">
        <v>0</v>
      </c>
      <c r="T105" s="28">
        <v>1</v>
      </c>
      <c r="U105" s="28">
        <v>0</v>
      </c>
      <c r="V105" s="123">
        <f t="shared" si="9"/>
        <v>18</v>
      </c>
      <c r="X105" s="45">
        <f>72+V105</f>
        <v>90</v>
      </c>
    </row>
    <row r="106" spans="2:24">
      <c r="B106" s="143" t="s">
        <v>0</v>
      </c>
      <c r="C106" s="144" t="s">
        <v>1</v>
      </c>
      <c r="D106" s="28">
        <v>1</v>
      </c>
      <c r="E106" s="28">
        <v>1</v>
      </c>
      <c r="F106" s="28">
        <v>2</v>
      </c>
      <c r="G106" s="28">
        <v>2</v>
      </c>
      <c r="H106" s="28">
        <v>1</v>
      </c>
      <c r="I106" s="28">
        <v>1</v>
      </c>
      <c r="J106" s="28">
        <v>1</v>
      </c>
      <c r="K106" s="28">
        <v>0</v>
      </c>
      <c r="L106" s="28">
        <v>1</v>
      </c>
      <c r="M106" s="28">
        <v>0</v>
      </c>
      <c r="N106" s="28">
        <v>1</v>
      </c>
      <c r="O106" s="28">
        <v>1</v>
      </c>
      <c r="P106" s="28">
        <v>0</v>
      </c>
      <c r="Q106" s="28">
        <v>-1</v>
      </c>
      <c r="R106" s="28">
        <v>0</v>
      </c>
      <c r="S106" s="28">
        <v>2</v>
      </c>
      <c r="T106" s="28">
        <v>2</v>
      </c>
      <c r="U106" s="28">
        <v>3</v>
      </c>
      <c r="V106" s="123">
        <f t="shared" si="9"/>
        <v>18</v>
      </c>
      <c r="X106" s="45">
        <f>71+V106</f>
        <v>89</v>
      </c>
    </row>
    <row r="107" spans="2:24">
      <c r="B107" s="143" t="s">
        <v>0</v>
      </c>
      <c r="C107" s="144" t="s">
        <v>1</v>
      </c>
      <c r="D107" s="28">
        <v>1</v>
      </c>
      <c r="E107" s="28">
        <v>1</v>
      </c>
      <c r="F107" s="28">
        <v>2</v>
      </c>
      <c r="G107" s="28">
        <v>0</v>
      </c>
      <c r="H107" s="28">
        <v>2</v>
      </c>
      <c r="I107" s="28">
        <v>1</v>
      </c>
      <c r="J107" s="28">
        <v>0</v>
      </c>
      <c r="K107" s="28">
        <v>1</v>
      </c>
      <c r="L107" s="28">
        <v>0</v>
      </c>
      <c r="M107" s="28">
        <v>2</v>
      </c>
      <c r="N107" s="28">
        <v>1</v>
      </c>
      <c r="O107" s="28">
        <v>0</v>
      </c>
      <c r="P107" s="28">
        <v>1</v>
      </c>
      <c r="Q107" s="28">
        <v>3</v>
      </c>
      <c r="R107" s="28">
        <v>0</v>
      </c>
      <c r="S107" s="28">
        <v>2</v>
      </c>
      <c r="T107" s="28">
        <v>3</v>
      </c>
      <c r="U107" s="28">
        <v>1</v>
      </c>
      <c r="V107" s="124">
        <f t="shared" si="9"/>
        <v>21</v>
      </c>
      <c r="X107" s="46">
        <f>74+V107</f>
        <v>95</v>
      </c>
    </row>
    <row r="109" spans="2:24">
      <c r="B109" s="12" t="s">
        <v>21</v>
      </c>
      <c r="C109" s="13" t="s">
        <v>22</v>
      </c>
      <c r="D109" s="34" t="s">
        <v>23</v>
      </c>
      <c r="E109" s="34" t="s">
        <v>24</v>
      </c>
      <c r="F109" s="34" t="s">
        <v>25</v>
      </c>
      <c r="G109" s="34" t="s">
        <v>26</v>
      </c>
      <c r="H109" s="34" t="s">
        <v>27</v>
      </c>
      <c r="I109" s="34" t="s">
        <v>28</v>
      </c>
      <c r="J109" s="34" t="s">
        <v>29</v>
      </c>
      <c r="K109" s="34" t="s">
        <v>30</v>
      </c>
      <c r="L109" s="34" t="s">
        <v>31</v>
      </c>
      <c r="M109" s="34" t="s">
        <v>81</v>
      </c>
      <c r="N109" s="34" t="s">
        <v>82</v>
      </c>
      <c r="O109" s="34" t="s">
        <v>83</v>
      </c>
      <c r="P109" s="34" t="s">
        <v>84</v>
      </c>
      <c r="Q109" s="34" t="s">
        <v>85</v>
      </c>
      <c r="R109" s="34" t="s">
        <v>86</v>
      </c>
      <c r="S109" s="34" t="s">
        <v>87</v>
      </c>
      <c r="T109" s="34" t="s">
        <v>88</v>
      </c>
      <c r="U109" s="34" t="s">
        <v>89</v>
      </c>
      <c r="V109" s="122" t="s">
        <v>40</v>
      </c>
      <c r="X109" s="44" t="s">
        <v>93</v>
      </c>
    </row>
    <row r="110" spans="2:24">
      <c r="B110" s="143" t="s">
        <v>4</v>
      </c>
      <c r="C110" s="144" t="s">
        <v>5</v>
      </c>
      <c r="D110" s="28">
        <v>2</v>
      </c>
      <c r="E110" s="28">
        <v>3</v>
      </c>
      <c r="F110" s="28">
        <v>2</v>
      </c>
      <c r="G110" s="28">
        <v>0</v>
      </c>
      <c r="H110" s="28">
        <v>2</v>
      </c>
      <c r="I110" s="28">
        <v>2</v>
      </c>
      <c r="J110" s="28">
        <v>1</v>
      </c>
      <c r="K110" s="28">
        <v>4</v>
      </c>
      <c r="L110" s="28">
        <v>2</v>
      </c>
      <c r="M110" s="28">
        <v>0</v>
      </c>
      <c r="N110" s="28">
        <v>0</v>
      </c>
      <c r="O110" s="28">
        <v>1</v>
      </c>
      <c r="P110" s="28">
        <v>0</v>
      </c>
      <c r="Q110" s="28">
        <v>5</v>
      </c>
      <c r="R110" s="28">
        <v>0</v>
      </c>
      <c r="S110" s="28">
        <v>2</v>
      </c>
      <c r="T110" s="28">
        <v>1</v>
      </c>
      <c r="U110" s="28">
        <v>1</v>
      </c>
      <c r="V110" s="123">
        <f t="shared" ref="V110:V119" si="11">SUM(D110:U110)</f>
        <v>28</v>
      </c>
      <c r="X110" s="45">
        <f>71+V110</f>
        <v>99</v>
      </c>
    </row>
    <row r="111" spans="2:24">
      <c r="B111" s="143" t="s">
        <v>4</v>
      </c>
      <c r="C111" s="144" t="s">
        <v>5</v>
      </c>
      <c r="D111" s="28">
        <v>10</v>
      </c>
      <c r="E111" s="28">
        <v>10</v>
      </c>
      <c r="F111" s="28">
        <v>10</v>
      </c>
      <c r="G111" s="28">
        <v>10</v>
      </c>
      <c r="H111" s="28">
        <v>10</v>
      </c>
      <c r="I111" s="28">
        <v>10</v>
      </c>
      <c r="J111" s="28">
        <v>10</v>
      </c>
      <c r="K111" s="28">
        <v>10</v>
      </c>
      <c r="L111" s="28">
        <v>10</v>
      </c>
      <c r="M111" s="28">
        <v>10</v>
      </c>
      <c r="N111" s="28">
        <v>10</v>
      </c>
      <c r="O111" s="28">
        <v>10</v>
      </c>
      <c r="P111" s="28">
        <v>10</v>
      </c>
      <c r="Q111" s="28">
        <v>10</v>
      </c>
      <c r="R111" s="28">
        <v>10</v>
      </c>
      <c r="S111" s="28">
        <v>10</v>
      </c>
      <c r="T111" s="28">
        <v>10</v>
      </c>
      <c r="U111" s="28">
        <v>10</v>
      </c>
      <c r="V111" s="123">
        <f t="shared" si="11"/>
        <v>180</v>
      </c>
      <c r="X111" s="45">
        <f>72+V111</f>
        <v>252</v>
      </c>
    </row>
    <row r="112" spans="2:24">
      <c r="B112" s="143" t="s">
        <v>4</v>
      </c>
      <c r="C112" s="144" t="s">
        <v>5</v>
      </c>
      <c r="D112" s="28">
        <v>2</v>
      </c>
      <c r="E112" s="28">
        <v>1</v>
      </c>
      <c r="F112" s="28">
        <v>3</v>
      </c>
      <c r="G112" s="28">
        <v>1</v>
      </c>
      <c r="H112" s="28">
        <v>3</v>
      </c>
      <c r="I112" s="28">
        <v>4</v>
      </c>
      <c r="J112" s="28">
        <v>2</v>
      </c>
      <c r="K112" s="28">
        <v>2</v>
      </c>
      <c r="L112" s="28">
        <v>1</v>
      </c>
      <c r="M112" s="28">
        <v>1</v>
      </c>
      <c r="N112" s="28">
        <v>1</v>
      </c>
      <c r="O112" s="28">
        <v>2</v>
      </c>
      <c r="P112" s="28">
        <v>1</v>
      </c>
      <c r="Q112" s="28">
        <v>1</v>
      </c>
      <c r="R112" s="28">
        <v>0</v>
      </c>
      <c r="S112" s="28">
        <v>3</v>
      </c>
      <c r="T112" s="28">
        <v>1</v>
      </c>
      <c r="U112" s="28">
        <v>2</v>
      </c>
      <c r="V112" s="123">
        <f t="shared" si="11"/>
        <v>31</v>
      </c>
      <c r="X112" s="45">
        <f>72+V112</f>
        <v>103</v>
      </c>
    </row>
    <row r="113" spans="2:24">
      <c r="B113" s="143" t="s">
        <v>4</v>
      </c>
      <c r="C113" s="144" t="s">
        <v>5</v>
      </c>
      <c r="D113" s="28">
        <v>2</v>
      </c>
      <c r="E113" s="28">
        <v>1</v>
      </c>
      <c r="F113" s="28">
        <v>2</v>
      </c>
      <c r="G113" s="28">
        <v>0</v>
      </c>
      <c r="H113" s="28">
        <v>2</v>
      </c>
      <c r="I113" s="28">
        <v>1</v>
      </c>
      <c r="J113" s="28">
        <v>0</v>
      </c>
      <c r="K113" s="28">
        <v>0</v>
      </c>
      <c r="L113" s="28">
        <v>1</v>
      </c>
      <c r="M113" s="28">
        <v>2</v>
      </c>
      <c r="N113" s="28">
        <v>1</v>
      </c>
      <c r="O113" s="28">
        <v>4</v>
      </c>
      <c r="P113" s="28">
        <v>4</v>
      </c>
      <c r="Q113" s="28">
        <v>1</v>
      </c>
      <c r="R113" s="28">
        <v>3</v>
      </c>
      <c r="S113" s="28">
        <v>2</v>
      </c>
      <c r="T113" s="28">
        <v>2</v>
      </c>
      <c r="U113" s="28">
        <v>2</v>
      </c>
      <c r="V113" s="123">
        <f t="shared" si="11"/>
        <v>30</v>
      </c>
      <c r="X113" s="45">
        <f>72+V113</f>
        <v>102</v>
      </c>
    </row>
    <row r="114" spans="2:24">
      <c r="B114" s="143" t="s">
        <v>4</v>
      </c>
      <c r="C114" s="144" t="s">
        <v>5</v>
      </c>
      <c r="D114" s="28">
        <v>1</v>
      </c>
      <c r="E114" s="28">
        <v>2</v>
      </c>
      <c r="F114" s="28">
        <v>1</v>
      </c>
      <c r="G114" s="28">
        <v>1</v>
      </c>
      <c r="H114" s="28">
        <v>1</v>
      </c>
      <c r="I114" s="28">
        <v>1</v>
      </c>
      <c r="J114" s="28">
        <v>2</v>
      </c>
      <c r="K114" s="28">
        <v>2</v>
      </c>
      <c r="L114" s="28">
        <v>5</v>
      </c>
      <c r="M114" s="28">
        <v>3</v>
      </c>
      <c r="N114" s="28">
        <v>1</v>
      </c>
      <c r="O114" s="28">
        <v>2</v>
      </c>
      <c r="P114" s="28">
        <v>0</v>
      </c>
      <c r="Q114" s="28">
        <v>0</v>
      </c>
      <c r="R114" s="28">
        <v>1</v>
      </c>
      <c r="S114" s="28">
        <v>2</v>
      </c>
      <c r="T114" s="28">
        <v>1</v>
      </c>
      <c r="U114" s="28">
        <v>2</v>
      </c>
      <c r="V114" s="123">
        <f t="shared" si="11"/>
        <v>28</v>
      </c>
      <c r="X114" s="45">
        <f>71+V114</f>
        <v>99</v>
      </c>
    </row>
    <row r="115" spans="2:24">
      <c r="B115" s="143" t="s">
        <v>4</v>
      </c>
      <c r="C115" s="144" t="s">
        <v>5</v>
      </c>
      <c r="D115" s="28">
        <v>2</v>
      </c>
      <c r="E115" s="28">
        <v>1</v>
      </c>
      <c r="F115" s="28">
        <v>3</v>
      </c>
      <c r="G115" s="28">
        <v>1</v>
      </c>
      <c r="H115" s="28">
        <v>1</v>
      </c>
      <c r="I115" s="28">
        <v>3</v>
      </c>
      <c r="J115" s="28">
        <v>0</v>
      </c>
      <c r="K115" s="28">
        <v>1</v>
      </c>
      <c r="L115" s="28">
        <v>2</v>
      </c>
      <c r="M115" s="28">
        <v>2</v>
      </c>
      <c r="N115" s="28">
        <v>1</v>
      </c>
      <c r="O115" s="28">
        <v>3</v>
      </c>
      <c r="P115" s="28">
        <v>0</v>
      </c>
      <c r="Q115" s="28">
        <v>2</v>
      </c>
      <c r="R115" s="28">
        <v>2</v>
      </c>
      <c r="S115" s="28">
        <v>5</v>
      </c>
      <c r="T115" s="28">
        <v>5</v>
      </c>
      <c r="U115" s="28">
        <v>4</v>
      </c>
      <c r="V115" s="123">
        <f t="shared" ref="V115" si="12">SUM(D115:U115)</f>
        <v>38</v>
      </c>
      <c r="X115" s="45">
        <f>70+V115</f>
        <v>108</v>
      </c>
    </row>
    <row r="116" spans="2:24">
      <c r="B116" s="143" t="s">
        <v>4</v>
      </c>
      <c r="C116" s="144" t="s">
        <v>5</v>
      </c>
      <c r="D116" s="28">
        <v>1</v>
      </c>
      <c r="E116" s="28">
        <v>2</v>
      </c>
      <c r="F116" s="28">
        <v>5</v>
      </c>
      <c r="G116" s="28">
        <v>2</v>
      </c>
      <c r="H116" s="28">
        <v>0</v>
      </c>
      <c r="I116" s="28">
        <v>1</v>
      </c>
      <c r="J116" s="28">
        <v>1</v>
      </c>
      <c r="K116" s="28">
        <v>2</v>
      </c>
      <c r="L116" s="28">
        <v>2</v>
      </c>
      <c r="M116" s="28">
        <v>1</v>
      </c>
      <c r="N116" s="28">
        <v>2</v>
      </c>
      <c r="O116" s="28">
        <v>0</v>
      </c>
      <c r="P116" s="28">
        <v>0</v>
      </c>
      <c r="Q116" s="28">
        <v>1</v>
      </c>
      <c r="R116" s="28">
        <v>1</v>
      </c>
      <c r="S116" s="28">
        <v>2</v>
      </c>
      <c r="T116" s="28">
        <v>2</v>
      </c>
      <c r="U116" s="28">
        <v>2</v>
      </c>
      <c r="V116" s="123">
        <f>SUM(D116:U116)</f>
        <v>27</v>
      </c>
      <c r="X116" s="45">
        <f>72+V116</f>
        <v>99</v>
      </c>
    </row>
    <row r="117" spans="2:24">
      <c r="B117" s="143" t="s">
        <v>4</v>
      </c>
      <c r="C117" s="144" t="s">
        <v>5</v>
      </c>
      <c r="D117" s="28">
        <v>1</v>
      </c>
      <c r="E117" s="28">
        <v>0</v>
      </c>
      <c r="F117" s="28">
        <v>1</v>
      </c>
      <c r="G117" s="28">
        <v>1</v>
      </c>
      <c r="H117" s="28">
        <v>1</v>
      </c>
      <c r="I117" s="28">
        <v>0</v>
      </c>
      <c r="J117" s="28">
        <v>1</v>
      </c>
      <c r="K117" s="28">
        <v>2</v>
      </c>
      <c r="L117" s="28">
        <v>1</v>
      </c>
      <c r="M117" s="28">
        <v>1</v>
      </c>
      <c r="N117" s="28">
        <v>2</v>
      </c>
      <c r="O117" s="28">
        <v>1</v>
      </c>
      <c r="P117" s="28">
        <v>1</v>
      </c>
      <c r="Q117" s="28">
        <v>1</v>
      </c>
      <c r="R117" s="28">
        <v>4</v>
      </c>
      <c r="S117" s="28">
        <v>0</v>
      </c>
      <c r="T117" s="28">
        <v>2</v>
      </c>
      <c r="U117" s="28">
        <v>2</v>
      </c>
      <c r="V117" s="123">
        <f t="shared" si="11"/>
        <v>22</v>
      </c>
      <c r="X117" s="45">
        <f>72+V117</f>
        <v>94</v>
      </c>
    </row>
    <row r="118" spans="2:24">
      <c r="B118" s="143" t="s">
        <v>4</v>
      </c>
      <c r="C118" s="144" t="s">
        <v>5</v>
      </c>
      <c r="D118" s="28">
        <v>3</v>
      </c>
      <c r="E118" s="28">
        <v>3</v>
      </c>
      <c r="F118" s="28">
        <v>2</v>
      </c>
      <c r="G118" s="28">
        <v>5</v>
      </c>
      <c r="H118" s="28">
        <v>1</v>
      </c>
      <c r="I118" s="28">
        <v>1</v>
      </c>
      <c r="J118" s="28">
        <v>1</v>
      </c>
      <c r="K118" s="28">
        <v>3</v>
      </c>
      <c r="L118" s="28">
        <v>2</v>
      </c>
      <c r="M118" s="28">
        <v>0</v>
      </c>
      <c r="N118" s="28">
        <v>2</v>
      </c>
      <c r="O118" s="28">
        <v>2</v>
      </c>
      <c r="P118" s="28">
        <v>3</v>
      </c>
      <c r="Q118" s="28">
        <v>2</v>
      </c>
      <c r="R118" s="28">
        <v>1</v>
      </c>
      <c r="S118" s="28">
        <v>2</v>
      </c>
      <c r="T118" s="28">
        <v>2</v>
      </c>
      <c r="U118" s="28">
        <v>2</v>
      </c>
      <c r="V118" s="123">
        <f t="shared" si="11"/>
        <v>37</v>
      </c>
      <c r="X118" s="45">
        <f>71+V118</f>
        <v>108</v>
      </c>
    </row>
    <row r="119" spans="2:24">
      <c r="B119" s="143" t="s">
        <v>4</v>
      </c>
      <c r="C119" s="144" t="s">
        <v>5</v>
      </c>
      <c r="D119" s="28">
        <v>2</v>
      </c>
      <c r="E119" s="28">
        <v>2</v>
      </c>
      <c r="F119" s="28">
        <v>0</v>
      </c>
      <c r="G119" s="28">
        <v>5</v>
      </c>
      <c r="H119" s="28">
        <v>1</v>
      </c>
      <c r="I119" s="28">
        <v>2</v>
      </c>
      <c r="J119" s="28">
        <v>2</v>
      </c>
      <c r="K119" s="28">
        <v>2</v>
      </c>
      <c r="L119" s="28">
        <v>3</v>
      </c>
      <c r="M119" s="28">
        <v>1</v>
      </c>
      <c r="N119" s="28">
        <v>2</v>
      </c>
      <c r="O119" s="28">
        <v>3</v>
      </c>
      <c r="P119" s="28">
        <v>2</v>
      </c>
      <c r="Q119" s="28">
        <v>4</v>
      </c>
      <c r="R119" s="28">
        <v>0</v>
      </c>
      <c r="S119" s="28">
        <v>5</v>
      </c>
      <c r="T119" s="28">
        <v>1</v>
      </c>
      <c r="U119" s="28">
        <v>2</v>
      </c>
      <c r="V119" s="124">
        <f t="shared" si="11"/>
        <v>39</v>
      </c>
      <c r="X119" s="46">
        <f>74+V119</f>
        <v>113</v>
      </c>
    </row>
    <row r="121" spans="2:24">
      <c r="B121" s="12" t="s">
        <v>21</v>
      </c>
      <c r="C121" s="13" t="s">
        <v>22</v>
      </c>
      <c r="D121" s="34" t="s">
        <v>23</v>
      </c>
      <c r="E121" s="34" t="s">
        <v>24</v>
      </c>
      <c r="F121" s="34" t="s">
        <v>25</v>
      </c>
      <c r="G121" s="34" t="s">
        <v>26</v>
      </c>
      <c r="H121" s="34" t="s">
        <v>27</v>
      </c>
      <c r="I121" s="34" t="s">
        <v>28</v>
      </c>
      <c r="J121" s="34" t="s">
        <v>29</v>
      </c>
      <c r="K121" s="34" t="s">
        <v>30</v>
      </c>
      <c r="L121" s="34" t="s">
        <v>31</v>
      </c>
      <c r="M121" s="34" t="s">
        <v>81</v>
      </c>
      <c r="N121" s="34" t="s">
        <v>82</v>
      </c>
      <c r="O121" s="34" t="s">
        <v>83</v>
      </c>
      <c r="P121" s="34" t="s">
        <v>84</v>
      </c>
      <c r="Q121" s="34" t="s">
        <v>85</v>
      </c>
      <c r="R121" s="34" t="s">
        <v>86</v>
      </c>
      <c r="S121" s="34" t="s">
        <v>87</v>
      </c>
      <c r="T121" s="34" t="s">
        <v>88</v>
      </c>
      <c r="U121" s="34" t="s">
        <v>89</v>
      </c>
      <c r="V121" s="122" t="s">
        <v>40</v>
      </c>
      <c r="X121" s="44" t="s">
        <v>93</v>
      </c>
    </row>
    <row r="122" spans="2:24">
      <c r="B122" s="143" t="s">
        <v>17</v>
      </c>
      <c r="C122" s="144" t="s">
        <v>18</v>
      </c>
      <c r="D122" s="28">
        <v>3</v>
      </c>
      <c r="E122" s="28">
        <v>2</v>
      </c>
      <c r="F122" s="28">
        <v>0</v>
      </c>
      <c r="G122" s="28">
        <v>3</v>
      </c>
      <c r="H122" s="28">
        <v>0</v>
      </c>
      <c r="I122" s="28">
        <v>4</v>
      </c>
      <c r="J122" s="28">
        <v>1</v>
      </c>
      <c r="K122" s="28">
        <v>0</v>
      </c>
      <c r="L122" s="28">
        <v>0</v>
      </c>
      <c r="M122" s="28">
        <v>1</v>
      </c>
      <c r="N122" s="28">
        <v>1</v>
      </c>
      <c r="O122" s="28">
        <v>2</v>
      </c>
      <c r="P122" s="28">
        <v>1</v>
      </c>
      <c r="Q122" s="28">
        <v>2</v>
      </c>
      <c r="R122" s="28">
        <v>1</v>
      </c>
      <c r="S122" s="28">
        <v>5</v>
      </c>
      <c r="T122" s="28">
        <v>1</v>
      </c>
      <c r="U122" s="28">
        <v>1</v>
      </c>
      <c r="V122" s="123">
        <f t="shared" ref="V122:V131" si="13">SUM(D122:U122)</f>
        <v>28</v>
      </c>
      <c r="X122" s="45">
        <f t="shared" ref="X122:X131" si="14">71+V122</f>
        <v>99</v>
      </c>
    </row>
    <row r="123" spans="2:24">
      <c r="B123" s="143" t="s">
        <v>17</v>
      </c>
      <c r="C123" s="144" t="s">
        <v>18</v>
      </c>
      <c r="D123" s="28">
        <v>4</v>
      </c>
      <c r="E123" s="28">
        <v>1</v>
      </c>
      <c r="F123" s="28">
        <v>2</v>
      </c>
      <c r="G123" s="28">
        <v>1</v>
      </c>
      <c r="H123" s="28">
        <v>1</v>
      </c>
      <c r="I123" s="28">
        <v>0</v>
      </c>
      <c r="J123" s="28">
        <v>0</v>
      </c>
      <c r="K123" s="28">
        <v>1</v>
      </c>
      <c r="L123" s="28">
        <v>5</v>
      </c>
      <c r="M123" s="28">
        <v>2</v>
      </c>
      <c r="N123" s="28">
        <v>1</v>
      </c>
      <c r="O123" s="28">
        <v>2</v>
      </c>
      <c r="P123" s="28">
        <v>1</v>
      </c>
      <c r="Q123" s="28">
        <v>1</v>
      </c>
      <c r="R123" s="28">
        <v>2</v>
      </c>
      <c r="S123" s="28">
        <v>1</v>
      </c>
      <c r="T123" s="28">
        <v>1</v>
      </c>
      <c r="U123" s="28">
        <v>1</v>
      </c>
      <c r="V123" s="123">
        <f t="shared" si="13"/>
        <v>27</v>
      </c>
      <c r="X123" s="45">
        <f t="shared" si="14"/>
        <v>98</v>
      </c>
    </row>
    <row r="124" spans="2:24">
      <c r="B124" s="143" t="s">
        <v>17</v>
      </c>
      <c r="C124" s="144" t="s">
        <v>18</v>
      </c>
      <c r="D124" s="28">
        <v>10</v>
      </c>
      <c r="E124" s="28">
        <v>10</v>
      </c>
      <c r="F124" s="28">
        <v>10</v>
      </c>
      <c r="G124" s="28">
        <v>10</v>
      </c>
      <c r="H124" s="28">
        <v>10</v>
      </c>
      <c r="I124" s="28">
        <v>10</v>
      </c>
      <c r="J124" s="28">
        <v>10</v>
      </c>
      <c r="K124" s="28">
        <v>10</v>
      </c>
      <c r="L124" s="28">
        <v>10</v>
      </c>
      <c r="M124" s="28">
        <v>10</v>
      </c>
      <c r="N124" s="28">
        <v>10</v>
      </c>
      <c r="O124" s="28">
        <v>10</v>
      </c>
      <c r="P124" s="28">
        <v>10</v>
      </c>
      <c r="Q124" s="28">
        <v>10</v>
      </c>
      <c r="R124" s="28">
        <v>10</v>
      </c>
      <c r="S124" s="28">
        <v>10</v>
      </c>
      <c r="T124" s="28">
        <v>10</v>
      </c>
      <c r="U124" s="28">
        <v>10</v>
      </c>
      <c r="V124" s="123">
        <f t="shared" si="13"/>
        <v>180</v>
      </c>
      <c r="X124" s="45">
        <f>72+V124</f>
        <v>252</v>
      </c>
    </row>
    <row r="125" spans="2:24">
      <c r="B125" s="143" t="s">
        <v>17</v>
      </c>
      <c r="C125" s="144" t="s">
        <v>18</v>
      </c>
      <c r="D125" s="28">
        <v>10</v>
      </c>
      <c r="E125" s="28">
        <v>10</v>
      </c>
      <c r="F125" s="28">
        <v>10</v>
      </c>
      <c r="G125" s="28">
        <v>10</v>
      </c>
      <c r="H125" s="28">
        <v>10</v>
      </c>
      <c r="I125" s="28">
        <v>10</v>
      </c>
      <c r="J125" s="28">
        <v>10</v>
      </c>
      <c r="K125" s="28">
        <v>10</v>
      </c>
      <c r="L125" s="28">
        <v>10</v>
      </c>
      <c r="M125" s="28">
        <v>10</v>
      </c>
      <c r="N125" s="28">
        <v>10</v>
      </c>
      <c r="O125" s="28">
        <v>10</v>
      </c>
      <c r="P125" s="28">
        <v>10</v>
      </c>
      <c r="Q125" s="28">
        <v>10</v>
      </c>
      <c r="R125" s="28">
        <v>10</v>
      </c>
      <c r="S125" s="28">
        <v>10</v>
      </c>
      <c r="T125" s="28">
        <v>10</v>
      </c>
      <c r="U125" s="28">
        <v>10</v>
      </c>
      <c r="V125" s="123">
        <f t="shared" si="13"/>
        <v>180</v>
      </c>
      <c r="X125" s="45">
        <f>71+V125</f>
        <v>251</v>
      </c>
    </row>
    <row r="126" spans="2:24">
      <c r="B126" s="143" t="s">
        <v>17</v>
      </c>
      <c r="C126" s="144" t="s">
        <v>18</v>
      </c>
      <c r="D126" s="28">
        <v>2</v>
      </c>
      <c r="E126" s="28">
        <v>3</v>
      </c>
      <c r="F126" s="28">
        <v>0</v>
      </c>
      <c r="G126" s="28">
        <v>3</v>
      </c>
      <c r="H126" s="28">
        <v>3</v>
      </c>
      <c r="I126" s="28">
        <v>1</v>
      </c>
      <c r="J126" s="28">
        <v>5</v>
      </c>
      <c r="K126" s="28">
        <v>5</v>
      </c>
      <c r="L126" s="28">
        <v>1</v>
      </c>
      <c r="M126" s="28">
        <v>5</v>
      </c>
      <c r="N126" s="28">
        <v>3</v>
      </c>
      <c r="O126" s="28">
        <v>2</v>
      </c>
      <c r="P126" s="28">
        <v>3</v>
      </c>
      <c r="Q126" s="28">
        <v>3</v>
      </c>
      <c r="R126" s="28">
        <v>1</v>
      </c>
      <c r="S126" s="28">
        <v>1</v>
      </c>
      <c r="T126" s="28">
        <v>1</v>
      </c>
      <c r="U126" s="28">
        <v>1</v>
      </c>
      <c r="V126" s="123">
        <f t="shared" si="13"/>
        <v>43</v>
      </c>
      <c r="X126" s="45">
        <f>71+V126</f>
        <v>114</v>
      </c>
    </row>
    <row r="127" spans="2:24">
      <c r="B127" s="143" t="s">
        <v>17</v>
      </c>
      <c r="C127" s="144" t="s">
        <v>18</v>
      </c>
      <c r="D127" s="28">
        <v>10</v>
      </c>
      <c r="E127" s="28">
        <v>10</v>
      </c>
      <c r="F127" s="28">
        <v>10</v>
      </c>
      <c r="G127" s="28">
        <v>10</v>
      </c>
      <c r="H127" s="28">
        <v>10</v>
      </c>
      <c r="I127" s="28">
        <v>10</v>
      </c>
      <c r="J127" s="28">
        <v>10</v>
      </c>
      <c r="K127" s="28">
        <v>10</v>
      </c>
      <c r="L127" s="28">
        <v>10</v>
      </c>
      <c r="M127" s="28">
        <v>10</v>
      </c>
      <c r="N127" s="28">
        <v>10</v>
      </c>
      <c r="O127" s="28">
        <v>10</v>
      </c>
      <c r="P127" s="28">
        <v>10</v>
      </c>
      <c r="Q127" s="28">
        <v>10</v>
      </c>
      <c r="R127" s="28">
        <v>10</v>
      </c>
      <c r="S127" s="28">
        <v>10</v>
      </c>
      <c r="T127" s="28">
        <v>10</v>
      </c>
      <c r="U127" s="28">
        <v>10</v>
      </c>
      <c r="V127" s="123">
        <f t="shared" ref="V127" si="15">SUM(D127:U127)</f>
        <v>180</v>
      </c>
      <c r="X127" s="45">
        <f t="shared" si="14"/>
        <v>251</v>
      </c>
    </row>
    <row r="128" spans="2:24">
      <c r="B128" s="143" t="s">
        <v>17</v>
      </c>
      <c r="C128" s="144" t="s">
        <v>18</v>
      </c>
      <c r="D128" s="28">
        <v>2</v>
      </c>
      <c r="E128" s="28">
        <v>3</v>
      </c>
      <c r="F128" s="28">
        <v>1</v>
      </c>
      <c r="G128" s="28">
        <v>2</v>
      </c>
      <c r="H128" s="28">
        <v>1</v>
      </c>
      <c r="I128" s="28">
        <v>0</v>
      </c>
      <c r="J128" s="28">
        <v>2</v>
      </c>
      <c r="K128" s="28">
        <v>5</v>
      </c>
      <c r="L128" s="28">
        <v>5</v>
      </c>
      <c r="M128" s="28">
        <v>5</v>
      </c>
      <c r="N128" s="28">
        <v>2</v>
      </c>
      <c r="O128" s="28">
        <v>-1</v>
      </c>
      <c r="P128" s="28">
        <v>3</v>
      </c>
      <c r="Q128" s="28">
        <v>1</v>
      </c>
      <c r="R128" s="28">
        <v>3</v>
      </c>
      <c r="S128" s="28">
        <v>0</v>
      </c>
      <c r="T128" s="28">
        <v>2</v>
      </c>
      <c r="U128" s="28">
        <v>1</v>
      </c>
      <c r="V128" s="123">
        <f t="shared" si="13"/>
        <v>37</v>
      </c>
      <c r="X128" s="45">
        <f>72+V128</f>
        <v>109</v>
      </c>
    </row>
    <row r="129" spans="2:24">
      <c r="B129" s="143" t="s">
        <v>17</v>
      </c>
      <c r="C129" s="144" t="s">
        <v>18</v>
      </c>
      <c r="D129" s="28">
        <v>10</v>
      </c>
      <c r="E129" s="28">
        <v>10</v>
      </c>
      <c r="F129" s="28">
        <v>10</v>
      </c>
      <c r="G129" s="28">
        <v>10</v>
      </c>
      <c r="H129" s="28">
        <v>10</v>
      </c>
      <c r="I129" s="28">
        <v>10</v>
      </c>
      <c r="J129" s="28">
        <v>10</v>
      </c>
      <c r="K129" s="28">
        <v>10</v>
      </c>
      <c r="L129" s="28">
        <v>10</v>
      </c>
      <c r="M129" s="28">
        <v>10</v>
      </c>
      <c r="N129" s="28">
        <v>10</v>
      </c>
      <c r="O129" s="28">
        <v>10</v>
      </c>
      <c r="P129" s="28">
        <v>10</v>
      </c>
      <c r="Q129" s="28">
        <v>10</v>
      </c>
      <c r="R129" s="28">
        <v>10</v>
      </c>
      <c r="S129" s="28">
        <v>10</v>
      </c>
      <c r="T129" s="28">
        <v>10</v>
      </c>
      <c r="U129" s="28">
        <v>10</v>
      </c>
      <c r="V129" s="123">
        <f t="shared" si="13"/>
        <v>180</v>
      </c>
      <c r="X129" s="45">
        <f>72+V129</f>
        <v>252</v>
      </c>
    </row>
    <row r="130" spans="2:24">
      <c r="B130" s="143" t="s">
        <v>17</v>
      </c>
      <c r="C130" s="144" t="s">
        <v>18</v>
      </c>
      <c r="D130" s="28">
        <v>3</v>
      </c>
      <c r="E130" s="28">
        <v>2</v>
      </c>
      <c r="F130" s="28">
        <v>1</v>
      </c>
      <c r="G130" s="28">
        <v>1</v>
      </c>
      <c r="H130" s="28">
        <v>3</v>
      </c>
      <c r="I130" s="28">
        <v>2</v>
      </c>
      <c r="J130" s="28">
        <v>2</v>
      </c>
      <c r="K130" s="28">
        <v>1</v>
      </c>
      <c r="L130" s="28">
        <v>2</v>
      </c>
      <c r="M130" s="28">
        <v>4</v>
      </c>
      <c r="N130" s="28">
        <v>1</v>
      </c>
      <c r="O130" s="28">
        <v>2</v>
      </c>
      <c r="P130" s="28">
        <v>4</v>
      </c>
      <c r="Q130" s="28">
        <v>5</v>
      </c>
      <c r="R130" s="28">
        <v>1</v>
      </c>
      <c r="S130" s="28">
        <v>1</v>
      </c>
      <c r="T130" s="28">
        <v>2</v>
      </c>
      <c r="U130" s="28">
        <v>5</v>
      </c>
      <c r="V130" s="123">
        <f t="shared" si="13"/>
        <v>42</v>
      </c>
      <c r="X130" s="45">
        <f t="shared" si="14"/>
        <v>113</v>
      </c>
    </row>
    <row r="131" spans="2:24">
      <c r="B131" s="143" t="s">
        <v>17</v>
      </c>
      <c r="C131" s="144" t="s">
        <v>18</v>
      </c>
      <c r="D131" s="28">
        <v>2</v>
      </c>
      <c r="E131" s="28">
        <v>3</v>
      </c>
      <c r="F131" s="28">
        <v>5</v>
      </c>
      <c r="G131" s="28">
        <v>3</v>
      </c>
      <c r="H131" s="28">
        <v>2</v>
      </c>
      <c r="I131" s="28">
        <v>1</v>
      </c>
      <c r="J131" s="28">
        <v>5</v>
      </c>
      <c r="K131" s="28">
        <v>1</v>
      </c>
      <c r="L131" s="28">
        <v>5</v>
      </c>
      <c r="M131" s="28">
        <v>2</v>
      </c>
      <c r="N131" s="28">
        <v>3</v>
      </c>
      <c r="O131" s="28">
        <v>2</v>
      </c>
      <c r="P131" s="28">
        <v>1</v>
      </c>
      <c r="Q131" s="28">
        <v>4</v>
      </c>
      <c r="R131" s="28">
        <v>0</v>
      </c>
      <c r="S131" s="28">
        <v>4</v>
      </c>
      <c r="T131" s="28">
        <v>3</v>
      </c>
      <c r="U131" s="28">
        <v>4</v>
      </c>
      <c r="V131" s="124">
        <f t="shared" si="13"/>
        <v>50</v>
      </c>
      <c r="X131" s="46">
        <f t="shared" si="14"/>
        <v>121</v>
      </c>
    </row>
    <row r="133" spans="2:24">
      <c r="B133" s="12" t="s">
        <v>21</v>
      </c>
      <c r="C133" s="13" t="s">
        <v>22</v>
      </c>
      <c r="D133" s="34" t="s">
        <v>23</v>
      </c>
      <c r="E133" s="34" t="s">
        <v>24</v>
      </c>
      <c r="F133" s="34" t="s">
        <v>25</v>
      </c>
      <c r="G133" s="34" t="s">
        <v>26</v>
      </c>
      <c r="H133" s="34" t="s">
        <v>27</v>
      </c>
      <c r="I133" s="34" t="s">
        <v>28</v>
      </c>
      <c r="J133" s="34" t="s">
        <v>29</v>
      </c>
      <c r="K133" s="34" t="s">
        <v>30</v>
      </c>
      <c r="L133" s="34" t="s">
        <v>31</v>
      </c>
      <c r="M133" s="34" t="s">
        <v>81</v>
      </c>
      <c r="N133" s="34" t="s">
        <v>82</v>
      </c>
      <c r="O133" s="34" t="s">
        <v>83</v>
      </c>
      <c r="P133" s="34" t="s">
        <v>84</v>
      </c>
      <c r="Q133" s="34" t="s">
        <v>85</v>
      </c>
      <c r="R133" s="34" t="s">
        <v>86</v>
      </c>
      <c r="S133" s="34" t="s">
        <v>87</v>
      </c>
      <c r="T133" s="34" t="s">
        <v>88</v>
      </c>
      <c r="U133" s="34" t="s">
        <v>89</v>
      </c>
      <c r="V133" s="122" t="s">
        <v>40</v>
      </c>
      <c r="X133" s="44" t="s">
        <v>93</v>
      </c>
    </row>
    <row r="134" spans="2:24">
      <c r="B134" s="143" t="s">
        <v>8</v>
      </c>
      <c r="C134" s="144" t="s">
        <v>90</v>
      </c>
      <c r="D134" s="28">
        <v>10</v>
      </c>
      <c r="E134" s="28">
        <v>10</v>
      </c>
      <c r="F134" s="28">
        <v>10</v>
      </c>
      <c r="G134" s="28">
        <v>10</v>
      </c>
      <c r="H134" s="28">
        <v>10</v>
      </c>
      <c r="I134" s="28">
        <v>10</v>
      </c>
      <c r="J134" s="28">
        <v>10</v>
      </c>
      <c r="K134" s="28">
        <v>10</v>
      </c>
      <c r="L134" s="28">
        <v>10</v>
      </c>
      <c r="M134" s="28">
        <v>10</v>
      </c>
      <c r="N134" s="28">
        <v>10</v>
      </c>
      <c r="O134" s="28">
        <v>10</v>
      </c>
      <c r="P134" s="28">
        <v>10</v>
      </c>
      <c r="Q134" s="28">
        <v>10</v>
      </c>
      <c r="R134" s="28">
        <v>10</v>
      </c>
      <c r="S134" s="28">
        <v>10</v>
      </c>
      <c r="T134" s="28">
        <v>10</v>
      </c>
      <c r="U134" s="28">
        <v>10</v>
      </c>
      <c r="V134" s="123">
        <f t="shared" ref="V134:V143" si="16">SUM(D134:U134)</f>
        <v>180</v>
      </c>
      <c r="W134" s="115"/>
      <c r="X134" s="45">
        <f>71+V134</f>
        <v>251</v>
      </c>
    </row>
    <row r="135" spans="2:24">
      <c r="B135" s="143" t="s">
        <v>8</v>
      </c>
      <c r="C135" s="144" t="s">
        <v>90</v>
      </c>
      <c r="D135" s="28">
        <v>10</v>
      </c>
      <c r="E135" s="28">
        <v>10</v>
      </c>
      <c r="F135" s="28">
        <v>10</v>
      </c>
      <c r="G135" s="28">
        <v>10</v>
      </c>
      <c r="H135" s="28">
        <v>10</v>
      </c>
      <c r="I135" s="28">
        <v>10</v>
      </c>
      <c r="J135" s="28">
        <v>10</v>
      </c>
      <c r="K135" s="28">
        <v>10</v>
      </c>
      <c r="L135" s="28">
        <v>10</v>
      </c>
      <c r="M135" s="28">
        <v>10</v>
      </c>
      <c r="N135" s="28">
        <v>10</v>
      </c>
      <c r="O135" s="28">
        <v>10</v>
      </c>
      <c r="P135" s="28">
        <v>10</v>
      </c>
      <c r="Q135" s="28">
        <v>10</v>
      </c>
      <c r="R135" s="28">
        <v>10</v>
      </c>
      <c r="S135" s="28">
        <v>10</v>
      </c>
      <c r="T135" s="28">
        <v>10</v>
      </c>
      <c r="U135" s="28">
        <v>10</v>
      </c>
      <c r="V135" s="123">
        <f t="shared" si="16"/>
        <v>180</v>
      </c>
      <c r="W135" s="115"/>
      <c r="X135" s="45">
        <f>72+V135</f>
        <v>252</v>
      </c>
    </row>
    <row r="136" spans="2:24">
      <c r="B136" s="143" t="s">
        <v>8</v>
      </c>
      <c r="C136" s="144" t="s">
        <v>90</v>
      </c>
      <c r="D136" s="28">
        <v>10</v>
      </c>
      <c r="E136" s="28">
        <v>10</v>
      </c>
      <c r="F136" s="28">
        <v>10</v>
      </c>
      <c r="G136" s="28">
        <v>10</v>
      </c>
      <c r="H136" s="28">
        <v>10</v>
      </c>
      <c r="I136" s="28">
        <v>10</v>
      </c>
      <c r="J136" s="28">
        <v>10</v>
      </c>
      <c r="K136" s="28">
        <v>10</v>
      </c>
      <c r="L136" s="28">
        <v>10</v>
      </c>
      <c r="M136" s="28">
        <v>10</v>
      </c>
      <c r="N136" s="28">
        <v>10</v>
      </c>
      <c r="O136" s="28">
        <v>10</v>
      </c>
      <c r="P136" s="28">
        <v>10</v>
      </c>
      <c r="Q136" s="28">
        <v>10</v>
      </c>
      <c r="R136" s="28">
        <v>10</v>
      </c>
      <c r="S136" s="28">
        <v>10</v>
      </c>
      <c r="T136" s="28">
        <v>10</v>
      </c>
      <c r="U136" s="28">
        <v>10</v>
      </c>
      <c r="V136" s="123">
        <f t="shared" si="16"/>
        <v>180</v>
      </c>
      <c r="W136" s="115"/>
      <c r="X136" s="45">
        <f>72+V136</f>
        <v>252</v>
      </c>
    </row>
    <row r="137" spans="2:24">
      <c r="B137" s="143" t="s">
        <v>8</v>
      </c>
      <c r="C137" s="144" t="s">
        <v>90</v>
      </c>
      <c r="D137" s="28">
        <v>10</v>
      </c>
      <c r="E137" s="28">
        <v>10</v>
      </c>
      <c r="F137" s="28">
        <v>10</v>
      </c>
      <c r="G137" s="28">
        <v>10</v>
      </c>
      <c r="H137" s="28">
        <v>10</v>
      </c>
      <c r="I137" s="28">
        <v>10</v>
      </c>
      <c r="J137" s="28">
        <v>10</v>
      </c>
      <c r="K137" s="28">
        <v>10</v>
      </c>
      <c r="L137" s="28">
        <v>10</v>
      </c>
      <c r="M137" s="28">
        <v>10</v>
      </c>
      <c r="N137" s="28">
        <v>10</v>
      </c>
      <c r="O137" s="28">
        <v>10</v>
      </c>
      <c r="P137" s="28">
        <v>10</v>
      </c>
      <c r="Q137" s="28">
        <v>10</v>
      </c>
      <c r="R137" s="28">
        <v>10</v>
      </c>
      <c r="S137" s="28">
        <v>10</v>
      </c>
      <c r="T137" s="28">
        <v>10</v>
      </c>
      <c r="U137" s="28">
        <v>10</v>
      </c>
      <c r="V137" s="123">
        <f t="shared" si="16"/>
        <v>180</v>
      </c>
      <c r="W137" s="115"/>
      <c r="X137" s="45">
        <f>71+V137</f>
        <v>251</v>
      </c>
    </row>
    <row r="138" spans="2:24">
      <c r="B138" s="143" t="s">
        <v>8</v>
      </c>
      <c r="C138" s="144" t="s">
        <v>90</v>
      </c>
      <c r="D138" s="28">
        <v>3</v>
      </c>
      <c r="E138" s="28">
        <v>1</v>
      </c>
      <c r="F138" s="28">
        <v>5</v>
      </c>
      <c r="G138" s="28">
        <v>4</v>
      </c>
      <c r="H138" s="28">
        <v>0</v>
      </c>
      <c r="I138" s="28">
        <v>1</v>
      </c>
      <c r="J138" s="28">
        <v>1</v>
      </c>
      <c r="K138" s="28">
        <v>3</v>
      </c>
      <c r="L138" s="28">
        <v>2</v>
      </c>
      <c r="M138" s="28">
        <v>3</v>
      </c>
      <c r="N138" s="28">
        <v>5</v>
      </c>
      <c r="O138" s="28">
        <v>5</v>
      </c>
      <c r="P138" s="28">
        <v>5</v>
      </c>
      <c r="Q138" s="28">
        <v>4</v>
      </c>
      <c r="R138" s="28">
        <v>4</v>
      </c>
      <c r="S138" s="28">
        <v>2</v>
      </c>
      <c r="T138" s="28">
        <v>2</v>
      </c>
      <c r="U138" s="28">
        <v>4</v>
      </c>
      <c r="V138" s="123">
        <f t="shared" ref="V138" si="17">SUM(D138:U138)</f>
        <v>54</v>
      </c>
      <c r="W138" s="115"/>
      <c r="X138" s="45">
        <f>71+V138</f>
        <v>125</v>
      </c>
    </row>
    <row r="139" spans="2:24">
      <c r="B139" s="143" t="s">
        <v>8</v>
      </c>
      <c r="C139" s="144" t="s">
        <v>90</v>
      </c>
      <c r="D139" s="28">
        <v>10</v>
      </c>
      <c r="E139" s="28">
        <v>10</v>
      </c>
      <c r="F139" s="28">
        <v>10</v>
      </c>
      <c r="G139" s="28">
        <v>10</v>
      </c>
      <c r="H139" s="28">
        <v>10</v>
      </c>
      <c r="I139" s="28">
        <v>10</v>
      </c>
      <c r="J139" s="28">
        <v>10</v>
      </c>
      <c r="K139" s="28">
        <v>10</v>
      </c>
      <c r="L139" s="28">
        <v>10</v>
      </c>
      <c r="M139" s="28">
        <v>10</v>
      </c>
      <c r="N139" s="28">
        <v>10</v>
      </c>
      <c r="O139" s="28">
        <v>10</v>
      </c>
      <c r="P139" s="28">
        <v>10</v>
      </c>
      <c r="Q139" s="28">
        <v>10</v>
      </c>
      <c r="R139" s="28">
        <v>10</v>
      </c>
      <c r="S139" s="28">
        <v>10</v>
      </c>
      <c r="T139" s="28">
        <v>10</v>
      </c>
      <c r="U139" s="28">
        <v>10</v>
      </c>
      <c r="V139" s="123">
        <f t="shared" si="16"/>
        <v>180</v>
      </c>
      <c r="W139" s="115"/>
      <c r="X139" s="45">
        <f t="shared" ref="X139:X143" si="18">70+V139</f>
        <v>250</v>
      </c>
    </row>
    <row r="140" spans="2:24">
      <c r="B140" s="143" t="s">
        <v>8</v>
      </c>
      <c r="C140" s="144" t="s">
        <v>90</v>
      </c>
      <c r="D140" s="28">
        <v>10</v>
      </c>
      <c r="E140" s="28">
        <v>10</v>
      </c>
      <c r="F140" s="28">
        <v>10</v>
      </c>
      <c r="G140" s="28">
        <v>10</v>
      </c>
      <c r="H140" s="28">
        <v>10</v>
      </c>
      <c r="I140" s="28">
        <v>10</v>
      </c>
      <c r="J140" s="28">
        <v>10</v>
      </c>
      <c r="K140" s="28">
        <v>10</v>
      </c>
      <c r="L140" s="28">
        <v>10</v>
      </c>
      <c r="M140" s="28">
        <v>10</v>
      </c>
      <c r="N140" s="28">
        <v>10</v>
      </c>
      <c r="O140" s="28">
        <v>10</v>
      </c>
      <c r="P140" s="28">
        <v>10</v>
      </c>
      <c r="Q140" s="28">
        <v>10</v>
      </c>
      <c r="R140" s="28">
        <v>10</v>
      </c>
      <c r="S140" s="28">
        <v>10</v>
      </c>
      <c r="T140" s="28">
        <v>10</v>
      </c>
      <c r="U140" s="28">
        <v>10</v>
      </c>
      <c r="V140" s="123">
        <f t="shared" si="16"/>
        <v>180</v>
      </c>
      <c r="W140" s="115"/>
      <c r="X140" s="45">
        <f>72+V140</f>
        <v>252</v>
      </c>
    </row>
    <row r="141" spans="2:24">
      <c r="B141" s="143" t="s">
        <v>8</v>
      </c>
      <c r="C141" s="144" t="s">
        <v>90</v>
      </c>
      <c r="D141" s="28">
        <v>10</v>
      </c>
      <c r="E141" s="28">
        <v>10</v>
      </c>
      <c r="F141" s="28">
        <v>10</v>
      </c>
      <c r="G141" s="28">
        <v>10</v>
      </c>
      <c r="H141" s="28">
        <v>10</v>
      </c>
      <c r="I141" s="28">
        <v>10</v>
      </c>
      <c r="J141" s="28">
        <v>10</v>
      </c>
      <c r="K141" s="28">
        <v>10</v>
      </c>
      <c r="L141" s="28">
        <v>10</v>
      </c>
      <c r="M141" s="28">
        <v>10</v>
      </c>
      <c r="N141" s="28">
        <v>10</v>
      </c>
      <c r="O141" s="28">
        <v>10</v>
      </c>
      <c r="P141" s="28">
        <v>10</v>
      </c>
      <c r="Q141" s="28">
        <v>10</v>
      </c>
      <c r="R141" s="28">
        <v>10</v>
      </c>
      <c r="S141" s="28">
        <v>10</v>
      </c>
      <c r="T141" s="28">
        <v>10</v>
      </c>
      <c r="U141" s="28">
        <v>10</v>
      </c>
      <c r="V141" s="123">
        <f t="shared" si="16"/>
        <v>180</v>
      </c>
      <c r="W141" s="115"/>
      <c r="X141" s="45">
        <f>72+V141</f>
        <v>252</v>
      </c>
    </row>
    <row r="142" spans="2:24">
      <c r="B142" s="143" t="s">
        <v>8</v>
      </c>
      <c r="C142" s="144" t="s">
        <v>90</v>
      </c>
      <c r="D142" s="28">
        <v>5</v>
      </c>
      <c r="E142" s="28">
        <v>3</v>
      </c>
      <c r="F142" s="28">
        <v>3</v>
      </c>
      <c r="G142" s="28">
        <v>1</v>
      </c>
      <c r="H142" s="28">
        <v>3</v>
      </c>
      <c r="I142" s="28">
        <v>1</v>
      </c>
      <c r="J142" s="28">
        <v>1</v>
      </c>
      <c r="K142" s="28">
        <v>2</v>
      </c>
      <c r="L142" s="28">
        <v>1</v>
      </c>
      <c r="M142" s="28">
        <v>4</v>
      </c>
      <c r="N142" s="28">
        <v>2</v>
      </c>
      <c r="O142" s="28">
        <v>2</v>
      </c>
      <c r="P142" s="28">
        <v>5</v>
      </c>
      <c r="Q142" s="28">
        <v>1</v>
      </c>
      <c r="R142" s="28">
        <v>1</v>
      </c>
      <c r="S142" s="28">
        <v>2</v>
      </c>
      <c r="T142" s="28">
        <v>2</v>
      </c>
      <c r="U142" s="28">
        <v>3</v>
      </c>
      <c r="V142" s="123">
        <f t="shared" si="16"/>
        <v>42</v>
      </c>
      <c r="W142" s="115"/>
      <c r="X142" s="45">
        <f>71+V142</f>
        <v>113</v>
      </c>
    </row>
    <row r="143" spans="2:24">
      <c r="B143" s="143" t="s">
        <v>8</v>
      </c>
      <c r="C143" s="144" t="s">
        <v>90</v>
      </c>
      <c r="D143" s="28">
        <v>2</v>
      </c>
      <c r="E143" s="28">
        <v>2</v>
      </c>
      <c r="F143" s="28">
        <v>4</v>
      </c>
      <c r="G143" s="28">
        <v>2</v>
      </c>
      <c r="H143" s="28">
        <v>2</v>
      </c>
      <c r="I143" s="28">
        <v>3</v>
      </c>
      <c r="J143" s="28">
        <v>0</v>
      </c>
      <c r="K143" s="28">
        <v>3</v>
      </c>
      <c r="L143" s="28">
        <v>5</v>
      </c>
      <c r="M143" s="28">
        <v>1</v>
      </c>
      <c r="N143" s="28">
        <v>5</v>
      </c>
      <c r="O143" s="28">
        <v>3</v>
      </c>
      <c r="P143" s="28">
        <v>5</v>
      </c>
      <c r="Q143" s="28">
        <v>3</v>
      </c>
      <c r="R143" s="28">
        <v>1</v>
      </c>
      <c r="S143" s="28">
        <v>2</v>
      </c>
      <c r="T143" s="28">
        <v>2</v>
      </c>
      <c r="U143" s="28">
        <v>5</v>
      </c>
      <c r="V143" s="124">
        <f t="shared" si="16"/>
        <v>50</v>
      </c>
      <c r="W143" s="115"/>
      <c r="X143" s="46">
        <f t="shared" si="18"/>
        <v>120</v>
      </c>
    </row>
    <row r="145" spans="2:24">
      <c r="B145" s="12" t="s">
        <v>21</v>
      </c>
      <c r="C145" s="13" t="s">
        <v>22</v>
      </c>
      <c r="D145" s="34" t="s">
        <v>23</v>
      </c>
      <c r="E145" s="34" t="s">
        <v>24</v>
      </c>
      <c r="F145" s="34" t="s">
        <v>25</v>
      </c>
      <c r="G145" s="34" t="s">
        <v>26</v>
      </c>
      <c r="H145" s="34" t="s">
        <v>27</v>
      </c>
      <c r="I145" s="34" t="s">
        <v>28</v>
      </c>
      <c r="J145" s="34" t="s">
        <v>29</v>
      </c>
      <c r="K145" s="34" t="s">
        <v>30</v>
      </c>
      <c r="L145" s="34" t="s">
        <v>31</v>
      </c>
      <c r="M145" s="34" t="s">
        <v>81</v>
      </c>
      <c r="N145" s="34" t="s">
        <v>82</v>
      </c>
      <c r="O145" s="34" t="s">
        <v>83</v>
      </c>
      <c r="P145" s="34" t="s">
        <v>84</v>
      </c>
      <c r="Q145" s="34" t="s">
        <v>85</v>
      </c>
      <c r="R145" s="34" t="s">
        <v>86</v>
      </c>
      <c r="S145" s="34" t="s">
        <v>87</v>
      </c>
      <c r="T145" s="34" t="s">
        <v>88</v>
      </c>
      <c r="U145" s="34" t="s">
        <v>89</v>
      </c>
      <c r="V145" s="122" t="s">
        <v>40</v>
      </c>
      <c r="W145" s="115"/>
      <c r="X145" s="145" t="s">
        <v>93</v>
      </c>
    </row>
    <row r="146" spans="2:24">
      <c r="B146" s="143" t="s">
        <v>141</v>
      </c>
      <c r="C146" s="144" t="s">
        <v>142</v>
      </c>
      <c r="D146" s="28">
        <v>10</v>
      </c>
      <c r="E146" s="28">
        <v>10</v>
      </c>
      <c r="F146" s="28">
        <v>10</v>
      </c>
      <c r="G146" s="28">
        <v>10</v>
      </c>
      <c r="H146" s="28">
        <v>10</v>
      </c>
      <c r="I146" s="28">
        <v>10</v>
      </c>
      <c r="J146" s="28">
        <v>10</v>
      </c>
      <c r="K146" s="28">
        <v>10</v>
      </c>
      <c r="L146" s="28">
        <v>10</v>
      </c>
      <c r="M146" s="28">
        <v>10</v>
      </c>
      <c r="N146" s="28">
        <v>10</v>
      </c>
      <c r="O146" s="28">
        <v>10</v>
      </c>
      <c r="P146" s="28">
        <v>10</v>
      </c>
      <c r="Q146" s="28">
        <v>10</v>
      </c>
      <c r="R146" s="28">
        <v>10</v>
      </c>
      <c r="S146" s="28">
        <v>10</v>
      </c>
      <c r="T146" s="28">
        <v>10</v>
      </c>
      <c r="U146" s="28">
        <v>10</v>
      </c>
      <c r="V146" s="146">
        <f t="shared" ref="V146:V155" si="19">SUM(D146:U146)-0</f>
        <v>180</v>
      </c>
      <c r="W146" s="115"/>
      <c r="X146" s="147">
        <f>70+V146</f>
        <v>250</v>
      </c>
    </row>
    <row r="147" spans="2:24">
      <c r="B147" s="143" t="s">
        <v>141</v>
      </c>
      <c r="C147" s="144" t="s">
        <v>142</v>
      </c>
      <c r="D147" s="28">
        <v>10</v>
      </c>
      <c r="E147" s="28">
        <v>10</v>
      </c>
      <c r="F147" s="28">
        <v>10</v>
      </c>
      <c r="G147" s="28">
        <v>10</v>
      </c>
      <c r="H147" s="28">
        <v>10</v>
      </c>
      <c r="I147" s="28">
        <v>10</v>
      </c>
      <c r="J147" s="28">
        <v>10</v>
      </c>
      <c r="K147" s="28">
        <v>10</v>
      </c>
      <c r="L147" s="28">
        <v>10</v>
      </c>
      <c r="M147" s="28">
        <v>10</v>
      </c>
      <c r="N147" s="28">
        <v>10</v>
      </c>
      <c r="O147" s="28">
        <v>10</v>
      </c>
      <c r="P147" s="28">
        <v>10</v>
      </c>
      <c r="Q147" s="28">
        <v>10</v>
      </c>
      <c r="R147" s="28">
        <v>10</v>
      </c>
      <c r="S147" s="28">
        <v>10</v>
      </c>
      <c r="T147" s="28">
        <v>10</v>
      </c>
      <c r="U147" s="28">
        <v>10</v>
      </c>
      <c r="V147" s="146">
        <f t="shared" si="19"/>
        <v>180</v>
      </c>
      <c r="W147" s="115"/>
      <c r="X147" s="147">
        <f>71+V147</f>
        <v>251</v>
      </c>
    </row>
    <row r="148" spans="2:24">
      <c r="B148" s="143" t="s">
        <v>141</v>
      </c>
      <c r="C148" s="144" t="s">
        <v>142</v>
      </c>
      <c r="D148" s="28">
        <v>1</v>
      </c>
      <c r="E148" s="28">
        <v>1</v>
      </c>
      <c r="F148" s="28">
        <v>2</v>
      </c>
      <c r="G148" s="28">
        <v>1</v>
      </c>
      <c r="H148" s="28">
        <v>2</v>
      </c>
      <c r="I148" s="28">
        <v>2</v>
      </c>
      <c r="J148" s="28">
        <v>2</v>
      </c>
      <c r="K148" s="28">
        <v>2</v>
      </c>
      <c r="L148" s="28">
        <v>0</v>
      </c>
      <c r="M148" s="28">
        <v>1</v>
      </c>
      <c r="N148" s="28">
        <v>3</v>
      </c>
      <c r="O148" s="28">
        <v>5</v>
      </c>
      <c r="P148" s="28">
        <v>1</v>
      </c>
      <c r="Q148" s="28">
        <v>2</v>
      </c>
      <c r="R148" s="28">
        <v>0</v>
      </c>
      <c r="S148" s="28">
        <v>5</v>
      </c>
      <c r="T148" s="28">
        <v>3</v>
      </c>
      <c r="U148" s="28">
        <v>1</v>
      </c>
      <c r="V148" s="146">
        <f t="shared" si="19"/>
        <v>34</v>
      </c>
      <c r="W148" s="115"/>
      <c r="X148" s="147">
        <f>72+V148</f>
        <v>106</v>
      </c>
    </row>
    <row r="149" spans="2:24">
      <c r="B149" s="143" t="s">
        <v>141</v>
      </c>
      <c r="C149" s="144" t="s">
        <v>142</v>
      </c>
      <c r="D149" s="28">
        <v>2</v>
      </c>
      <c r="E149" s="28">
        <v>1</v>
      </c>
      <c r="F149" s="28">
        <v>2</v>
      </c>
      <c r="G149" s="28">
        <v>1</v>
      </c>
      <c r="H149" s="28">
        <v>1</v>
      </c>
      <c r="I149" s="28">
        <v>0</v>
      </c>
      <c r="J149" s="28">
        <v>0</v>
      </c>
      <c r="K149" s="28">
        <v>0</v>
      </c>
      <c r="L149" s="28">
        <v>1</v>
      </c>
      <c r="M149" s="28">
        <v>1</v>
      </c>
      <c r="N149" s="28">
        <v>2</v>
      </c>
      <c r="O149" s="28">
        <v>1</v>
      </c>
      <c r="P149" s="28">
        <v>1</v>
      </c>
      <c r="Q149" s="28">
        <v>2</v>
      </c>
      <c r="R149" s="28">
        <v>2</v>
      </c>
      <c r="S149" s="28">
        <v>2</v>
      </c>
      <c r="T149" s="28">
        <v>3</v>
      </c>
      <c r="U149" s="28">
        <v>3</v>
      </c>
      <c r="V149" s="146">
        <f t="shared" si="19"/>
        <v>25</v>
      </c>
      <c r="W149" s="115"/>
      <c r="X149" s="147">
        <f>72+V149</f>
        <v>97</v>
      </c>
    </row>
    <row r="150" spans="2:24">
      <c r="B150" s="143" t="s">
        <v>141</v>
      </c>
      <c r="C150" s="144" t="s">
        <v>142</v>
      </c>
      <c r="D150" s="28">
        <v>5</v>
      </c>
      <c r="E150" s="28">
        <v>1</v>
      </c>
      <c r="F150" s="28">
        <v>2</v>
      </c>
      <c r="G150" s="28">
        <v>0</v>
      </c>
      <c r="H150" s="28">
        <v>1</v>
      </c>
      <c r="I150" s="28">
        <v>1</v>
      </c>
      <c r="J150" s="28">
        <v>0</v>
      </c>
      <c r="K150" s="28">
        <v>5</v>
      </c>
      <c r="L150" s="28">
        <v>3</v>
      </c>
      <c r="M150" s="28">
        <v>1</v>
      </c>
      <c r="N150" s="28">
        <v>1</v>
      </c>
      <c r="O150" s="28">
        <v>1</v>
      </c>
      <c r="P150" s="28">
        <v>1</v>
      </c>
      <c r="Q150" s="28">
        <v>0</v>
      </c>
      <c r="R150" s="28">
        <v>1</v>
      </c>
      <c r="S150" s="28">
        <v>3</v>
      </c>
      <c r="T150" s="28">
        <v>1</v>
      </c>
      <c r="U150" s="28">
        <v>4</v>
      </c>
      <c r="V150" s="146">
        <f t="shared" si="19"/>
        <v>31</v>
      </c>
      <c r="W150" s="115"/>
      <c r="X150" s="147">
        <f>70+V150</f>
        <v>101</v>
      </c>
    </row>
    <row r="151" spans="2:24">
      <c r="B151" s="143" t="s">
        <v>141</v>
      </c>
      <c r="C151" s="144" t="s">
        <v>142</v>
      </c>
      <c r="D151" s="28">
        <v>0</v>
      </c>
      <c r="E151" s="28">
        <v>1</v>
      </c>
      <c r="F151" s="28">
        <v>2</v>
      </c>
      <c r="G151" s="28">
        <v>0</v>
      </c>
      <c r="H151" s="28">
        <v>3</v>
      </c>
      <c r="I151" s="28">
        <v>4</v>
      </c>
      <c r="J151" s="28">
        <v>2</v>
      </c>
      <c r="K151" s="28">
        <v>2</v>
      </c>
      <c r="L151" s="28">
        <v>2</v>
      </c>
      <c r="M151" s="28">
        <v>2</v>
      </c>
      <c r="N151" s="28">
        <v>3</v>
      </c>
      <c r="O151" s="28">
        <v>3</v>
      </c>
      <c r="P151" s="28">
        <v>1</v>
      </c>
      <c r="Q151" s="28">
        <v>3</v>
      </c>
      <c r="R151" s="28">
        <v>1</v>
      </c>
      <c r="S151" s="28">
        <v>3</v>
      </c>
      <c r="T151" s="28">
        <v>1</v>
      </c>
      <c r="U151" s="28">
        <v>0</v>
      </c>
      <c r="V151" s="146">
        <f t="shared" si="19"/>
        <v>33</v>
      </c>
      <c r="W151" s="115"/>
      <c r="X151" s="147">
        <f>72+V151</f>
        <v>105</v>
      </c>
    </row>
    <row r="152" spans="2:24">
      <c r="B152" s="143" t="s">
        <v>141</v>
      </c>
      <c r="C152" s="144" t="s">
        <v>142</v>
      </c>
      <c r="D152" s="28">
        <v>1</v>
      </c>
      <c r="E152" s="28">
        <v>2</v>
      </c>
      <c r="F152" s="28">
        <v>1</v>
      </c>
      <c r="G152" s="28">
        <v>1</v>
      </c>
      <c r="H152" s="28">
        <v>1</v>
      </c>
      <c r="I152" s="28">
        <v>2</v>
      </c>
      <c r="J152" s="28">
        <v>0</v>
      </c>
      <c r="K152" s="28">
        <v>4</v>
      </c>
      <c r="L152" s="28">
        <v>0</v>
      </c>
      <c r="M152" s="28">
        <v>2</v>
      </c>
      <c r="N152" s="28">
        <v>2</v>
      </c>
      <c r="O152" s="28">
        <v>2</v>
      </c>
      <c r="P152" s="28">
        <v>3</v>
      </c>
      <c r="Q152" s="28">
        <v>5</v>
      </c>
      <c r="R152" s="28">
        <v>5</v>
      </c>
      <c r="S152" s="28">
        <v>1</v>
      </c>
      <c r="T152" s="28">
        <v>2</v>
      </c>
      <c r="U152" s="28">
        <v>5</v>
      </c>
      <c r="V152" s="146">
        <f t="shared" si="19"/>
        <v>39</v>
      </c>
      <c r="W152" s="115"/>
      <c r="X152" s="147">
        <f>72+V152</f>
        <v>111</v>
      </c>
    </row>
    <row r="153" spans="2:24">
      <c r="B153" s="143" t="s">
        <v>141</v>
      </c>
      <c r="C153" s="144" t="s">
        <v>142</v>
      </c>
      <c r="D153" s="28">
        <v>5</v>
      </c>
      <c r="E153" s="28">
        <v>1</v>
      </c>
      <c r="F153" s="28">
        <v>0</v>
      </c>
      <c r="G153" s="28">
        <v>5</v>
      </c>
      <c r="H153" s="28">
        <v>3</v>
      </c>
      <c r="I153" s="28">
        <v>5</v>
      </c>
      <c r="J153" s="28">
        <v>5</v>
      </c>
      <c r="K153" s="28">
        <v>3</v>
      </c>
      <c r="L153" s="28">
        <v>1</v>
      </c>
      <c r="M153" s="28">
        <v>5</v>
      </c>
      <c r="N153" s="28">
        <v>3</v>
      </c>
      <c r="O153" s="28">
        <v>3</v>
      </c>
      <c r="P153" s="28">
        <v>4</v>
      </c>
      <c r="Q153" s="28">
        <v>0</v>
      </c>
      <c r="R153" s="28">
        <v>1</v>
      </c>
      <c r="S153" s="28">
        <v>2</v>
      </c>
      <c r="T153" s="28">
        <v>2</v>
      </c>
      <c r="U153" s="28">
        <v>2</v>
      </c>
      <c r="V153" s="146">
        <f t="shared" si="19"/>
        <v>50</v>
      </c>
      <c r="W153" s="115"/>
      <c r="X153" s="147">
        <f>70+V153</f>
        <v>120</v>
      </c>
    </row>
    <row r="154" spans="2:24">
      <c r="B154" s="143" t="s">
        <v>141</v>
      </c>
      <c r="C154" s="144" t="s">
        <v>142</v>
      </c>
      <c r="D154" s="28">
        <v>10</v>
      </c>
      <c r="E154" s="28">
        <v>10</v>
      </c>
      <c r="F154" s="28">
        <v>10</v>
      </c>
      <c r="G154" s="28">
        <v>10</v>
      </c>
      <c r="H154" s="28">
        <v>10</v>
      </c>
      <c r="I154" s="28">
        <v>10</v>
      </c>
      <c r="J154" s="28">
        <v>10</v>
      </c>
      <c r="K154" s="28">
        <v>10</v>
      </c>
      <c r="L154" s="28">
        <v>10</v>
      </c>
      <c r="M154" s="28">
        <v>10</v>
      </c>
      <c r="N154" s="28">
        <v>10</v>
      </c>
      <c r="O154" s="28">
        <v>10</v>
      </c>
      <c r="P154" s="28">
        <v>10</v>
      </c>
      <c r="Q154" s="28">
        <v>10</v>
      </c>
      <c r="R154" s="28">
        <v>10</v>
      </c>
      <c r="S154" s="28">
        <v>10</v>
      </c>
      <c r="T154" s="28">
        <v>10</v>
      </c>
      <c r="U154" s="28">
        <v>10</v>
      </c>
      <c r="V154" s="146">
        <f t="shared" si="19"/>
        <v>180</v>
      </c>
      <c r="W154" s="115"/>
      <c r="X154" s="147">
        <f>74+V154</f>
        <v>254</v>
      </c>
    </row>
    <row r="155" spans="2:24">
      <c r="B155" s="143" t="s">
        <v>141</v>
      </c>
      <c r="C155" s="144" t="s">
        <v>142</v>
      </c>
      <c r="D155" s="28">
        <v>10</v>
      </c>
      <c r="E155" s="28">
        <v>10</v>
      </c>
      <c r="F155" s="28">
        <v>10</v>
      </c>
      <c r="G155" s="28">
        <v>10</v>
      </c>
      <c r="H155" s="28">
        <v>10</v>
      </c>
      <c r="I155" s="28">
        <v>10</v>
      </c>
      <c r="J155" s="28">
        <v>10</v>
      </c>
      <c r="K155" s="28">
        <v>10</v>
      </c>
      <c r="L155" s="28">
        <v>10</v>
      </c>
      <c r="M155" s="28">
        <v>10</v>
      </c>
      <c r="N155" s="28">
        <v>10</v>
      </c>
      <c r="O155" s="28">
        <v>10</v>
      </c>
      <c r="P155" s="28">
        <v>10</v>
      </c>
      <c r="Q155" s="28">
        <v>10</v>
      </c>
      <c r="R155" s="28">
        <v>10</v>
      </c>
      <c r="S155" s="28">
        <v>10</v>
      </c>
      <c r="T155" s="28">
        <v>10</v>
      </c>
      <c r="U155" s="28">
        <v>10</v>
      </c>
      <c r="V155" s="148">
        <f t="shared" si="19"/>
        <v>180</v>
      </c>
      <c r="X155" s="149">
        <f>74+V155</f>
        <v>254</v>
      </c>
    </row>
    <row r="156" spans="2:24">
      <c r="W156" s="115"/>
    </row>
    <row r="157" spans="2:24">
      <c r="B157" s="12" t="s">
        <v>21</v>
      </c>
      <c r="C157" s="13" t="s">
        <v>22</v>
      </c>
      <c r="D157" s="34" t="s">
        <v>23</v>
      </c>
      <c r="E157" s="34" t="s">
        <v>24</v>
      </c>
      <c r="F157" s="34" t="s">
        <v>25</v>
      </c>
      <c r="G157" s="34" t="s">
        <v>26</v>
      </c>
      <c r="H157" s="34" t="s">
        <v>27</v>
      </c>
      <c r="I157" s="34" t="s">
        <v>28</v>
      </c>
      <c r="J157" s="34" t="s">
        <v>29</v>
      </c>
      <c r="K157" s="34" t="s">
        <v>30</v>
      </c>
      <c r="L157" s="34" t="s">
        <v>31</v>
      </c>
      <c r="M157" s="34" t="s">
        <v>81</v>
      </c>
      <c r="N157" s="34" t="s">
        <v>82</v>
      </c>
      <c r="O157" s="34" t="s">
        <v>83</v>
      </c>
      <c r="P157" s="34" t="s">
        <v>84</v>
      </c>
      <c r="Q157" s="34" t="s">
        <v>85</v>
      </c>
      <c r="R157" s="34" t="s">
        <v>86</v>
      </c>
      <c r="S157" s="34" t="s">
        <v>87</v>
      </c>
      <c r="T157" s="34" t="s">
        <v>88</v>
      </c>
      <c r="U157" s="34" t="s">
        <v>89</v>
      </c>
      <c r="V157" s="122" t="s">
        <v>40</v>
      </c>
      <c r="W157" s="115"/>
      <c r="X157" s="145" t="s">
        <v>93</v>
      </c>
    </row>
    <row r="158" spans="2:24">
      <c r="B158" s="143" t="s">
        <v>2</v>
      </c>
      <c r="C158" s="144" t="s">
        <v>3</v>
      </c>
      <c r="D158" s="28">
        <v>2</v>
      </c>
      <c r="E158" s="28">
        <v>3</v>
      </c>
      <c r="F158" s="28">
        <v>1</v>
      </c>
      <c r="G158" s="28">
        <v>0</v>
      </c>
      <c r="H158" s="28">
        <v>1</v>
      </c>
      <c r="I158" s="28">
        <v>2</v>
      </c>
      <c r="J158" s="28">
        <v>1</v>
      </c>
      <c r="K158" s="28">
        <v>1</v>
      </c>
      <c r="L158" s="28">
        <v>2</v>
      </c>
      <c r="M158" s="28">
        <v>1</v>
      </c>
      <c r="N158" s="28">
        <v>0</v>
      </c>
      <c r="O158" s="28">
        <v>0</v>
      </c>
      <c r="P158" s="28">
        <v>1</v>
      </c>
      <c r="Q158" s="28">
        <v>2</v>
      </c>
      <c r="R158" s="28">
        <v>3</v>
      </c>
      <c r="S158" s="28">
        <v>2</v>
      </c>
      <c r="T158" s="28">
        <v>0</v>
      </c>
      <c r="U158" s="28">
        <v>0</v>
      </c>
      <c r="V158" s="146">
        <f t="shared" ref="V158:V167" si="20">SUM(D158:U158)</f>
        <v>22</v>
      </c>
      <c r="W158" s="115"/>
      <c r="X158" s="147">
        <f>71+V158</f>
        <v>93</v>
      </c>
    </row>
    <row r="159" spans="2:24">
      <c r="B159" s="143" t="s">
        <v>2</v>
      </c>
      <c r="C159" s="144" t="s">
        <v>3</v>
      </c>
      <c r="D159" s="28">
        <v>2</v>
      </c>
      <c r="E159" s="28">
        <v>0</v>
      </c>
      <c r="F159" s="28">
        <v>2</v>
      </c>
      <c r="G159" s="28">
        <v>0</v>
      </c>
      <c r="H159" s="28">
        <v>3</v>
      </c>
      <c r="I159" s="28">
        <v>1</v>
      </c>
      <c r="J159" s="28">
        <v>0</v>
      </c>
      <c r="K159" s="28">
        <v>1</v>
      </c>
      <c r="L159" s="28">
        <v>1</v>
      </c>
      <c r="M159" s="28">
        <v>1</v>
      </c>
      <c r="N159" s="28">
        <v>1</v>
      </c>
      <c r="O159" s="28">
        <v>1</v>
      </c>
      <c r="P159" s="28">
        <v>1</v>
      </c>
      <c r="Q159" s="28">
        <v>1</v>
      </c>
      <c r="R159" s="28">
        <v>0</v>
      </c>
      <c r="S159" s="28">
        <v>1</v>
      </c>
      <c r="T159" s="28">
        <v>1</v>
      </c>
      <c r="U159" s="28">
        <v>-1</v>
      </c>
      <c r="V159" s="146">
        <f t="shared" si="20"/>
        <v>16</v>
      </c>
      <c r="W159" s="115"/>
      <c r="X159" s="147">
        <f>71+V159</f>
        <v>87</v>
      </c>
    </row>
    <row r="160" spans="2:24">
      <c r="B160" s="143" t="s">
        <v>2</v>
      </c>
      <c r="C160" s="144" t="s">
        <v>3</v>
      </c>
      <c r="D160" s="28">
        <v>2</v>
      </c>
      <c r="E160" s="28">
        <v>0</v>
      </c>
      <c r="F160" s="28">
        <v>3</v>
      </c>
      <c r="G160" s="28">
        <v>1</v>
      </c>
      <c r="H160" s="28">
        <v>1</v>
      </c>
      <c r="I160" s="28">
        <v>0</v>
      </c>
      <c r="J160" s="28">
        <v>1</v>
      </c>
      <c r="K160" s="28">
        <v>2</v>
      </c>
      <c r="L160" s="28">
        <v>0</v>
      </c>
      <c r="M160" s="28">
        <v>0</v>
      </c>
      <c r="N160" s="28">
        <v>1</v>
      </c>
      <c r="O160" s="28">
        <v>2</v>
      </c>
      <c r="P160" s="28">
        <v>2</v>
      </c>
      <c r="Q160" s="28">
        <v>1</v>
      </c>
      <c r="R160" s="28">
        <v>2</v>
      </c>
      <c r="S160" s="28">
        <v>0</v>
      </c>
      <c r="T160" s="28">
        <v>1</v>
      </c>
      <c r="U160" s="28">
        <v>3</v>
      </c>
      <c r="V160" s="146">
        <f t="shared" si="20"/>
        <v>22</v>
      </c>
      <c r="W160" s="115"/>
      <c r="X160" s="147">
        <f t="shared" ref="X160:X167" si="21">70+V160</f>
        <v>92</v>
      </c>
    </row>
    <row r="161" spans="2:24">
      <c r="B161" s="143" t="s">
        <v>2</v>
      </c>
      <c r="C161" s="144" t="s">
        <v>3</v>
      </c>
      <c r="D161" s="28">
        <v>10</v>
      </c>
      <c r="E161" s="28">
        <v>10</v>
      </c>
      <c r="F161" s="28">
        <v>10</v>
      </c>
      <c r="G161" s="28">
        <v>10</v>
      </c>
      <c r="H161" s="28">
        <v>10</v>
      </c>
      <c r="I161" s="28">
        <v>10</v>
      </c>
      <c r="J161" s="28">
        <v>10</v>
      </c>
      <c r="K161" s="28">
        <v>10</v>
      </c>
      <c r="L161" s="28">
        <v>10</v>
      </c>
      <c r="M161" s="28">
        <v>10</v>
      </c>
      <c r="N161" s="28">
        <v>10</v>
      </c>
      <c r="O161" s="28">
        <v>10</v>
      </c>
      <c r="P161" s="28">
        <v>10</v>
      </c>
      <c r="Q161" s="28">
        <v>10</v>
      </c>
      <c r="R161" s="28">
        <v>10</v>
      </c>
      <c r="S161" s="28">
        <v>10</v>
      </c>
      <c r="T161" s="28">
        <v>10</v>
      </c>
      <c r="U161" s="28">
        <v>10</v>
      </c>
      <c r="V161" s="146">
        <f t="shared" si="20"/>
        <v>180</v>
      </c>
      <c r="W161" s="115"/>
      <c r="X161" s="147">
        <f>71+V161</f>
        <v>251</v>
      </c>
    </row>
    <row r="162" spans="2:24">
      <c r="B162" s="143" t="s">
        <v>2</v>
      </c>
      <c r="C162" s="144" t="s">
        <v>3</v>
      </c>
      <c r="D162" s="28">
        <v>0</v>
      </c>
      <c r="E162" s="28">
        <v>1</v>
      </c>
      <c r="F162" s="28">
        <v>5</v>
      </c>
      <c r="G162" s="28">
        <v>-1</v>
      </c>
      <c r="H162" s="28">
        <v>2</v>
      </c>
      <c r="I162" s="28">
        <v>1</v>
      </c>
      <c r="J162" s="28">
        <v>2</v>
      </c>
      <c r="K162" s="28">
        <v>3</v>
      </c>
      <c r="L162" s="28">
        <v>1</v>
      </c>
      <c r="M162" s="28">
        <v>2</v>
      </c>
      <c r="N162" s="28">
        <v>2</v>
      </c>
      <c r="O162" s="28">
        <v>1</v>
      </c>
      <c r="P162" s="28">
        <v>0</v>
      </c>
      <c r="Q162" s="28">
        <v>5</v>
      </c>
      <c r="R162" s="28">
        <v>2</v>
      </c>
      <c r="S162" s="28">
        <v>3</v>
      </c>
      <c r="T162" s="28">
        <v>1</v>
      </c>
      <c r="U162" s="28">
        <v>1</v>
      </c>
      <c r="V162" s="146">
        <f t="shared" ref="V162" si="22">SUM(D162:U162)</f>
        <v>31</v>
      </c>
      <c r="W162" s="115"/>
      <c r="X162" s="147">
        <f>71+V162</f>
        <v>102</v>
      </c>
    </row>
    <row r="163" spans="2:24">
      <c r="B163" s="143" t="s">
        <v>2</v>
      </c>
      <c r="C163" s="144" t="s">
        <v>3</v>
      </c>
      <c r="D163" s="28">
        <v>3</v>
      </c>
      <c r="E163" s="28">
        <v>0</v>
      </c>
      <c r="F163" s="28">
        <v>4</v>
      </c>
      <c r="G163" s="28">
        <v>1</v>
      </c>
      <c r="H163" s="28">
        <v>1</v>
      </c>
      <c r="I163" s="28">
        <v>0</v>
      </c>
      <c r="J163" s="28">
        <v>2</v>
      </c>
      <c r="K163" s="28">
        <v>1</v>
      </c>
      <c r="L163" s="28">
        <v>0</v>
      </c>
      <c r="M163" s="28">
        <v>4</v>
      </c>
      <c r="N163" s="28">
        <v>1</v>
      </c>
      <c r="O163" s="28">
        <v>3</v>
      </c>
      <c r="P163" s="28">
        <v>1</v>
      </c>
      <c r="Q163" s="28">
        <v>0</v>
      </c>
      <c r="R163" s="28">
        <v>1</v>
      </c>
      <c r="S163" s="28">
        <v>1</v>
      </c>
      <c r="T163" s="28">
        <v>2</v>
      </c>
      <c r="U163" s="28">
        <v>1</v>
      </c>
      <c r="V163" s="146">
        <f t="shared" si="20"/>
        <v>26</v>
      </c>
      <c r="W163" s="115"/>
      <c r="X163" s="147">
        <f t="shared" si="21"/>
        <v>96</v>
      </c>
    </row>
    <row r="164" spans="2:24">
      <c r="B164" s="143" t="s">
        <v>2</v>
      </c>
      <c r="C164" s="144" t="s">
        <v>3</v>
      </c>
      <c r="D164" s="28">
        <v>0</v>
      </c>
      <c r="E164" s="28">
        <v>0</v>
      </c>
      <c r="F164" s="28">
        <v>0</v>
      </c>
      <c r="G164" s="28">
        <v>2</v>
      </c>
      <c r="H164" s="28">
        <v>2</v>
      </c>
      <c r="I164" s="28">
        <v>0</v>
      </c>
      <c r="J164" s="28">
        <v>0</v>
      </c>
      <c r="K164" s="28">
        <v>0</v>
      </c>
      <c r="L164" s="28">
        <v>1</v>
      </c>
      <c r="M164" s="28">
        <v>1</v>
      </c>
      <c r="N164" s="28">
        <v>2</v>
      </c>
      <c r="O164" s="28">
        <v>3</v>
      </c>
      <c r="P164" s="28">
        <v>1</v>
      </c>
      <c r="Q164" s="28">
        <v>3</v>
      </c>
      <c r="R164" s="28">
        <v>1</v>
      </c>
      <c r="S164" s="28">
        <v>1</v>
      </c>
      <c r="T164" s="28">
        <v>1</v>
      </c>
      <c r="U164" s="28">
        <v>0</v>
      </c>
      <c r="V164" s="146">
        <f>SUM(D164:U164)</f>
        <v>18</v>
      </c>
      <c r="W164" s="115"/>
      <c r="X164" s="147">
        <f>72+V164</f>
        <v>90</v>
      </c>
    </row>
    <row r="165" spans="2:24">
      <c r="B165" s="143" t="s">
        <v>2</v>
      </c>
      <c r="C165" s="144" t="s">
        <v>3</v>
      </c>
      <c r="D165" s="28">
        <v>1</v>
      </c>
      <c r="E165" s="28">
        <v>0</v>
      </c>
      <c r="F165" s="28">
        <v>0</v>
      </c>
      <c r="G165" s="28">
        <v>2</v>
      </c>
      <c r="H165" s="28">
        <v>0</v>
      </c>
      <c r="I165" s="28">
        <v>0</v>
      </c>
      <c r="J165" s="28">
        <v>2</v>
      </c>
      <c r="K165" s="28">
        <v>2</v>
      </c>
      <c r="L165" s="28">
        <v>0</v>
      </c>
      <c r="M165" s="28">
        <v>1</v>
      </c>
      <c r="N165" s="28">
        <v>1</v>
      </c>
      <c r="O165" s="28">
        <v>0</v>
      </c>
      <c r="P165" s="28">
        <v>0</v>
      </c>
      <c r="Q165" s="28">
        <v>0</v>
      </c>
      <c r="R165" s="28">
        <v>1</v>
      </c>
      <c r="S165" s="28">
        <v>3</v>
      </c>
      <c r="T165" s="28">
        <v>0</v>
      </c>
      <c r="U165" s="28">
        <v>3</v>
      </c>
      <c r="V165" s="146">
        <f t="shared" si="20"/>
        <v>16</v>
      </c>
      <c r="W165" s="115"/>
      <c r="X165" s="147">
        <f>72+V165</f>
        <v>88</v>
      </c>
    </row>
    <row r="166" spans="2:24">
      <c r="B166" s="143" t="s">
        <v>2</v>
      </c>
      <c r="C166" s="144" t="s">
        <v>3</v>
      </c>
      <c r="D166" s="28">
        <v>2</v>
      </c>
      <c r="E166" s="28">
        <v>1</v>
      </c>
      <c r="F166" s="28">
        <v>1</v>
      </c>
      <c r="G166" s="28">
        <v>2</v>
      </c>
      <c r="H166" s="28">
        <v>0</v>
      </c>
      <c r="I166" s="28">
        <v>0</v>
      </c>
      <c r="J166" s="28">
        <v>4</v>
      </c>
      <c r="K166" s="28">
        <v>1</v>
      </c>
      <c r="L166" s="28">
        <v>0</v>
      </c>
      <c r="M166" s="28">
        <v>2</v>
      </c>
      <c r="N166" s="28">
        <v>1</v>
      </c>
      <c r="O166" s="28">
        <v>0</v>
      </c>
      <c r="P166" s="28">
        <v>0</v>
      </c>
      <c r="Q166" s="28">
        <v>1</v>
      </c>
      <c r="R166" s="28">
        <v>1</v>
      </c>
      <c r="S166" s="28">
        <v>1</v>
      </c>
      <c r="T166" s="28">
        <v>1</v>
      </c>
      <c r="U166" s="28">
        <v>1</v>
      </c>
      <c r="V166" s="146">
        <f t="shared" si="20"/>
        <v>19</v>
      </c>
      <c r="X166" s="147">
        <f t="shared" si="21"/>
        <v>89</v>
      </c>
    </row>
    <row r="167" spans="2:24">
      <c r="B167" s="143" t="s">
        <v>2</v>
      </c>
      <c r="C167" s="144" t="s">
        <v>3</v>
      </c>
      <c r="D167" s="28">
        <v>2</v>
      </c>
      <c r="E167" s="28">
        <v>1</v>
      </c>
      <c r="F167" s="28">
        <v>1</v>
      </c>
      <c r="G167" s="28">
        <v>3</v>
      </c>
      <c r="H167" s="28">
        <v>1</v>
      </c>
      <c r="I167" s="28">
        <v>0</v>
      </c>
      <c r="J167" s="28">
        <v>0</v>
      </c>
      <c r="K167" s="28">
        <v>1</v>
      </c>
      <c r="L167" s="28">
        <v>-1</v>
      </c>
      <c r="M167" s="28">
        <v>1</v>
      </c>
      <c r="N167" s="28">
        <v>5</v>
      </c>
      <c r="O167" s="28">
        <v>0</v>
      </c>
      <c r="P167" s="28">
        <v>1</v>
      </c>
      <c r="Q167" s="28">
        <v>1</v>
      </c>
      <c r="R167" s="28">
        <v>1</v>
      </c>
      <c r="S167" s="28">
        <v>5</v>
      </c>
      <c r="T167" s="28">
        <v>2</v>
      </c>
      <c r="U167" s="28">
        <v>1</v>
      </c>
      <c r="V167" s="148">
        <f t="shared" si="20"/>
        <v>25</v>
      </c>
      <c r="W167" s="115"/>
      <c r="X167" s="149">
        <f t="shared" si="21"/>
        <v>95</v>
      </c>
    </row>
    <row r="168" spans="2:24">
      <c r="W168" s="115"/>
    </row>
    <row r="169" spans="2:24">
      <c r="B169" s="12" t="s">
        <v>21</v>
      </c>
      <c r="C169" s="13" t="s">
        <v>22</v>
      </c>
      <c r="D169" s="34" t="s">
        <v>23</v>
      </c>
      <c r="E169" s="34" t="s">
        <v>24</v>
      </c>
      <c r="F169" s="34" t="s">
        <v>25</v>
      </c>
      <c r="G169" s="34" t="s">
        <v>26</v>
      </c>
      <c r="H169" s="34" t="s">
        <v>27</v>
      </c>
      <c r="I169" s="34" t="s">
        <v>28</v>
      </c>
      <c r="J169" s="34" t="s">
        <v>29</v>
      </c>
      <c r="K169" s="34" t="s">
        <v>30</v>
      </c>
      <c r="L169" s="34" t="s">
        <v>31</v>
      </c>
      <c r="M169" s="34" t="s">
        <v>81</v>
      </c>
      <c r="N169" s="34" t="s">
        <v>82</v>
      </c>
      <c r="O169" s="34" t="s">
        <v>83</v>
      </c>
      <c r="P169" s="34" t="s">
        <v>84</v>
      </c>
      <c r="Q169" s="34" t="s">
        <v>85</v>
      </c>
      <c r="R169" s="34" t="s">
        <v>86</v>
      </c>
      <c r="S169" s="34" t="s">
        <v>87</v>
      </c>
      <c r="T169" s="34" t="s">
        <v>88</v>
      </c>
      <c r="U169" s="34" t="s">
        <v>89</v>
      </c>
      <c r="V169" s="122" t="s">
        <v>40</v>
      </c>
      <c r="W169" s="115"/>
      <c r="X169" s="145" t="s">
        <v>93</v>
      </c>
    </row>
    <row r="170" spans="2:24">
      <c r="B170" s="143" t="s">
        <v>113</v>
      </c>
      <c r="C170" s="144" t="s">
        <v>114</v>
      </c>
      <c r="D170" s="28">
        <v>5</v>
      </c>
      <c r="E170" s="28">
        <v>1</v>
      </c>
      <c r="F170" s="28">
        <v>3</v>
      </c>
      <c r="G170" s="28">
        <v>2</v>
      </c>
      <c r="H170" s="28">
        <v>1</v>
      </c>
      <c r="I170" s="28">
        <v>3</v>
      </c>
      <c r="J170" s="28">
        <v>3</v>
      </c>
      <c r="K170" s="28">
        <v>5</v>
      </c>
      <c r="L170" s="28">
        <v>1</v>
      </c>
      <c r="M170" s="28">
        <v>1</v>
      </c>
      <c r="N170" s="28">
        <v>2</v>
      </c>
      <c r="O170" s="28">
        <v>3</v>
      </c>
      <c r="P170" s="28">
        <v>5</v>
      </c>
      <c r="Q170" s="28">
        <v>5</v>
      </c>
      <c r="R170" s="28">
        <v>2</v>
      </c>
      <c r="S170" s="28">
        <v>0</v>
      </c>
      <c r="T170" s="28">
        <v>1</v>
      </c>
      <c r="U170" s="28">
        <v>1</v>
      </c>
      <c r="V170" s="146">
        <f t="shared" ref="V170:V178" si="23">SUM(D170:U170)</f>
        <v>44</v>
      </c>
      <c r="W170" s="115"/>
      <c r="X170" s="147">
        <f t="shared" ref="X170:X179" si="24">70+V170</f>
        <v>114</v>
      </c>
    </row>
    <row r="171" spans="2:24">
      <c r="B171" s="143" t="s">
        <v>113</v>
      </c>
      <c r="C171" s="144" t="s">
        <v>114</v>
      </c>
      <c r="D171" s="28">
        <v>10</v>
      </c>
      <c r="E171" s="28">
        <v>10</v>
      </c>
      <c r="F171" s="28">
        <v>10</v>
      </c>
      <c r="G171" s="28">
        <v>10</v>
      </c>
      <c r="H171" s="28">
        <v>10</v>
      </c>
      <c r="I171" s="28">
        <v>10</v>
      </c>
      <c r="J171" s="28">
        <v>10</v>
      </c>
      <c r="K171" s="28">
        <v>10</v>
      </c>
      <c r="L171" s="28">
        <v>10</v>
      </c>
      <c r="M171" s="28">
        <v>10</v>
      </c>
      <c r="N171" s="28">
        <v>10</v>
      </c>
      <c r="O171" s="28">
        <v>10</v>
      </c>
      <c r="P171" s="28">
        <v>10</v>
      </c>
      <c r="Q171" s="28">
        <v>10</v>
      </c>
      <c r="R171" s="28">
        <v>10</v>
      </c>
      <c r="S171" s="28">
        <v>10</v>
      </c>
      <c r="T171" s="28">
        <v>10</v>
      </c>
      <c r="U171" s="28">
        <v>10</v>
      </c>
      <c r="V171" s="146">
        <f t="shared" si="23"/>
        <v>180</v>
      </c>
      <c r="W171" s="115"/>
      <c r="X171" s="147">
        <f>72+V171</f>
        <v>252</v>
      </c>
    </row>
    <row r="172" spans="2:24">
      <c r="B172" s="143" t="s">
        <v>113</v>
      </c>
      <c r="C172" s="144" t="s">
        <v>114</v>
      </c>
      <c r="D172" s="28">
        <v>3</v>
      </c>
      <c r="E172" s="28">
        <v>1</v>
      </c>
      <c r="F172" s="28">
        <v>1</v>
      </c>
      <c r="G172" s="28">
        <v>0</v>
      </c>
      <c r="H172" s="28">
        <v>3</v>
      </c>
      <c r="I172" s="28">
        <v>0</v>
      </c>
      <c r="J172" s="28">
        <v>2</v>
      </c>
      <c r="K172" s="28">
        <v>1</v>
      </c>
      <c r="L172" s="28">
        <v>1</v>
      </c>
      <c r="M172" s="28">
        <v>2</v>
      </c>
      <c r="N172" s="28">
        <v>5</v>
      </c>
      <c r="O172" s="28">
        <v>3</v>
      </c>
      <c r="P172" s="28">
        <v>3</v>
      </c>
      <c r="Q172" s="28">
        <v>3</v>
      </c>
      <c r="R172" s="28">
        <v>0</v>
      </c>
      <c r="S172" s="28">
        <v>3</v>
      </c>
      <c r="T172" s="28">
        <v>1</v>
      </c>
      <c r="U172" s="28">
        <v>0</v>
      </c>
      <c r="V172" s="146">
        <f t="shared" si="23"/>
        <v>32</v>
      </c>
      <c r="W172" s="115"/>
      <c r="X172" s="147">
        <f t="shared" si="24"/>
        <v>102</v>
      </c>
    </row>
    <row r="173" spans="2:24">
      <c r="B173" s="143" t="s">
        <v>113</v>
      </c>
      <c r="C173" s="144" t="s">
        <v>114</v>
      </c>
      <c r="D173" s="28">
        <v>5</v>
      </c>
      <c r="E173" s="28">
        <v>2</v>
      </c>
      <c r="F173" s="28">
        <v>1</v>
      </c>
      <c r="G173" s="28">
        <v>0</v>
      </c>
      <c r="H173" s="28">
        <v>2</v>
      </c>
      <c r="I173" s="28">
        <v>2</v>
      </c>
      <c r="J173" s="28">
        <v>1</v>
      </c>
      <c r="K173" s="28">
        <v>3</v>
      </c>
      <c r="L173" s="28">
        <v>1</v>
      </c>
      <c r="M173" s="28">
        <v>3</v>
      </c>
      <c r="N173" s="28">
        <v>1</v>
      </c>
      <c r="O173" s="28">
        <v>1</v>
      </c>
      <c r="P173" s="28">
        <v>1</v>
      </c>
      <c r="Q173" s="28">
        <v>2</v>
      </c>
      <c r="R173" s="28">
        <v>2</v>
      </c>
      <c r="S173" s="28">
        <v>2</v>
      </c>
      <c r="T173" s="28">
        <v>2</v>
      </c>
      <c r="U173" s="28">
        <v>2</v>
      </c>
      <c r="V173" s="146">
        <f t="shared" si="23"/>
        <v>33</v>
      </c>
      <c r="W173" s="115"/>
      <c r="X173" s="147">
        <f>72+V173</f>
        <v>105</v>
      </c>
    </row>
    <row r="174" spans="2:24">
      <c r="B174" s="143" t="s">
        <v>113</v>
      </c>
      <c r="C174" s="144" t="s">
        <v>114</v>
      </c>
      <c r="D174" s="28">
        <v>10</v>
      </c>
      <c r="E174" s="28">
        <v>10</v>
      </c>
      <c r="F174" s="28">
        <v>10</v>
      </c>
      <c r="G174" s="28">
        <v>10</v>
      </c>
      <c r="H174" s="28">
        <v>10</v>
      </c>
      <c r="I174" s="28">
        <v>10</v>
      </c>
      <c r="J174" s="28">
        <v>10</v>
      </c>
      <c r="K174" s="28">
        <v>10</v>
      </c>
      <c r="L174" s="28">
        <v>10</v>
      </c>
      <c r="M174" s="28">
        <v>10</v>
      </c>
      <c r="N174" s="28">
        <v>10</v>
      </c>
      <c r="O174" s="28">
        <v>10</v>
      </c>
      <c r="P174" s="28">
        <v>10</v>
      </c>
      <c r="Q174" s="28">
        <v>10</v>
      </c>
      <c r="R174" s="28">
        <v>10</v>
      </c>
      <c r="S174" s="28">
        <v>10</v>
      </c>
      <c r="T174" s="28">
        <v>10</v>
      </c>
      <c r="U174" s="28">
        <v>10</v>
      </c>
      <c r="V174" s="146">
        <f t="shared" si="23"/>
        <v>180</v>
      </c>
      <c r="W174" s="115"/>
      <c r="X174" s="147">
        <f>71+V174</f>
        <v>251</v>
      </c>
    </row>
    <row r="175" spans="2:24">
      <c r="B175" s="143" t="s">
        <v>113</v>
      </c>
      <c r="C175" s="144" t="s">
        <v>114</v>
      </c>
      <c r="D175" s="28">
        <v>10</v>
      </c>
      <c r="E175" s="28">
        <v>10</v>
      </c>
      <c r="F175" s="28">
        <v>10</v>
      </c>
      <c r="G175" s="28">
        <v>10</v>
      </c>
      <c r="H175" s="28">
        <v>10</v>
      </c>
      <c r="I175" s="28">
        <v>10</v>
      </c>
      <c r="J175" s="28">
        <v>10</v>
      </c>
      <c r="K175" s="28">
        <v>10</v>
      </c>
      <c r="L175" s="28">
        <v>10</v>
      </c>
      <c r="M175" s="28">
        <v>10</v>
      </c>
      <c r="N175" s="28">
        <v>10</v>
      </c>
      <c r="O175" s="28">
        <v>10</v>
      </c>
      <c r="P175" s="28">
        <v>10</v>
      </c>
      <c r="Q175" s="28">
        <v>10</v>
      </c>
      <c r="R175" s="28">
        <v>10</v>
      </c>
      <c r="S175" s="28">
        <v>10</v>
      </c>
      <c r="T175" s="28">
        <v>10</v>
      </c>
      <c r="U175" s="28">
        <v>10</v>
      </c>
      <c r="V175" s="146">
        <f t="shared" si="23"/>
        <v>180</v>
      </c>
      <c r="W175" s="115"/>
      <c r="X175" s="147">
        <f t="shared" si="24"/>
        <v>250</v>
      </c>
    </row>
    <row r="176" spans="2:24">
      <c r="B176" s="143" t="s">
        <v>113</v>
      </c>
      <c r="C176" s="144" t="s">
        <v>114</v>
      </c>
      <c r="D176" s="28">
        <v>3</v>
      </c>
      <c r="E176" s="28">
        <v>3</v>
      </c>
      <c r="F176" s="28">
        <v>2</v>
      </c>
      <c r="G176" s="28">
        <v>1</v>
      </c>
      <c r="H176" s="28">
        <v>2</v>
      </c>
      <c r="I176" s="28">
        <v>2</v>
      </c>
      <c r="J176" s="28">
        <v>1</v>
      </c>
      <c r="K176" s="28">
        <v>2</v>
      </c>
      <c r="L176" s="28">
        <v>4</v>
      </c>
      <c r="M176" s="28">
        <v>1</v>
      </c>
      <c r="N176" s="28">
        <v>2</v>
      </c>
      <c r="O176" s="28">
        <v>3</v>
      </c>
      <c r="P176" s="28">
        <v>1</v>
      </c>
      <c r="Q176" s="28">
        <v>5</v>
      </c>
      <c r="R176" s="28">
        <v>0</v>
      </c>
      <c r="S176" s="28">
        <v>2</v>
      </c>
      <c r="T176" s="28">
        <v>4</v>
      </c>
      <c r="U176" s="28">
        <v>1</v>
      </c>
      <c r="V176" s="146">
        <f t="shared" si="23"/>
        <v>39</v>
      </c>
      <c r="W176" s="115"/>
      <c r="X176" s="147">
        <f>72+V176</f>
        <v>111</v>
      </c>
    </row>
    <row r="177" spans="2:24">
      <c r="B177" s="143" t="s">
        <v>113</v>
      </c>
      <c r="C177" s="144" t="s">
        <v>114</v>
      </c>
      <c r="D177" s="28">
        <v>4</v>
      </c>
      <c r="E177" s="28">
        <v>3</v>
      </c>
      <c r="F177" s="28">
        <v>0</v>
      </c>
      <c r="G177" s="28">
        <v>3</v>
      </c>
      <c r="H177" s="28">
        <v>3</v>
      </c>
      <c r="I177" s="28">
        <v>1</v>
      </c>
      <c r="J177" s="28">
        <v>1</v>
      </c>
      <c r="K177" s="28">
        <v>1</v>
      </c>
      <c r="L177" s="28">
        <v>2</v>
      </c>
      <c r="M177" s="28">
        <v>5</v>
      </c>
      <c r="N177" s="28">
        <v>3</v>
      </c>
      <c r="O177" s="28">
        <v>-1</v>
      </c>
      <c r="P177" s="28">
        <v>2</v>
      </c>
      <c r="Q177" s="28">
        <v>1</v>
      </c>
      <c r="R177" s="28">
        <v>0</v>
      </c>
      <c r="S177" s="28">
        <v>0</v>
      </c>
      <c r="T177" s="28">
        <v>0</v>
      </c>
      <c r="U177" s="28">
        <v>3</v>
      </c>
      <c r="V177" s="146">
        <f t="shared" si="23"/>
        <v>31</v>
      </c>
      <c r="X177" s="147">
        <f>72+V177</f>
        <v>103</v>
      </c>
    </row>
    <row r="178" spans="2:24">
      <c r="B178" s="143" t="s">
        <v>113</v>
      </c>
      <c r="C178" s="144" t="s">
        <v>114</v>
      </c>
      <c r="D178" s="28">
        <v>0</v>
      </c>
      <c r="E178" s="28">
        <v>2</v>
      </c>
      <c r="F178" s="28">
        <v>1</v>
      </c>
      <c r="G178" s="28">
        <v>5</v>
      </c>
      <c r="H178" s="28">
        <v>1</v>
      </c>
      <c r="I178" s="28">
        <v>1</v>
      </c>
      <c r="J178" s="28">
        <v>2</v>
      </c>
      <c r="K178" s="28">
        <v>0</v>
      </c>
      <c r="L178" s="28">
        <v>3</v>
      </c>
      <c r="M178" s="28">
        <v>3</v>
      </c>
      <c r="N178" s="28">
        <v>2</v>
      </c>
      <c r="O178" s="28">
        <v>3</v>
      </c>
      <c r="P178" s="28">
        <v>1</v>
      </c>
      <c r="Q178" s="28">
        <v>2</v>
      </c>
      <c r="R178" s="28">
        <v>5</v>
      </c>
      <c r="S178" s="28">
        <v>3</v>
      </c>
      <c r="T178" s="28">
        <v>4</v>
      </c>
      <c r="U178" s="28">
        <v>5</v>
      </c>
      <c r="V178" s="148">
        <f t="shared" si="23"/>
        <v>43</v>
      </c>
      <c r="X178" s="149">
        <f>71+V178</f>
        <v>114</v>
      </c>
    </row>
    <row r="179" spans="2:24">
      <c r="B179" s="143" t="s">
        <v>113</v>
      </c>
      <c r="C179" s="144" t="s">
        <v>114</v>
      </c>
      <c r="D179" s="28">
        <v>1</v>
      </c>
      <c r="E179" s="28">
        <v>1</v>
      </c>
      <c r="F179" s="28">
        <v>2</v>
      </c>
      <c r="G179" s="28">
        <v>2</v>
      </c>
      <c r="H179" s="28">
        <v>2</v>
      </c>
      <c r="I179" s="28">
        <v>1</v>
      </c>
      <c r="J179" s="28">
        <v>2</v>
      </c>
      <c r="K179" s="28">
        <v>1</v>
      </c>
      <c r="L179" s="28">
        <v>2</v>
      </c>
      <c r="M179" s="28">
        <v>1</v>
      </c>
      <c r="N179" s="28">
        <v>2</v>
      </c>
      <c r="O179" s="28">
        <v>1</v>
      </c>
      <c r="P179" s="28">
        <v>0</v>
      </c>
      <c r="Q179" s="28">
        <v>0</v>
      </c>
      <c r="R179" s="28">
        <v>3</v>
      </c>
      <c r="S179" s="28">
        <v>2</v>
      </c>
      <c r="T179" s="28">
        <v>4</v>
      </c>
      <c r="U179" s="28">
        <v>1</v>
      </c>
      <c r="V179" s="223">
        <f>SUM(D179:U179)</f>
        <v>28</v>
      </c>
      <c r="X179" s="149">
        <f t="shared" si="24"/>
        <v>98</v>
      </c>
    </row>
    <row r="180" spans="2:24">
      <c r="B180" s="295"/>
      <c r="C180" s="296"/>
      <c r="D180" s="297"/>
      <c r="E180" s="297"/>
      <c r="F180" s="297"/>
      <c r="G180" s="297"/>
      <c r="H180" s="297"/>
      <c r="I180" s="297"/>
      <c r="J180" s="297"/>
      <c r="K180" s="297"/>
      <c r="L180" s="297"/>
      <c r="M180" s="297"/>
      <c r="N180" s="297"/>
      <c r="O180" s="297"/>
      <c r="P180" s="297"/>
      <c r="Q180" s="297"/>
      <c r="R180" s="297"/>
      <c r="S180" s="297"/>
      <c r="T180" s="297"/>
      <c r="U180" s="297"/>
      <c r="V180" s="298"/>
    </row>
    <row r="181" spans="2:24">
      <c r="B181" s="12" t="s">
        <v>21</v>
      </c>
      <c r="C181" s="13" t="s">
        <v>22</v>
      </c>
      <c r="D181" s="34" t="s">
        <v>23</v>
      </c>
      <c r="E181" s="34" t="s">
        <v>24</v>
      </c>
      <c r="F181" s="34" t="s">
        <v>25</v>
      </c>
      <c r="G181" s="34" t="s">
        <v>26</v>
      </c>
      <c r="H181" s="34" t="s">
        <v>27</v>
      </c>
      <c r="I181" s="34" t="s">
        <v>28</v>
      </c>
      <c r="J181" s="34" t="s">
        <v>29</v>
      </c>
      <c r="K181" s="34" t="s">
        <v>30</v>
      </c>
      <c r="L181" s="34" t="s">
        <v>31</v>
      </c>
      <c r="M181" s="34" t="s">
        <v>81</v>
      </c>
      <c r="N181" s="34" t="s">
        <v>82</v>
      </c>
      <c r="O181" s="34" t="s">
        <v>83</v>
      </c>
      <c r="P181" s="34" t="s">
        <v>84</v>
      </c>
      <c r="Q181" s="34" t="s">
        <v>85</v>
      </c>
      <c r="R181" s="34" t="s">
        <v>86</v>
      </c>
      <c r="S181" s="34" t="s">
        <v>87</v>
      </c>
      <c r="T181" s="34" t="s">
        <v>88</v>
      </c>
      <c r="U181" s="34" t="s">
        <v>89</v>
      </c>
      <c r="V181" s="122" t="s">
        <v>40</v>
      </c>
      <c r="X181" s="145" t="s">
        <v>93</v>
      </c>
    </row>
    <row r="182" spans="2:24">
      <c r="B182" s="143" t="s">
        <v>122</v>
      </c>
      <c r="C182" s="144" t="s">
        <v>123</v>
      </c>
      <c r="D182" s="28">
        <v>1</v>
      </c>
      <c r="E182" s="28">
        <v>0</v>
      </c>
      <c r="F182" s="28">
        <v>5</v>
      </c>
      <c r="G182" s="28">
        <v>0</v>
      </c>
      <c r="H182" s="28">
        <v>1</v>
      </c>
      <c r="I182" s="28">
        <v>2</v>
      </c>
      <c r="J182" s="28">
        <v>5</v>
      </c>
      <c r="K182" s="28">
        <v>2</v>
      </c>
      <c r="L182" s="28">
        <v>0</v>
      </c>
      <c r="M182" s="28">
        <v>2</v>
      </c>
      <c r="N182" s="28">
        <v>1</v>
      </c>
      <c r="O182" s="28">
        <v>1</v>
      </c>
      <c r="P182" s="28">
        <v>1</v>
      </c>
      <c r="Q182" s="28">
        <v>4</v>
      </c>
      <c r="R182" s="28">
        <v>1</v>
      </c>
      <c r="S182" s="28">
        <v>4</v>
      </c>
      <c r="T182" s="28">
        <v>2</v>
      </c>
      <c r="U182" s="28">
        <v>2</v>
      </c>
      <c r="V182" s="146">
        <f t="shared" ref="V182:V190" si="25">SUM(D182:U182)</f>
        <v>34</v>
      </c>
      <c r="X182" s="147">
        <f>71+V182</f>
        <v>105</v>
      </c>
    </row>
    <row r="183" spans="2:24">
      <c r="B183" s="143" t="s">
        <v>122</v>
      </c>
      <c r="C183" s="144" t="s">
        <v>123</v>
      </c>
      <c r="D183" s="28">
        <v>10</v>
      </c>
      <c r="E183" s="28">
        <v>10</v>
      </c>
      <c r="F183" s="28">
        <v>10</v>
      </c>
      <c r="G183" s="28">
        <v>10</v>
      </c>
      <c r="H183" s="28">
        <v>10</v>
      </c>
      <c r="I183" s="28">
        <v>10</v>
      </c>
      <c r="J183" s="28">
        <v>10</v>
      </c>
      <c r="K183" s="28">
        <v>10</v>
      </c>
      <c r="L183" s="28">
        <v>10</v>
      </c>
      <c r="M183" s="28">
        <v>10</v>
      </c>
      <c r="N183" s="28">
        <v>10</v>
      </c>
      <c r="O183" s="28">
        <v>10</v>
      </c>
      <c r="P183" s="28">
        <v>10</v>
      </c>
      <c r="Q183" s="28">
        <v>10</v>
      </c>
      <c r="R183" s="28">
        <v>10</v>
      </c>
      <c r="S183" s="28">
        <v>10</v>
      </c>
      <c r="T183" s="28">
        <v>10</v>
      </c>
      <c r="U183" s="28">
        <v>10</v>
      </c>
      <c r="V183" s="146">
        <f t="shared" si="25"/>
        <v>180</v>
      </c>
      <c r="X183" s="147">
        <f>72+V183</f>
        <v>252</v>
      </c>
    </row>
    <row r="184" spans="2:24">
      <c r="B184" s="143" t="s">
        <v>122</v>
      </c>
      <c r="C184" s="144" t="s">
        <v>123</v>
      </c>
      <c r="D184" s="28">
        <v>10</v>
      </c>
      <c r="E184" s="28">
        <v>10</v>
      </c>
      <c r="F184" s="28">
        <v>10</v>
      </c>
      <c r="G184" s="28">
        <v>10</v>
      </c>
      <c r="H184" s="28">
        <v>10</v>
      </c>
      <c r="I184" s="28">
        <v>10</v>
      </c>
      <c r="J184" s="28">
        <v>10</v>
      </c>
      <c r="K184" s="28">
        <v>10</v>
      </c>
      <c r="L184" s="28">
        <v>10</v>
      </c>
      <c r="M184" s="28">
        <v>10</v>
      </c>
      <c r="N184" s="28">
        <v>10</v>
      </c>
      <c r="O184" s="28">
        <v>10</v>
      </c>
      <c r="P184" s="28">
        <v>10</v>
      </c>
      <c r="Q184" s="28">
        <v>10</v>
      </c>
      <c r="R184" s="28">
        <v>10</v>
      </c>
      <c r="S184" s="28">
        <v>10</v>
      </c>
      <c r="T184" s="28">
        <v>10</v>
      </c>
      <c r="U184" s="28">
        <v>10</v>
      </c>
      <c r="V184" s="146">
        <f t="shared" si="25"/>
        <v>180</v>
      </c>
      <c r="X184" s="147">
        <f t="shared" ref="X184:X189" si="26">72+V184</f>
        <v>252</v>
      </c>
    </row>
    <row r="185" spans="2:24">
      <c r="B185" s="143" t="s">
        <v>122</v>
      </c>
      <c r="C185" s="144" t="s">
        <v>123</v>
      </c>
      <c r="D185" s="28">
        <v>5</v>
      </c>
      <c r="E185" s="28">
        <v>2</v>
      </c>
      <c r="F185" s="28">
        <v>3</v>
      </c>
      <c r="G185" s="28">
        <v>5</v>
      </c>
      <c r="H185" s="28">
        <v>1</v>
      </c>
      <c r="I185" s="28">
        <v>2</v>
      </c>
      <c r="J185" s="28">
        <v>1</v>
      </c>
      <c r="K185" s="28">
        <v>2</v>
      </c>
      <c r="L185" s="28">
        <v>1</v>
      </c>
      <c r="M185" s="28">
        <v>0</v>
      </c>
      <c r="N185" s="28">
        <v>3</v>
      </c>
      <c r="O185" s="28">
        <v>1</v>
      </c>
      <c r="P185" s="28">
        <v>0</v>
      </c>
      <c r="Q185" s="28">
        <v>2</v>
      </c>
      <c r="R185" s="28">
        <v>0</v>
      </c>
      <c r="S185" s="28">
        <v>1</v>
      </c>
      <c r="T185" s="28">
        <v>2</v>
      </c>
      <c r="U185" s="28">
        <v>2</v>
      </c>
      <c r="V185" s="146">
        <f t="shared" si="25"/>
        <v>33</v>
      </c>
      <c r="X185" s="147">
        <f>72+V185</f>
        <v>105</v>
      </c>
    </row>
    <row r="186" spans="2:24">
      <c r="B186" s="143" t="s">
        <v>122</v>
      </c>
      <c r="C186" s="144" t="s">
        <v>123</v>
      </c>
      <c r="D186" s="28">
        <v>4</v>
      </c>
      <c r="E186" s="28">
        <v>2</v>
      </c>
      <c r="F186" s="28">
        <v>1</v>
      </c>
      <c r="G186" s="28">
        <v>1</v>
      </c>
      <c r="H186" s="28">
        <v>3</v>
      </c>
      <c r="I186" s="28">
        <v>2</v>
      </c>
      <c r="J186" s="28">
        <v>4</v>
      </c>
      <c r="K186" s="28">
        <v>2</v>
      </c>
      <c r="L186" s="28">
        <v>5</v>
      </c>
      <c r="M186" s="28">
        <v>3</v>
      </c>
      <c r="N186" s="28">
        <v>1</v>
      </c>
      <c r="O186" s="28">
        <v>1</v>
      </c>
      <c r="P186" s="28">
        <v>-1</v>
      </c>
      <c r="Q186" s="28">
        <v>0</v>
      </c>
      <c r="R186" s="28">
        <v>3</v>
      </c>
      <c r="S186" s="28">
        <v>3</v>
      </c>
      <c r="T186" s="28">
        <v>0</v>
      </c>
      <c r="U186" s="28">
        <v>5</v>
      </c>
      <c r="V186" s="146">
        <f t="shared" si="25"/>
        <v>39</v>
      </c>
      <c r="X186" s="147">
        <f>71+V186</f>
        <v>110</v>
      </c>
    </row>
    <row r="187" spans="2:24">
      <c r="B187" s="143" t="s">
        <v>122</v>
      </c>
      <c r="C187" s="144" t="s">
        <v>123</v>
      </c>
      <c r="D187" s="28">
        <v>2</v>
      </c>
      <c r="E187" s="28">
        <v>4</v>
      </c>
      <c r="F187" s="28">
        <v>4</v>
      </c>
      <c r="G187" s="28">
        <v>0</v>
      </c>
      <c r="H187" s="28">
        <v>3</v>
      </c>
      <c r="I187" s="28">
        <v>5</v>
      </c>
      <c r="J187" s="28">
        <v>2</v>
      </c>
      <c r="K187" s="28">
        <v>1</v>
      </c>
      <c r="L187" s="28">
        <v>3</v>
      </c>
      <c r="M187" s="28">
        <v>3</v>
      </c>
      <c r="N187" s="28">
        <v>2</v>
      </c>
      <c r="O187" s="28">
        <v>5</v>
      </c>
      <c r="P187" s="28">
        <v>3</v>
      </c>
      <c r="Q187" s="28">
        <v>1</v>
      </c>
      <c r="R187" s="28">
        <v>2</v>
      </c>
      <c r="S187" s="28">
        <v>3</v>
      </c>
      <c r="T187" s="28">
        <v>3</v>
      </c>
      <c r="U187" s="28">
        <v>3</v>
      </c>
      <c r="V187" s="146">
        <f t="shared" si="25"/>
        <v>49</v>
      </c>
      <c r="X187" s="147">
        <f>70+V187</f>
        <v>119</v>
      </c>
    </row>
    <row r="188" spans="2:24">
      <c r="B188" s="143" t="s">
        <v>122</v>
      </c>
      <c r="C188" s="144" t="s">
        <v>123</v>
      </c>
      <c r="D188" s="28">
        <v>1</v>
      </c>
      <c r="E188" s="28">
        <v>1</v>
      </c>
      <c r="F188" s="28">
        <v>1</v>
      </c>
      <c r="G188" s="28">
        <v>2</v>
      </c>
      <c r="H188" s="28">
        <v>1</v>
      </c>
      <c r="I188" s="28">
        <v>3</v>
      </c>
      <c r="J188" s="28">
        <v>1</v>
      </c>
      <c r="K188" s="28">
        <v>2</v>
      </c>
      <c r="L188" s="28">
        <v>1</v>
      </c>
      <c r="M188" s="28">
        <v>2</v>
      </c>
      <c r="N188" s="28">
        <v>0</v>
      </c>
      <c r="O188" s="28">
        <v>1</v>
      </c>
      <c r="P188" s="28">
        <v>1</v>
      </c>
      <c r="Q188" s="28">
        <v>2</v>
      </c>
      <c r="R188" s="28">
        <v>3</v>
      </c>
      <c r="S188" s="28">
        <v>1</v>
      </c>
      <c r="T188" s="28">
        <v>3</v>
      </c>
      <c r="U188" s="28">
        <v>2</v>
      </c>
      <c r="V188" s="146">
        <f t="shared" si="25"/>
        <v>28</v>
      </c>
      <c r="X188" s="147">
        <f>72+V188</f>
        <v>100</v>
      </c>
    </row>
    <row r="189" spans="2:24">
      <c r="B189" s="143" t="s">
        <v>122</v>
      </c>
      <c r="C189" s="144" t="s">
        <v>123</v>
      </c>
      <c r="D189" s="28">
        <v>2</v>
      </c>
      <c r="E189" s="28">
        <v>0</v>
      </c>
      <c r="F189" s="28">
        <v>1</v>
      </c>
      <c r="G189" s="28">
        <v>0</v>
      </c>
      <c r="H189" s="28">
        <v>3</v>
      </c>
      <c r="I189" s="28">
        <v>0</v>
      </c>
      <c r="J189" s="28">
        <v>0</v>
      </c>
      <c r="K189" s="28">
        <v>3</v>
      </c>
      <c r="L189" s="28">
        <v>5</v>
      </c>
      <c r="M189" s="28">
        <v>3</v>
      </c>
      <c r="N189" s="28">
        <v>1</v>
      </c>
      <c r="O189" s="28">
        <v>0</v>
      </c>
      <c r="P189" s="28">
        <v>4</v>
      </c>
      <c r="Q189" s="28">
        <v>0</v>
      </c>
      <c r="R189" s="28">
        <v>2</v>
      </c>
      <c r="S189" s="28">
        <v>1</v>
      </c>
      <c r="T189" s="28">
        <v>1</v>
      </c>
      <c r="U189" s="28">
        <v>2</v>
      </c>
      <c r="V189" s="146">
        <f t="shared" si="25"/>
        <v>28</v>
      </c>
      <c r="X189" s="147">
        <f t="shared" si="26"/>
        <v>100</v>
      </c>
    </row>
    <row r="190" spans="2:24">
      <c r="B190" s="143" t="s">
        <v>122</v>
      </c>
      <c r="C190" s="144" t="s">
        <v>123</v>
      </c>
      <c r="D190" s="28">
        <v>3</v>
      </c>
      <c r="E190" s="28">
        <v>3</v>
      </c>
      <c r="F190" s="28">
        <v>2</v>
      </c>
      <c r="G190" s="28">
        <v>1</v>
      </c>
      <c r="H190" s="28">
        <v>3</v>
      </c>
      <c r="I190" s="28">
        <v>4</v>
      </c>
      <c r="J190" s="28">
        <v>5</v>
      </c>
      <c r="K190" s="28">
        <v>3</v>
      </c>
      <c r="L190" s="28">
        <v>2</v>
      </c>
      <c r="M190" s="28">
        <v>2</v>
      </c>
      <c r="N190" s="28">
        <v>5</v>
      </c>
      <c r="O190" s="28">
        <v>2</v>
      </c>
      <c r="P190" s="28">
        <v>4</v>
      </c>
      <c r="Q190" s="28">
        <v>1</v>
      </c>
      <c r="R190" s="28">
        <v>1</v>
      </c>
      <c r="S190" s="28">
        <v>2</v>
      </c>
      <c r="T190" s="28">
        <v>1</v>
      </c>
      <c r="U190" s="28">
        <v>5</v>
      </c>
      <c r="V190" s="148">
        <f t="shared" si="25"/>
        <v>49</v>
      </c>
      <c r="X190" s="149">
        <f>71+V190</f>
        <v>120</v>
      </c>
    </row>
    <row r="191" spans="2:24">
      <c r="B191" s="143" t="s">
        <v>122</v>
      </c>
      <c r="C191" s="144" t="s">
        <v>123</v>
      </c>
      <c r="D191" s="28">
        <v>1</v>
      </c>
      <c r="E191" s="28">
        <v>1</v>
      </c>
      <c r="F191" s="28">
        <v>1</v>
      </c>
      <c r="G191" s="28">
        <v>2</v>
      </c>
      <c r="H191" s="28">
        <v>1</v>
      </c>
      <c r="I191" s="28">
        <v>1</v>
      </c>
      <c r="J191" s="28">
        <v>1</v>
      </c>
      <c r="K191" s="28">
        <v>2</v>
      </c>
      <c r="L191" s="28">
        <v>1</v>
      </c>
      <c r="M191" s="28">
        <v>2</v>
      </c>
      <c r="N191" s="28">
        <v>3</v>
      </c>
      <c r="O191" s="28">
        <v>2</v>
      </c>
      <c r="P191" s="28">
        <v>2</v>
      </c>
      <c r="Q191" s="28">
        <v>2</v>
      </c>
      <c r="R191" s="28">
        <v>0</v>
      </c>
      <c r="S191" s="28">
        <v>3</v>
      </c>
      <c r="T191" s="28">
        <v>1</v>
      </c>
      <c r="U191" s="28">
        <v>2</v>
      </c>
      <c r="V191" s="223">
        <f>SUM(D191:U191)</f>
        <v>28</v>
      </c>
    </row>
    <row r="192" spans="2:24">
      <c r="B192" s="12" t="s">
        <v>21</v>
      </c>
      <c r="C192" s="13" t="s">
        <v>22</v>
      </c>
      <c r="D192" s="34" t="s">
        <v>23</v>
      </c>
      <c r="E192" s="34" t="s">
        <v>24</v>
      </c>
      <c r="F192" s="34" t="s">
        <v>25</v>
      </c>
      <c r="G192" s="34" t="s">
        <v>26</v>
      </c>
      <c r="H192" s="34" t="s">
        <v>27</v>
      </c>
      <c r="I192" s="34" t="s">
        <v>28</v>
      </c>
      <c r="J192" s="34" t="s">
        <v>29</v>
      </c>
      <c r="K192" s="34" t="s">
        <v>30</v>
      </c>
      <c r="L192" s="34" t="s">
        <v>31</v>
      </c>
      <c r="M192" s="34" t="s">
        <v>81</v>
      </c>
      <c r="N192" s="34" t="s">
        <v>82</v>
      </c>
      <c r="O192" s="34" t="s">
        <v>83</v>
      </c>
      <c r="P192" s="34" t="s">
        <v>84</v>
      </c>
      <c r="Q192" s="34" t="s">
        <v>85</v>
      </c>
      <c r="R192" s="34" t="s">
        <v>86</v>
      </c>
      <c r="S192" s="34" t="s">
        <v>87</v>
      </c>
      <c r="T192" s="34" t="s">
        <v>88</v>
      </c>
      <c r="U192" s="34" t="s">
        <v>89</v>
      </c>
      <c r="V192" s="122" t="s">
        <v>40</v>
      </c>
      <c r="X192" s="145" t="s">
        <v>93</v>
      </c>
    </row>
    <row r="193" spans="2:24">
      <c r="B193" s="12" t="s">
        <v>117</v>
      </c>
      <c r="C193" s="144" t="s">
        <v>118</v>
      </c>
      <c r="D193" s="28">
        <v>-1</v>
      </c>
      <c r="E193" s="28">
        <v>2</v>
      </c>
      <c r="F193" s="28">
        <v>0</v>
      </c>
      <c r="G193" s="28">
        <v>1</v>
      </c>
      <c r="H193" s="28">
        <v>1</v>
      </c>
      <c r="I193" s="28">
        <v>1</v>
      </c>
      <c r="J193" s="28">
        <v>1</v>
      </c>
      <c r="K193" s="28">
        <v>1</v>
      </c>
      <c r="L193" s="28">
        <v>1</v>
      </c>
      <c r="M193" s="28">
        <v>0</v>
      </c>
      <c r="N193" s="28">
        <v>0</v>
      </c>
      <c r="O193" s="28">
        <v>0</v>
      </c>
      <c r="P193" s="28">
        <v>1</v>
      </c>
      <c r="Q193" s="28">
        <v>1</v>
      </c>
      <c r="R193" s="28">
        <v>3</v>
      </c>
      <c r="S193" s="28">
        <v>1</v>
      </c>
      <c r="T193" s="28">
        <v>1</v>
      </c>
      <c r="U193" s="28">
        <v>1</v>
      </c>
      <c r="V193" s="146">
        <f t="shared" ref="V193:V201" si="27">SUM(D193:U193)</f>
        <v>15</v>
      </c>
      <c r="X193" s="147">
        <f t="shared" ref="X193:X201" si="28">70+V193</f>
        <v>85</v>
      </c>
    </row>
    <row r="194" spans="2:24">
      <c r="B194" s="12" t="s">
        <v>117</v>
      </c>
      <c r="C194" s="144" t="s">
        <v>118</v>
      </c>
      <c r="D194" s="28">
        <v>1</v>
      </c>
      <c r="E194" s="28">
        <v>1</v>
      </c>
      <c r="F194" s="28">
        <v>1</v>
      </c>
      <c r="G194" s="28">
        <v>1</v>
      </c>
      <c r="H194" s="28">
        <v>1</v>
      </c>
      <c r="I194" s="28">
        <v>0</v>
      </c>
      <c r="J194" s="28">
        <v>1</v>
      </c>
      <c r="K194" s="28">
        <v>1</v>
      </c>
      <c r="L194" s="28">
        <v>0</v>
      </c>
      <c r="M194" s="28">
        <v>1</v>
      </c>
      <c r="N194" s="28">
        <v>1</v>
      </c>
      <c r="O194" s="28">
        <v>0</v>
      </c>
      <c r="P194" s="28">
        <v>1</v>
      </c>
      <c r="Q194" s="28">
        <v>1</v>
      </c>
      <c r="R194" s="28">
        <v>2</v>
      </c>
      <c r="S194" s="28">
        <v>1</v>
      </c>
      <c r="T194" s="28">
        <v>4</v>
      </c>
      <c r="U194" s="28">
        <v>0</v>
      </c>
      <c r="V194" s="146">
        <f t="shared" si="27"/>
        <v>18</v>
      </c>
      <c r="X194" s="147">
        <f>71+V194</f>
        <v>89</v>
      </c>
    </row>
    <row r="195" spans="2:24">
      <c r="B195" s="12" t="s">
        <v>117</v>
      </c>
      <c r="C195" s="144" t="s">
        <v>118</v>
      </c>
      <c r="D195" s="28">
        <v>0</v>
      </c>
      <c r="E195" s="28">
        <v>1</v>
      </c>
      <c r="F195" s="28">
        <v>1</v>
      </c>
      <c r="G195" s="28">
        <v>0</v>
      </c>
      <c r="H195" s="28">
        <v>1</v>
      </c>
      <c r="I195" s="28">
        <v>0</v>
      </c>
      <c r="J195" s="28">
        <v>1</v>
      </c>
      <c r="K195" s="28">
        <v>-1</v>
      </c>
      <c r="L195" s="28">
        <v>0</v>
      </c>
      <c r="M195" s="28">
        <v>0</v>
      </c>
      <c r="N195" s="28">
        <v>2</v>
      </c>
      <c r="O195" s="28">
        <v>1</v>
      </c>
      <c r="P195" s="28">
        <v>1</v>
      </c>
      <c r="Q195" s="28">
        <v>1</v>
      </c>
      <c r="R195" s="28">
        <v>1</v>
      </c>
      <c r="S195" s="28">
        <v>3</v>
      </c>
      <c r="T195" s="28">
        <v>1</v>
      </c>
      <c r="U195" s="28">
        <v>3</v>
      </c>
      <c r="V195" s="146">
        <f t="shared" si="27"/>
        <v>16</v>
      </c>
      <c r="X195" s="147">
        <f>72+V195</f>
        <v>88</v>
      </c>
    </row>
    <row r="196" spans="2:24">
      <c r="B196" s="12" t="s">
        <v>117</v>
      </c>
      <c r="C196" s="144" t="s">
        <v>118</v>
      </c>
      <c r="D196" s="28">
        <v>0</v>
      </c>
      <c r="E196" s="28">
        <v>2</v>
      </c>
      <c r="F196" s="28">
        <v>5</v>
      </c>
      <c r="G196" s="28">
        <v>1</v>
      </c>
      <c r="H196" s="28">
        <v>3</v>
      </c>
      <c r="I196" s="28">
        <v>2</v>
      </c>
      <c r="J196" s="28">
        <v>0</v>
      </c>
      <c r="K196" s="28">
        <v>2</v>
      </c>
      <c r="L196" s="28">
        <v>1</v>
      </c>
      <c r="M196" s="28">
        <v>2</v>
      </c>
      <c r="N196" s="28">
        <v>2</v>
      </c>
      <c r="O196" s="28">
        <v>1</v>
      </c>
      <c r="P196" s="28">
        <v>2</v>
      </c>
      <c r="Q196" s="28">
        <v>1</v>
      </c>
      <c r="R196" s="28">
        <v>1</v>
      </c>
      <c r="S196" s="28">
        <v>1</v>
      </c>
      <c r="T196" s="28">
        <v>1</v>
      </c>
      <c r="U196" s="28">
        <v>1</v>
      </c>
      <c r="V196" s="146">
        <f t="shared" si="27"/>
        <v>28</v>
      </c>
      <c r="X196" s="147">
        <f>72+V196</f>
        <v>100</v>
      </c>
    </row>
    <row r="197" spans="2:24">
      <c r="B197" s="12" t="s">
        <v>117</v>
      </c>
      <c r="C197" s="144" t="s">
        <v>118</v>
      </c>
      <c r="D197" s="28">
        <v>3</v>
      </c>
      <c r="E197" s="28">
        <v>2</v>
      </c>
      <c r="F197" s="28">
        <v>2</v>
      </c>
      <c r="G197" s="28">
        <v>1</v>
      </c>
      <c r="H197" s="28">
        <v>1</v>
      </c>
      <c r="I197" s="28">
        <v>2</v>
      </c>
      <c r="J197" s="28">
        <v>2</v>
      </c>
      <c r="K197" s="28">
        <v>2</v>
      </c>
      <c r="L197" s="28">
        <v>1</v>
      </c>
      <c r="M197" s="28">
        <v>2</v>
      </c>
      <c r="N197" s="28">
        <v>4</v>
      </c>
      <c r="O197" s="28">
        <v>2</v>
      </c>
      <c r="P197" s="28">
        <v>1</v>
      </c>
      <c r="Q197" s="28">
        <v>2</v>
      </c>
      <c r="R197" s="28">
        <v>1</v>
      </c>
      <c r="S197" s="28">
        <v>2</v>
      </c>
      <c r="T197" s="28">
        <v>0</v>
      </c>
      <c r="U197" s="28">
        <v>1</v>
      </c>
      <c r="V197" s="146">
        <f t="shared" si="27"/>
        <v>31</v>
      </c>
      <c r="X197" s="147">
        <f>71+V197</f>
        <v>102</v>
      </c>
    </row>
    <row r="198" spans="2:24">
      <c r="B198" s="12" t="s">
        <v>117</v>
      </c>
      <c r="C198" s="144" t="s">
        <v>118</v>
      </c>
      <c r="D198" s="28">
        <v>1</v>
      </c>
      <c r="E198" s="28">
        <v>1</v>
      </c>
      <c r="F198" s="28">
        <v>4</v>
      </c>
      <c r="G198" s="28">
        <v>1</v>
      </c>
      <c r="H198" s="28">
        <v>0</v>
      </c>
      <c r="I198" s="28">
        <v>2</v>
      </c>
      <c r="J198" s="28">
        <v>1</v>
      </c>
      <c r="K198" s="28">
        <v>2</v>
      </c>
      <c r="L198" s="28">
        <v>0</v>
      </c>
      <c r="M198" s="28">
        <v>2</v>
      </c>
      <c r="N198" s="28">
        <v>1</v>
      </c>
      <c r="O198" s="28">
        <v>2</v>
      </c>
      <c r="P198" s="28">
        <v>1</v>
      </c>
      <c r="Q198" s="28">
        <v>1</v>
      </c>
      <c r="R198" s="28">
        <v>2</v>
      </c>
      <c r="S198" s="28">
        <v>0</v>
      </c>
      <c r="T198" s="28">
        <v>2</v>
      </c>
      <c r="U198" s="28">
        <v>1</v>
      </c>
      <c r="V198" s="146">
        <f t="shared" si="27"/>
        <v>24</v>
      </c>
      <c r="X198" s="147">
        <f t="shared" si="28"/>
        <v>94</v>
      </c>
    </row>
    <row r="199" spans="2:24">
      <c r="B199" s="12" t="s">
        <v>117</v>
      </c>
      <c r="C199" s="144" t="s">
        <v>118</v>
      </c>
      <c r="D199" s="28">
        <v>0</v>
      </c>
      <c r="E199" s="28">
        <v>2</v>
      </c>
      <c r="F199" s="28">
        <v>1</v>
      </c>
      <c r="G199" s="28">
        <v>0</v>
      </c>
      <c r="H199" s="28">
        <v>1</v>
      </c>
      <c r="I199" s="28">
        <v>0</v>
      </c>
      <c r="J199" s="28">
        <v>2</v>
      </c>
      <c r="K199" s="28">
        <v>0</v>
      </c>
      <c r="L199" s="28">
        <v>1</v>
      </c>
      <c r="M199" s="28">
        <v>0</v>
      </c>
      <c r="N199" s="28">
        <v>0</v>
      </c>
      <c r="O199" s="28">
        <v>1</v>
      </c>
      <c r="P199" s="28">
        <v>0</v>
      </c>
      <c r="Q199" s="28">
        <v>1</v>
      </c>
      <c r="R199" s="28">
        <v>1</v>
      </c>
      <c r="S199" s="28">
        <v>0</v>
      </c>
      <c r="T199" s="28">
        <v>2</v>
      </c>
      <c r="U199" s="28">
        <v>4</v>
      </c>
      <c r="V199" s="146">
        <f t="shared" si="27"/>
        <v>16</v>
      </c>
      <c r="X199" s="147">
        <f>72+V199</f>
        <v>88</v>
      </c>
    </row>
    <row r="200" spans="2:24">
      <c r="B200" s="12" t="s">
        <v>117</v>
      </c>
      <c r="C200" s="144" t="s">
        <v>118</v>
      </c>
      <c r="D200" s="28">
        <v>2</v>
      </c>
      <c r="E200" s="28">
        <v>2</v>
      </c>
      <c r="F200" s="28">
        <v>2</v>
      </c>
      <c r="G200" s="28">
        <v>1</v>
      </c>
      <c r="H200" s="28">
        <v>4</v>
      </c>
      <c r="I200" s="28">
        <v>1</v>
      </c>
      <c r="J200" s="28">
        <v>3</v>
      </c>
      <c r="K200" s="28">
        <v>1</v>
      </c>
      <c r="L200" s="28">
        <v>3</v>
      </c>
      <c r="M200" s="28">
        <v>2</v>
      </c>
      <c r="N200" s="28">
        <v>2</v>
      </c>
      <c r="O200" s="28">
        <v>2</v>
      </c>
      <c r="P200" s="28">
        <v>5</v>
      </c>
      <c r="Q200" s="28">
        <v>0</v>
      </c>
      <c r="R200" s="28">
        <v>2</v>
      </c>
      <c r="S200" s="28">
        <v>3</v>
      </c>
      <c r="T200" s="28">
        <v>1</v>
      </c>
      <c r="U200" s="28">
        <v>2</v>
      </c>
      <c r="V200" s="146">
        <f t="shared" si="27"/>
        <v>38</v>
      </c>
      <c r="X200" s="147">
        <f>72+V200</f>
        <v>110</v>
      </c>
    </row>
    <row r="201" spans="2:24">
      <c r="B201" s="143" t="s">
        <v>117</v>
      </c>
      <c r="C201" s="144" t="s">
        <v>118</v>
      </c>
      <c r="D201" s="28">
        <v>10</v>
      </c>
      <c r="E201" s="28">
        <v>10</v>
      </c>
      <c r="F201" s="28">
        <v>10</v>
      </c>
      <c r="G201" s="28">
        <v>10</v>
      </c>
      <c r="H201" s="28">
        <v>10</v>
      </c>
      <c r="I201" s="28">
        <v>10</v>
      </c>
      <c r="J201" s="28">
        <v>10</v>
      </c>
      <c r="K201" s="28">
        <v>10</v>
      </c>
      <c r="L201" s="28">
        <v>10</v>
      </c>
      <c r="M201" s="28">
        <v>10</v>
      </c>
      <c r="N201" s="28">
        <v>10</v>
      </c>
      <c r="O201" s="28">
        <v>10</v>
      </c>
      <c r="P201" s="28">
        <v>10</v>
      </c>
      <c r="Q201" s="28">
        <v>10</v>
      </c>
      <c r="R201" s="28">
        <v>10</v>
      </c>
      <c r="S201" s="28">
        <v>10</v>
      </c>
      <c r="T201" s="28">
        <v>10</v>
      </c>
      <c r="U201" s="28">
        <v>10</v>
      </c>
      <c r="V201" s="148">
        <f t="shared" si="27"/>
        <v>180</v>
      </c>
      <c r="X201" s="149">
        <f t="shared" si="28"/>
        <v>250</v>
      </c>
    </row>
    <row r="202" spans="2:24">
      <c r="B202" s="12"/>
      <c r="C202" s="229"/>
      <c r="D202" s="230"/>
      <c r="E202" s="230"/>
      <c r="F202" s="230"/>
      <c r="G202" s="230"/>
      <c r="H202" s="230"/>
      <c r="I202" s="230"/>
      <c r="J202" s="230"/>
      <c r="K202" s="230"/>
      <c r="L202" s="230"/>
      <c r="M202" s="230"/>
      <c r="N202" s="230"/>
      <c r="O202" s="230"/>
      <c r="P202" s="230"/>
      <c r="Q202" s="230"/>
      <c r="R202" s="230"/>
      <c r="S202" s="230"/>
      <c r="T202" s="230"/>
      <c r="U202" s="230"/>
      <c r="V202" s="231">
        <f>SUM(D202:U202)</f>
        <v>0</v>
      </c>
    </row>
    <row r="209" spans="24:24">
      <c r="X209" s="125" t="s">
        <v>100</v>
      </c>
    </row>
  </sheetData>
  <conditionalFormatting sqref="B5:C19">
    <cfRule type="dataBar" priority="193">
      <dataBar>
        <cfvo type="min"/>
        <cfvo type="max"/>
        <color rgb="FFD6007B"/>
      </dataBar>
    </cfRule>
    <cfRule type="colorScale" priority="19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4:C24">
    <cfRule type="dataBar" priority="189">
      <dataBar>
        <cfvo type="min"/>
        <cfvo type="max"/>
        <color rgb="FFD6007B"/>
      </dataBar>
    </cfRule>
    <cfRule type="colorScale" priority="19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6:C36">
    <cfRule type="dataBar" priority="185">
      <dataBar>
        <cfvo type="min"/>
        <cfvo type="max"/>
        <color rgb="FFD6007B"/>
      </dataBar>
    </cfRule>
    <cfRule type="colorScale" priority="18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1:C61">
    <cfRule type="dataBar" priority="171">
      <dataBar>
        <cfvo type="min"/>
        <cfvo type="max"/>
        <color rgb="FFD6007B"/>
      </dataBar>
    </cfRule>
    <cfRule type="colorScale" priority="1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3:C73">
    <cfRule type="dataBar" priority="161">
      <dataBar>
        <cfvo type="min"/>
        <cfvo type="max"/>
        <color rgb="FFD6007B"/>
      </dataBar>
    </cfRule>
    <cfRule type="colorScale" priority="16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85:C85">
    <cfRule type="dataBar" priority="149">
      <dataBar>
        <cfvo type="min"/>
        <cfvo type="max"/>
        <color rgb="FFD6007B"/>
      </dataBar>
    </cfRule>
    <cfRule type="colorScale" priority="15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97:C97">
    <cfRule type="dataBar" priority="135">
      <dataBar>
        <cfvo type="min"/>
        <cfvo type="max"/>
        <color rgb="FFD6007B"/>
      </dataBar>
    </cfRule>
    <cfRule type="colorScale" priority="1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09:C109">
    <cfRule type="dataBar" priority="119">
      <dataBar>
        <cfvo type="min"/>
        <cfvo type="max"/>
        <color rgb="FFD6007B"/>
      </dataBar>
    </cfRule>
    <cfRule type="colorScale" priority="1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21:C121">
    <cfRule type="dataBar" priority="103">
      <dataBar>
        <cfvo type="min"/>
        <cfvo type="max"/>
        <color rgb="FFD6007B"/>
      </dataBar>
    </cfRule>
    <cfRule type="colorScale" priority="10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33:C133">
    <cfRule type="dataBar" priority="87">
      <dataBar>
        <cfvo type="min"/>
        <cfvo type="max"/>
        <color rgb="FFD6007B"/>
      </dataBar>
    </cfRule>
    <cfRule type="colorScale" priority="8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45:C145">
    <cfRule type="dataBar" priority="71">
      <dataBar>
        <cfvo type="min"/>
        <cfvo type="max"/>
        <color rgb="FFD6007B"/>
      </dataBar>
    </cfRule>
    <cfRule type="colorScale" priority="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57:C157">
    <cfRule type="dataBar" priority="55">
      <dataBar>
        <cfvo type="min"/>
        <cfvo type="max"/>
        <color rgb="FFD6007B"/>
      </dataBar>
    </cfRule>
    <cfRule type="colorScale" priority="5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70:C180">
    <cfRule type="dataBar" priority="41">
      <dataBar>
        <cfvo type="min"/>
        <cfvo type="max"/>
        <color rgb="FFD6007B"/>
      </dataBar>
    </cfRule>
    <cfRule type="colorScale" priority="4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69:C169">
    <cfRule type="dataBar" priority="39">
      <dataBar>
        <cfvo type="min"/>
        <cfvo type="max"/>
        <color rgb="FFD6007B"/>
      </dataBar>
    </cfRule>
    <cfRule type="colorScale" priority="4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82:C191">
    <cfRule type="dataBar" priority="25">
      <dataBar>
        <cfvo type="min"/>
        <cfvo type="max"/>
        <color rgb="FFD6007B"/>
      </dataBar>
    </cfRule>
    <cfRule type="colorScale" priority="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81:C181">
    <cfRule type="dataBar" priority="23">
      <dataBar>
        <cfvo type="min"/>
        <cfvo type="max"/>
        <color rgb="FFD6007B"/>
      </dataBar>
    </cfRule>
    <cfRule type="colorScale" priority="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:U19">
    <cfRule type="cellIs" dxfId="519" priority="5" operator="greaterThan">
      <formula>2</formula>
    </cfRule>
    <cfRule type="cellIs" dxfId="518" priority="6" operator="equal">
      <formula>2</formula>
    </cfRule>
    <cfRule type="cellIs" dxfId="517" priority="7" operator="equal">
      <formula>1</formula>
    </cfRule>
    <cfRule type="cellIs" dxfId="516" priority="8" operator="equal">
      <formula>0</formula>
    </cfRule>
    <cfRule type="cellIs" dxfId="515" priority="9" operator="equal">
      <formula>-1</formula>
    </cfRule>
    <cfRule type="cellIs" dxfId="514" priority="10" operator="equal">
      <formula>-2</formula>
    </cfRule>
  </conditionalFormatting>
  <conditionalFormatting sqref="B25:C34">
    <cfRule type="dataBar" priority="209">
      <dataBar>
        <cfvo type="min"/>
        <cfvo type="max"/>
        <color rgb="FFD6007B"/>
      </dataBar>
    </cfRule>
    <cfRule type="colorScale" priority="2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7:C47">
    <cfRule type="dataBar" priority="211">
      <dataBar>
        <cfvo type="min"/>
        <cfvo type="max"/>
        <color rgb="FFD6007B"/>
      </dataBar>
    </cfRule>
    <cfRule type="colorScale" priority="2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0:C59">
    <cfRule type="dataBar" priority="221">
      <dataBar>
        <cfvo type="min"/>
        <cfvo type="max"/>
        <color rgb="FFD6007B"/>
      </dataBar>
    </cfRule>
    <cfRule type="colorScale" priority="2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9:C50">
    <cfRule type="dataBar" priority="235">
      <dataBar>
        <cfvo type="min"/>
        <cfvo type="max"/>
        <color rgb="FFD6007B"/>
      </dataBar>
    </cfRule>
    <cfRule type="colorScale" priority="23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2:C71">
    <cfRule type="dataBar" priority="263">
      <dataBar>
        <cfvo type="min"/>
        <cfvo type="max"/>
        <color rgb="FFD6007B"/>
      </dataBar>
    </cfRule>
    <cfRule type="colorScale" priority="2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4:C83">
    <cfRule type="dataBar" priority="295">
      <dataBar>
        <cfvo type="min"/>
        <cfvo type="max"/>
        <color rgb="FFD6007B"/>
      </dataBar>
    </cfRule>
    <cfRule type="colorScale" priority="29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86:C95">
    <cfRule type="dataBar" priority="331">
      <dataBar>
        <cfvo type="min"/>
        <cfvo type="max"/>
        <color rgb="FFD6007B"/>
      </dataBar>
    </cfRule>
    <cfRule type="colorScale" priority="3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98:C107">
    <cfRule type="dataBar" priority="371">
      <dataBar>
        <cfvo type="min"/>
        <cfvo type="max"/>
        <color rgb="FFD6007B"/>
      </dataBar>
    </cfRule>
    <cfRule type="colorScale" priority="3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10:C119">
    <cfRule type="dataBar" priority="415">
      <dataBar>
        <cfvo type="min"/>
        <cfvo type="max"/>
        <color rgb="FFD6007B"/>
      </dataBar>
    </cfRule>
    <cfRule type="colorScale" priority="4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22:C131">
    <cfRule type="dataBar" priority="463">
      <dataBar>
        <cfvo type="min"/>
        <cfvo type="max"/>
        <color rgb="FFD6007B"/>
      </dataBar>
    </cfRule>
    <cfRule type="colorScale" priority="46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34:C143">
    <cfRule type="dataBar" priority="515">
      <dataBar>
        <cfvo type="min"/>
        <cfvo type="max"/>
        <color rgb="FFD6007B"/>
      </dataBar>
    </cfRule>
    <cfRule type="colorScale" priority="5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46:C155">
    <cfRule type="dataBar" priority="571">
      <dataBar>
        <cfvo type="min"/>
        <cfvo type="max"/>
        <color rgb="FFD6007B"/>
      </dataBar>
    </cfRule>
    <cfRule type="colorScale" priority="57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58:C167">
    <cfRule type="dataBar" priority="631">
      <dataBar>
        <cfvo type="min"/>
        <cfvo type="max"/>
        <color rgb="FFD6007B"/>
      </dataBar>
    </cfRule>
    <cfRule type="colorScale" priority="6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94:B201 C193:C202">
    <cfRule type="dataBar" priority="3">
      <dataBar>
        <cfvo type="min"/>
        <cfvo type="max"/>
        <color rgb="FFD6007B"/>
      </dataBar>
    </cfRule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92:C192">
    <cfRule type="dataBar" priority="1">
      <dataBar>
        <cfvo type="min"/>
        <cfvo type="max"/>
        <color rgb="FFD6007B"/>
      </dataBar>
    </cfRule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291" scale="10" orientation="landscape" horizontalDpi="4294967293" r:id="rId1"/>
  <tableParts count="3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P36"/>
  <sheetViews>
    <sheetView workbookViewId="0">
      <selection activeCell="B2" sqref="B2:K18"/>
    </sheetView>
  </sheetViews>
  <sheetFormatPr defaultColWidth="10.85546875" defaultRowHeight="15"/>
  <cols>
    <col min="1" max="1" width="10.85546875" style="232"/>
    <col min="2" max="2" width="20.42578125" style="232" bestFit="1" customWidth="1"/>
    <col min="3" max="3" width="22.42578125" style="232" bestFit="1" customWidth="1"/>
    <col min="4" max="4" width="10.85546875" style="233"/>
    <col min="5" max="5" width="6" style="233" bestFit="1" customWidth="1"/>
    <col min="6" max="6" width="5.28515625" style="233" customWidth="1"/>
    <col min="7" max="7" width="10.85546875" style="233"/>
    <col min="8" max="8" width="6" style="233" bestFit="1" customWidth="1"/>
    <col min="9" max="9" width="5.42578125" style="233" customWidth="1"/>
    <col min="10" max="10" width="6.28515625" style="233" customWidth="1"/>
    <col min="11" max="11" width="6.28515625" style="233" bestFit="1" customWidth="1"/>
    <col min="12" max="12" width="3.28515625" style="232" customWidth="1"/>
    <col min="13" max="15" width="10.85546875" style="233"/>
    <col min="16" max="16" width="10.85546875" style="232"/>
    <col min="17" max="17" width="2.28515625" style="232" customWidth="1"/>
    <col min="18" max="16384" width="10.85546875" style="232"/>
  </cols>
  <sheetData>
    <row r="2" spans="2:16" ht="26.25">
      <c r="B2" s="252" t="s">
        <v>130</v>
      </c>
      <c r="M2" s="267" t="s">
        <v>131</v>
      </c>
    </row>
    <row r="3" spans="2:16" ht="15.75" thickBot="1">
      <c r="D3" s="233" t="s">
        <v>76</v>
      </c>
      <c r="E3" s="233" t="s">
        <v>46</v>
      </c>
      <c r="G3" s="233" t="s">
        <v>77</v>
      </c>
      <c r="H3" s="233" t="s">
        <v>46</v>
      </c>
      <c r="J3" s="233" t="s">
        <v>34</v>
      </c>
      <c r="K3" s="233" t="s">
        <v>35</v>
      </c>
      <c r="M3" s="233">
        <v>1</v>
      </c>
      <c r="N3" s="233">
        <v>2</v>
      </c>
      <c r="O3" s="233">
        <v>3</v>
      </c>
      <c r="P3" s="232" t="s">
        <v>77</v>
      </c>
    </row>
    <row r="4" spans="2:16" ht="23.25">
      <c r="B4" s="234" t="s">
        <v>2</v>
      </c>
      <c r="C4" s="235" t="s">
        <v>3</v>
      </c>
      <c r="D4" s="257">
        <v>7</v>
      </c>
      <c r="E4" s="244">
        <v>1</v>
      </c>
      <c r="F4" s="244">
        <v>3</v>
      </c>
      <c r="G4" s="258">
        <v>10</v>
      </c>
      <c r="H4" s="244">
        <v>2</v>
      </c>
      <c r="I4" s="244">
        <v>4</v>
      </c>
      <c r="J4" s="248">
        <v>2</v>
      </c>
      <c r="K4" s="249">
        <v>2</v>
      </c>
      <c r="M4" s="268"/>
      <c r="N4" s="269"/>
      <c r="O4" s="269"/>
      <c r="P4" s="272"/>
    </row>
    <row r="5" spans="2:16" ht="23.25">
      <c r="B5" s="236" t="s">
        <v>0</v>
      </c>
      <c r="C5" s="237" t="s">
        <v>1</v>
      </c>
      <c r="D5" s="261">
        <v>8</v>
      </c>
      <c r="E5" s="242">
        <v>2</v>
      </c>
      <c r="F5" s="242">
        <v>2</v>
      </c>
      <c r="G5" s="262">
        <v>16</v>
      </c>
      <c r="H5" s="242">
        <v>4</v>
      </c>
      <c r="I5" s="242">
        <v>4</v>
      </c>
      <c r="J5" s="250">
        <v>0</v>
      </c>
      <c r="K5" s="263">
        <v>3</v>
      </c>
      <c r="M5" s="270"/>
      <c r="N5" s="271"/>
      <c r="O5" s="271"/>
      <c r="P5" s="273"/>
    </row>
    <row r="6" spans="2:16" ht="23.25">
      <c r="B6" s="238" t="s">
        <v>4</v>
      </c>
      <c r="C6" s="239" t="s">
        <v>5</v>
      </c>
      <c r="D6" s="247">
        <v>28</v>
      </c>
      <c r="E6" s="242">
        <v>8</v>
      </c>
      <c r="F6" s="242">
        <v>8</v>
      </c>
      <c r="G6" s="243">
        <v>20</v>
      </c>
      <c r="H6" s="242">
        <v>7</v>
      </c>
      <c r="I6" s="242">
        <v>7</v>
      </c>
      <c r="J6" s="250">
        <v>1</v>
      </c>
      <c r="K6" s="251">
        <v>1</v>
      </c>
      <c r="M6" s="270"/>
      <c r="N6" s="271"/>
      <c r="O6" s="271"/>
      <c r="P6" s="273"/>
    </row>
    <row r="7" spans="2:16" ht="23.25">
      <c r="B7" s="236" t="s">
        <v>14</v>
      </c>
      <c r="C7" s="237" t="s">
        <v>13</v>
      </c>
      <c r="D7" s="247">
        <v>16</v>
      </c>
      <c r="E7" s="242">
        <v>4</v>
      </c>
      <c r="F7" s="242">
        <v>5</v>
      </c>
      <c r="G7" s="243">
        <v>33</v>
      </c>
      <c r="H7" s="242">
        <v>9</v>
      </c>
      <c r="I7" s="242">
        <v>9</v>
      </c>
      <c r="J7" s="250">
        <v>0</v>
      </c>
      <c r="K7" s="251">
        <v>2</v>
      </c>
      <c r="M7" s="270"/>
      <c r="N7" s="271"/>
      <c r="O7" s="271"/>
      <c r="P7" s="273"/>
    </row>
    <row r="8" spans="2:16" ht="23.25">
      <c r="B8" s="238" t="s">
        <v>10</v>
      </c>
      <c r="C8" s="239" t="s">
        <v>11</v>
      </c>
      <c r="D8" s="247">
        <v>30</v>
      </c>
      <c r="E8" s="242">
        <v>6</v>
      </c>
      <c r="F8" s="242">
        <v>6</v>
      </c>
      <c r="G8" s="243">
        <v>19</v>
      </c>
      <c r="H8" s="242">
        <v>5</v>
      </c>
      <c r="I8" s="242">
        <v>5</v>
      </c>
      <c r="J8" s="250">
        <v>2</v>
      </c>
      <c r="K8" s="263">
        <v>3</v>
      </c>
      <c r="M8" s="270"/>
      <c r="N8" s="271"/>
      <c r="O8" s="271"/>
      <c r="P8" s="273"/>
    </row>
    <row r="9" spans="2:16" ht="23.25">
      <c r="B9" s="236" t="s">
        <v>6</v>
      </c>
      <c r="C9" s="237" t="s">
        <v>7</v>
      </c>
      <c r="D9" s="247">
        <v>54</v>
      </c>
      <c r="E9" s="242">
        <v>12</v>
      </c>
      <c r="F9" s="242">
        <v>13</v>
      </c>
      <c r="G9" s="243">
        <v>42</v>
      </c>
      <c r="H9" s="242">
        <v>9</v>
      </c>
      <c r="I9" s="242">
        <v>13</v>
      </c>
      <c r="J9" s="259">
        <v>6</v>
      </c>
      <c r="K9" s="251">
        <v>0</v>
      </c>
      <c r="M9" s="270"/>
      <c r="N9" s="271"/>
      <c r="O9" s="271"/>
      <c r="P9" s="273"/>
    </row>
    <row r="10" spans="2:16" ht="23.25">
      <c r="B10" s="238" t="s">
        <v>8</v>
      </c>
      <c r="C10" s="239" t="s">
        <v>9</v>
      </c>
      <c r="D10" s="247">
        <v>37</v>
      </c>
      <c r="E10" s="242">
        <v>8</v>
      </c>
      <c r="F10" s="242">
        <v>9</v>
      </c>
      <c r="G10" s="243">
        <v>27</v>
      </c>
      <c r="H10" s="242">
        <v>6</v>
      </c>
      <c r="I10" s="242">
        <v>8</v>
      </c>
      <c r="J10" s="266">
        <v>3</v>
      </c>
      <c r="K10" s="251">
        <v>0</v>
      </c>
      <c r="M10" s="270"/>
      <c r="N10" s="271"/>
      <c r="O10" s="271"/>
      <c r="P10" s="273"/>
    </row>
    <row r="11" spans="2:16" ht="23.25">
      <c r="B11" s="236" t="s">
        <v>0</v>
      </c>
      <c r="C11" s="237" t="s">
        <v>126</v>
      </c>
      <c r="D11" s="253">
        <v>27</v>
      </c>
      <c r="E11" s="254">
        <v>7</v>
      </c>
      <c r="F11" s="254">
        <v>14</v>
      </c>
      <c r="G11" s="254">
        <v>59</v>
      </c>
      <c r="H11" s="254">
        <v>13</v>
      </c>
      <c r="I11" s="254">
        <v>14</v>
      </c>
      <c r="J11" s="254">
        <v>1</v>
      </c>
      <c r="K11" s="260">
        <v>6</v>
      </c>
      <c r="M11" s="274"/>
      <c r="N11" s="275"/>
      <c r="O11" s="275"/>
      <c r="P11" s="276"/>
    </row>
    <row r="12" spans="2:16" ht="23.25">
      <c r="B12" s="238" t="s">
        <v>17</v>
      </c>
      <c r="C12" s="239" t="s">
        <v>18</v>
      </c>
      <c r="D12" s="247">
        <v>46</v>
      </c>
      <c r="E12" s="242">
        <v>12</v>
      </c>
      <c r="F12" s="242">
        <v>13</v>
      </c>
      <c r="G12" s="243">
        <v>42</v>
      </c>
      <c r="H12" s="242">
        <v>12</v>
      </c>
      <c r="I12" s="242">
        <v>13</v>
      </c>
      <c r="J12" s="262">
        <v>4</v>
      </c>
      <c r="K12" s="251">
        <v>0</v>
      </c>
      <c r="M12" s="270"/>
      <c r="N12" s="271"/>
      <c r="O12" s="271"/>
      <c r="P12" s="273"/>
    </row>
    <row r="13" spans="2:16" ht="23.25">
      <c r="B13" s="236" t="s">
        <v>15</v>
      </c>
      <c r="C13" s="237" t="s">
        <v>16</v>
      </c>
      <c r="D13" s="247">
        <v>31</v>
      </c>
      <c r="E13" s="242">
        <v>8</v>
      </c>
      <c r="F13" s="242">
        <v>8</v>
      </c>
      <c r="G13" s="266">
        <v>18</v>
      </c>
      <c r="H13" s="242">
        <v>5</v>
      </c>
      <c r="I13" s="242">
        <v>7</v>
      </c>
      <c r="J13" s="250">
        <v>1</v>
      </c>
      <c r="K13" s="251">
        <v>1</v>
      </c>
      <c r="M13" s="270"/>
      <c r="N13" s="271"/>
      <c r="O13" s="271"/>
      <c r="P13" s="273"/>
    </row>
    <row r="14" spans="2:16" ht="23.25">
      <c r="B14" s="238" t="s">
        <v>113</v>
      </c>
      <c r="C14" s="239" t="s">
        <v>114</v>
      </c>
      <c r="D14" s="247">
        <v>57</v>
      </c>
      <c r="E14" s="242">
        <v>13</v>
      </c>
      <c r="F14" s="242">
        <v>13</v>
      </c>
      <c r="G14" s="243">
        <v>64</v>
      </c>
      <c r="H14" s="242">
        <v>13</v>
      </c>
      <c r="I14" s="242">
        <v>14</v>
      </c>
      <c r="J14" s="250">
        <v>0</v>
      </c>
      <c r="K14" s="251">
        <v>0</v>
      </c>
      <c r="M14" s="270"/>
      <c r="N14" s="271"/>
      <c r="O14" s="271"/>
      <c r="P14" s="273"/>
    </row>
    <row r="15" spans="2:16" ht="23.25">
      <c r="B15" s="236" t="s">
        <v>8</v>
      </c>
      <c r="C15" s="237" t="s">
        <v>19</v>
      </c>
      <c r="D15" s="253">
        <v>48</v>
      </c>
      <c r="E15" s="254">
        <v>11</v>
      </c>
      <c r="F15" s="254">
        <v>12</v>
      </c>
      <c r="G15" s="254">
        <v>28</v>
      </c>
      <c r="H15" s="254">
        <v>8</v>
      </c>
      <c r="I15" s="254">
        <v>10</v>
      </c>
      <c r="J15" s="254">
        <v>1</v>
      </c>
      <c r="K15" s="255">
        <v>1</v>
      </c>
      <c r="M15" s="274"/>
      <c r="N15" s="275"/>
      <c r="O15" s="275"/>
      <c r="P15" s="276"/>
    </row>
    <row r="16" spans="2:16" ht="23.25">
      <c r="B16" s="238" t="s">
        <v>12</v>
      </c>
      <c r="C16" s="239" t="s">
        <v>13</v>
      </c>
      <c r="D16" s="247">
        <v>50</v>
      </c>
      <c r="E16" s="242">
        <v>11</v>
      </c>
      <c r="F16" s="242">
        <v>11</v>
      </c>
      <c r="G16" s="243">
        <v>26</v>
      </c>
      <c r="H16" s="242">
        <v>8</v>
      </c>
      <c r="I16" s="242">
        <v>10</v>
      </c>
      <c r="J16" s="250">
        <v>2</v>
      </c>
      <c r="K16" s="251">
        <v>0</v>
      </c>
      <c r="M16" s="270"/>
      <c r="N16" s="271"/>
      <c r="O16" s="271"/>
      <c r="P16" s="273"/>
    </row>
    <row r="17" spans="2:16" ht="23.25">
      <c r="B17" s="240" t="s">
        <v>122</v>
      </c>
      <c r="C17" s="241" t="s">
        <v>123</v>
      </c>
      <c r="D17" s="253">
        <v>37</v>
      </c>
      <c r="E17" s="254">
        <v>9</v>
      </c>
      <c r="F17" s="254">
        <v>9</v>
      </c>
      <c r="G17" s="254">
        <v>31</v>
      </c>
      <c r="H17" s="254">
        <v>9</v>
      </c>
      <c r="I17" s="254">
        <v>10</v>
      </c>
      <c r="J17" s="254">
        <v>1</v>
      </c>
      <c r="K17" s="255">
        <v>1</v>
      </c>
      <c r="M17" s="274"/>
      <c r="N17" s="275"/>
      <c r="O17" s="275"/>
      <c r="P17" s="276"/>
    </row>
    <row r="18" spans="2:16" ht="24" thickBot="1">
      <c r="B18" s="245" t="s">
        <v>117</v>
      </c>
      <c r="C18" s="246" t="s">
        <v>118</v>
      </c>
      <c r="D18" s="265">
        <v>11</v>
      </c>
      <c r="E18" s="256">
        <v>3</v>
      </c>
      <c r="F18" s="256">
        <v>3</v>
      </c>
      <c r="G18" s="256">
        <v>23</v>
      </c>
      <c r="H18" s="256">
        <v>7</v>
      </c>
      <c r="I18" s="256">
        <v>7</v>
      </c>
      <c r="J18" s="256">
        <v>1</v>
      </c>
      <c r="K18" s="264">
        <v>3</v>
      </c>
      <c r="M18" s="277"/>
      <c r="N18" s="278"/>
      <c r="O18" s="278"/>
      <c r="P18" s="279"/>
    </row>
    <row r="21" spans="2:16" ht="15.75" thickBot="1">
      <c r="D21" s="233" t="s">
        <v>132</v>
      </c>
      <c r="E21" s="233" t="s">
        <v>134</v>
      </c>
      <c r="F21" s="233" t="s">
        <v>135</v>
      </c>
      <c r="G21" s="233" t="s">
        <v>133</v>
      </c>
      <c r="H21" s="233" t="s">
        <v>134</v>
      </c>
      <c r="I21" s="233" t="s">
        <v>135</v>
      </c>
    </row>
    <row r="22" spans="2:16" ht="23.25">
      <c r="B22" s="234" t="s">
        <v>2</v>
      </c>
      <c r="C22" s="235" t="s">
        <v>3</v>
      </c>
      <c r="D22" s="268"/>
      <c r="E22" s="269"/>
      <c r="F22" s="269"/>
      <c r="G22" s="268"/>
      <c r="H22" s="269"/>
      <c r="I22" s="280"/>
    </row>
    <row r="23" spans="2:16" ht="23.25">
      <c r="B23" s="236" t="s">
        <v>0</v>
      </c>
      <c r="C23" s="237" t="s">
        <v>1</v>
      </c>
      <c r="D23" s="270"/>
      <c r="E23" s="271"/>
      <c r="F23" s="271"/>
      <c r="G23" s="270"/>
      <c r="H23" s="271"/>
      <c r="I23" s="281"/>
    </row>
    <row r="24" spans="2:16" ht="23.25">
      <c r="B24" s="238" t="s">
        <v>4</v>
      </c>
      <c r="C24" s="239" t="s">
        <v>5</v>
      </c>
      <c r="D24" s="270"/>
      <c r="E24" s="271"/>
      <c r="F24" s="271"/>
      <c r="G24" s="270"/>
      <c r="H24" s="271"/>
      <c r="I24" s="281"/>
    </row>
    <row r="25" spans="2:16" ht="23.25">
      <c r="B25" s="236" t="s">
        <v>14</v>
      </c>
      <c r="C25" s="237" t="s">
        <v>13</v>
      </c>
      <c r="D25" s="270"/>
      <c r="E25" s="271"/>
      <c r="F25" s="271"/>
      <c r="G25" s="270"/>
      <c r="H25" s="271"/>
      <c r="I25" s="281"/>
    </row>
    <row r="26" spans="2:16" ht="23.25">
      <c r="B26" s="238" t="s">
        <v>10</v>
      </c>
      <c r="C26" s="239" t="s">
        <v>11</v>
      </c>
      <c r="D26" s="270"/>
      <c r="E26" s="271"/>
      <c r="F26" s="271"/>
      <c r="G26" s="270"/>
      <c r="H26" s="271"/>
      <c r="I26" s="281"/>
    </row>
    <row r="27" spans="2:16" ht="23.25">
      <c r="B27" s="236" t="s">
        <v>6</v>
      </c>
      <c r="C27" s="237" t="s">
        <v>7</v>
      </c>
      <c r="D27" s="270"/>
      <c r="E27" s="271"/>
      <c r="F27" s="271"/>
      <c r="G27" s="270"/>
      <c r="H27" s="271"/>
      <c r="I27" s="281"/>
    </row>
    <row r="28" spans="2:16" ht="23.25">
      <c r="B28" s="238" t="s">
        <v>8</v>
      </c>
      <c r="C28" s="239" t="s">
        <v>9</v>
      </c>
      <c r="D28" s="270"/>
      <c r="E28" s="271"/>
      <c r="F28" s="271"/>
      <c r="G28" s="270"/>
      <c r="H28" s="271"/>
      <c r="I28" s="281"/>
    </row>
    <row r="29" spans="2:16" ht="23.25">
      <c r="B29" s="236" t="s">
        <v>0</v>
      </c>
      <c r="C29" s="237" t="s">
        <v>126</v>
      </c>
      <c r="D29" s="274"/>
      <c r="E29" s="275"/>
      <c r="F29" s="275"/>
      <c r="G29" s="274"/>
      <c r="H29" s="275"/>
      <c r="I29" s="282"/>
    </row>
    <row r="30" spans="2:16" ht="23.25">
      <c r="B30" s="238" t="s">
        <v>17</v>
      </c>
      <c r="C30" s="239" t="s">
        <v>18</v>
      </c>
      <c r="D30" s="270"/>
      <c r="E30" s="271"/>
      <c r="F30" s="271"/>
      <c r="G30" s="270"/>
      <c r="H30" s="271"/>
      <c r="I30" s="281"/>
    </row>
    <row r="31" spans="2:16" ht="23.25">
      <c r="B31" s="236" t="s">
        <v>15</v>
      </c>
      <c r="C31" s="237" t="s">
        <v>16</v>
      </c>
      <c r="D31" s="270"/>
      <c r="E31" s="271"/>
      <c r="F31" s="271"/>
      <c r="G31" s="270"/>
      <c r="H31" s="271"/>
      <c r="I31" s="281"/>
    </row>
    <row r="32" spans="2:16" ht="23.25">
      <c r="B32" s="238" t="s">
        <v>113</v>
      </c>
      <c r="C32" s="239" t="s">
        <v>114</v>
      </c>
      <c r="D32" s="270"/>
      <c r="E32" s="271"/>
      <c r="F32" s="271"/>
      <c r="G32" s="270"/>
      <c r="H32" s="271"/>
      <c r="I32" s="281"/>
    </row>
    <row r="33" spans="2:9" ht="23.25">
      <c r="B33" s="236" t="s">
        <v>8</v>
      </c>
      <c r="C33" s="237" t="s">
        <v>19</v>
      </c>
      <c r="D33" s="274"/>
      <c r="E33" s="275"/>
      <c r="F33" s="275"/>
      <c r="G33" s="274"/>
      <c r="H33" s="275"/>
      <c r="I33" s="282"/>
    </row>
    <row r="34" spans="2:9" ht="23.25">
      <c r="B34" s="238" t="s">
        <v>12</v>
      </c>
      <c r="C34" s="239" t="s">
        <v>13</v>
      </c>
      <c r="D34" s="270"/>
      <c r="E34" s="271"/>
      <c r="F34" s="271"/>
      <c r="G34" s="270"/>
      <c r="H34" s="271"/>
      <c r="I34" s="281"/>
    </row>
    <row r="35" spans="2:9" ht="23.25">
      <c r="B35" s="240" t="s">
        <v>122</v>
      </c>
      <c r="C35" s="241" t="s">
        <v>123</v>
      </c>
      <c r="D35" s="274"/>
      <c r="E35" s="275"/>
      <c r="F35" s="275"/>
      <c r="G35" s="274"/>
      <c r="H35" s="275"/>
      <c r="I35" s="282"/>
    </row>
    <row r="36" spans="2:9" ht="24" thickBot="1">
      <c r="B36" s="245" t="s">
        <v>117</v>
      </c>
      <c r="C36" s="246" t="s">
        <v>118</v>
      </c>
      <c r="D36" s="277"/>
      <c r="E36" s="278"/>
      <c r="F36" s="278"/>
      <c r="G36" s="277"/>
      <c r="H36" s="278"/>
      <c r="I36" s="283"/>
    </row>
  </sheetData>
  <sortState columnSort="1" ref="H18:Q18">
    <sortCondition ref="H18:Q18"/>
  </sortState>
  <conditionalFormatting sqref="B4:C18">
    <cfRule type="dataBar" priority="3">
      <dataBar>
        <cfvo type="min"/>
        <cfvo type="max"/>
        <color rgb="FFD6007B"/>
      </dataBar>
    </cfRule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2:C36">
    <cfRule type="dataBar" priority="1">
      <dataBar>
        <cfvo type="min"/>
        <cfvo type="max"/>
        <color rgb="FFD6007B"/>
      </dataBar>
    </cfRule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K36"/>
  <sheetViews>
    <sheetView workbookViewId="0">
      <selection activeCell="I13" sqref="I13"/>
    </sheetView>
  </sheetViews>
  <sheetFormatPr defaultColWidth="8.85546875" defaultRowHeight="15"/>
  <cols>
    <col min="1" max="1" width="8.85546875" style="304"/>
    <col min="2" max="2" width="18.42578125" style="304" customWidth="1"/>
    <col min="3" max="3" width="22.42578125" style="304" bestFit="1" customWidth="1"/>
    <col min="4" max="6" width="8.85546875" style="306"/>
    <col min="7" max="7" width="12.42578125" style="304" customWidth="1"/>
    <col min="8" max="16384" width="8.85546875" style="304"/>
  </cols>
  <sheetData>
    <row r="2" spans="2:7" ht="15.75" thickBot="1">
      <c r="B2" s="305" t="s">
        <v>21</v>
      </c>
      <c r="C2" s="305" t="s">
        <v>22</v>
      </c>
      <c r="D2" s="22" t="s">
        <v>23</v>
      </c>
      <c r="E2" s="22" t="s">
        <v>24</v>
      </c>
      <c r="F2" s="22" t="s">
        <v>25</v>
      </c>
      <c r="G2" s="22" t="s">
        <v>48</v>
      </c>
    </row>
    <row r="3" spans="2:7">
      <c r="B3" s="6" t="s">
        <v>0</v>
      </c>
      <c r="C3" s="7" t="s">
        <v>1</v>
      </c>
      <c r="D3" s="173">
        <v>74</v>
      </c>
      <c r="E3" s="173">
        <v>83</v>
      </c>
      <c r="F3" s="307">
        <v>0</v>
      </c>
      <c r="G3" s="308">
        <f>SUM(D3:F3)</f>
        <v>157</v>
      </c>
    </row>
    <row r="4" spans="2:7">
      <c r="B4" s="16" t="s">
        <v>2</v>
      </c>
      <c r="C4" s="17" t="s">
        <v>3</v>
      </c>
      <c r="D4" s="173">
        <v>76</v>
      </c>
      <c r="E4" s="173">
        <v>85</v>
      </c>
      <c r="F4" s="172">
        <v>0</v>
      </c>
      <c r="G4" s="309">
        <f>SUM(D4:F4)</f>
        <v>161</v>
      </c>
    </row>
    <row r="5" spans="2:7">
      <c r="B5" s="6" t="s">
        <v>8</v>
      </c>
      <c r="C5" s="7" t="s">
        <v>9</v>
      </c>
      <c r="D5" s="173">
        <v>75</v>
      </c>
      <c r="E5" s="173">
        <v>92</v>
      </c>
      <c r="F5" s="172">
        <v>0</v>
      </c>
      <c r="G5" s="309">
        <f>SUM(D5:F5)</f>
        <v>167</v>
      </c>
    </row>
    <row r="6" spans="2:7">
      <c r="B6" s="6" t="s">
        <v>6</v>
      </c>
      <c r="C6" s="7" t="s">
        <v>7</v>
      </c>
      <c r="D6" s="173">
        <v>93</v>
      </c>
      <c r="E6" s="173">
        <v>77</v>
      </c>
      <c r="F6" s="172">
        <v>0</v>
      </c>
      <c r="G6" s="309">
        <f>SUM(D6:F6)</f>
        <v>170</v>
      </c>
    </row>
    <row r="7" spans="2:7">
      <c r="B7" s="6" t="s">
        <v>122</v>
      </c>
      <c r="C7" s="7" t="s">
        <v>123</v>
      </c>
      <c r="D7" s="173">
        <v>97</v>
      </c>
      <c r="E7" s="173">
        <v>80</v>
      </c>
      <c r="F7" s="172">
        <v>0</v>
      </c>
      <c r="G7" s="309">
        <f>SUM(D7:F7)</f>
        <v>177</v>
      </c>
    </row>
    <row r="8" spans="2:7">
      <c r="B8" s="6" t="s">
        <v>4</v>
      </c>
      <c r="C8" s="7" t="s">
        <v>5</v>
      </c>
      <c r="D8" s="173">
        <v>87</v>
      </c>
      <c r="E8" s="173">
        <v>92</v>
      </c>
      <c r="F8" s="172">
        <v>0</v>
      </c>
      <c r="G8" s="309">
        <f>SUM(D8:F8)</f>
        <v>179</v>
      </c>
    </row>
    <row r="9" spans="2:7">
      <c r="B9" s="6" t="s">
        <v>15</v>
      </c>
      <c r="C9" s="7" t="s">
        <v>16</v>
      </c>
      <c r="D9" s="173">
        <v>83</v>
      </c>
      <c r="E9" s="173">
        <v>96</v>
      </c>
      <c r="F9" s="172">
        <v>0</v>
      </c>
      <c r="G9" s="309">
        <f>SUM(D9:F9)</f>
        <v>179</v>
      </c>
    </row>
    <row r="10" spans="2:7">
      <c r="B10" s="6" t="s">
        <v>10</v>
      </c>
      <c r="C10" s="7" t="s">
        <v>11</v>
      </c>
      <c r="D10" s="173">
        <v>86</v>
      </c>
      <c r="E10" s="173">
        <v>94</v>
      </c>
      <c r="F10" s="172">
        <v>0</v>
      </c>
      <c r="G10" s="309">
        <f>SUM(D10:F10)</f>
        <v>180</v>
      </c>
    </row>
    <row r="11" spans="2:7">
      <c r="B11" s="6" t="s">
        <v>8</v>
      </c>
      <c r="C11" s="7" t="s">
        <v>19</v>
      </c>
      <c r="D11" s="173">
        <v>86</v>
      </c>
      <c r="E11" s="173">
        <v>98</v>
      </c>
      <c r="F11" s="172">
        <v>0</v>
      </c>
      <c r="G11" s="309">
        <f>SUM(D11:F11)</f>
        <v>184</v>
      </c>
    </row>
    <row r="12" spans="2:7">
      <c r="B12" s="6" t="s">
        <v>113</v>
      </c>
      <c r="C12" s="7" t="s">
        <v>114</v>
      </c>
      <c r="D12" s="173">
        <v>99</v>
      </c>
      <c r="E12" s="173">
        <v>87</v>
      </c>
      <c r="F12" s="172">
        <v>0</v>
      </c>
      <c r="G12" s="309">
        <f>SUM(D12:F12)</f>
        <v>186</v>
      </c>
    </row>
    <row r="13" spans="2:7">
      <c r="B13" s="6" t="s">
        <v>17</v>
      </c>
      <c r="C13" s="7" t="s">
        <v>18</v>
      </c>
      <c r="D13" s="173">
        <v>91</v>
      </c>
      <c r="E13" s="173">
        <v>96</v>
      </c>
      <c r="F13" s="172">
        <v>0</v>
      </c>
      <c r="G13" s="309">
        <f>SUM(D13:F13)</f>
        <v>187</v>
      </c>
    </row>
    <row r="14" spans="2:7">
      <c r="B14" s="6" t="s">
        <v>12</v>
      </c>
      <c r="C14" s="7" t="s">
        <v>13</v>
      </c>
      <c r="D14" s="173">
        <v>99</v>
      </c>
      <c r="E14" s="173">
        <v>94</v>
      </c>
      <c r="F14" s="172">
        <v>0</v>
      </c>
      <c r="G14" s="309">
        <f>SUM(D14:F14)</f>
        <v>193</v>
      </c>
    </row>
    <row r="15" spans="2:7">
      <c r="B15" s="6" t="s">
        <v>14</v>
      </c>
      <c r="C15" s="7" t="s">
        <v>13</v>
      </c>
      <c r="D15" s="173">
        <v>94</v>
      </c>
      <c r="E15" s="173">
        <v>100</v>
      </c>
      <c r="F15" s="172">
        <v>0</v>
      </c>
      <c r="G15" s="309">
        <f>SUM(D15:F15)</f>
        <v>194</v>
      </c>
    </row>
    <row r="16" spans="2:7">
      <c r="B16" s="8" t="s">
        <v>141</v>
      </c>
      <c r="C16" s="9" t="s">
        <v>142</v>
      </c>
      <c r="D16" s="299">
        <v>126</v>
      </c>
      <c r="E16" s="299">
        <v>126</v>
      </c>
      <c r="F16" s="172">
        <v>0</v>
      </c>
      <c r="G16" s="309">
        <f>SUM(D16:F16)</f>
        <v>252</v>
      </c>
    </row>
    <row r="17" spans="2:11" ht="15.75" thickBot="1">
      <c r="B17" s="8" t="s">
        <v>117</v>
      </c>
      <c r="C17" s="9" t="s">
        <v>118</v>
      </c>
      <c r="D17" s="299">
        <v>126</v>
      </c>
      <c r="E17" s="299">
        <v>126</v>
      </c>
      <c r="F17" s="310">
        <v>0</v>
      </c>
      <c r="G17" s="311">
        <f>SUM(D17:F17)</f>
        <v>252</v>
      </c>
    </row>
    <row r="20" spans="2:11" ht="26.25">
      <c r="B20" s="252" t="s">
        <v>145</v>
      </c>
      <c r="C20" s="232"/>
      <c r="D20" s="233"/>
      <c r="E20" s="233"/>
      <c r="F20" s="233"/>
      <c r="G20" s="233"/>
      <c r="H20" s="233"/>
      <c r="I20" s="233"/>
      <c r="J20" s="233"/>
      <c r="K20" s="233"/>
    </row>
    <row r="21" spans="2:11" ht="15.75" thickBot="1">
      <c r="B21" s="232"/>
      <c r="C21" s="232"/>
      <c r="D21" s="233" t="s">
        <v>76</v>
      </c>
      <c r="E21" s="233" t="s">
        <v>46</v>
      </c>
      <c r="F21" s="233"/>
      <c r="G21" s="233" t="s">
        <v>77</v>
      </c>
      <c r="H21" s="233" t="s">
        <v>46</v>
      </c>
      <c r="I21" s="233"/>
      <c r="J21" s="233" t="s">
        <v>34</v>
      </c>
      <c r="K21" s="233" t="s">
        <v>35</v>
      </c>
    </row>
    <row r="22" spans="2:11" ht="23.25">
      <c r="B22" s="234" t="s">
        <v>2</v>
      </c>
      <c r="C22" s="235" t="s">
        <v>3</v>
      </c>
      <c r="D22" s="320">
        <v>9</v>
      </c>
      <c r="E22" s="312">
        <v>4</v>
      </c>
      <c r="F22" s="312">
        <v>5</v>
      </c>
      <c r="G22" s="323">
        <v>11</v>
      </c>
      <c r="H22" s="312">
        <v>2</v>
      </c>
      <c r="I22" s="312">
        <v>5</v>
      </c>
      <c r="J22" s="317"/>
      <c r="K22" s="327">
        <v>2</v>
      </c>
    </row>
    <row r="23" spans="2:11" ht="23.25">
      <c r="B23" s="236" t="s">
        <v>0</v>
      </c>
      <c r="C23" s="237" t="s">
        <v>1</v>
      </c>
      <c r="D23" s="321">
        <v>10</v>
      </c>
      <c r="E23" s="313">
        <v>4</v>
      </c>
      <c r="F23" s="313">
        <v>4</v>
      </c>
      <c r="G23" s="318">
        <v>20</v>
      </c>
      <c r="H23" s="313">
        <v>5</v>
      </c>
      <c r="I23" s="313">
        <v>7</v>
      </c>
      <c r="J23" s="318"/>
      <c r="K23" s="328">
        <v>3</v>
      </c>
    </row>
    <row r="24" spans="2:11" ht="23.25">
      <c r="B24" s="238" t="s">
        <v>4</v>
      </c>
      <c r="C24" s="239" t="s">
        <v>5</v>
      </c>
      <c r="D24" s="315">
        <v>26</v>
      </c>
      <c r="E24" s="313">
        <v>8</v>
      </c>
      <c r="F24" s="313">
        <v>8</v>
      </c>
      <c r="G24" s="318">
        <v>23</v>
      </c>
      <c r="H24" s="313">
        <v>7</v>
      </c>
      <c r="I24" s="313">
        <v>7</v>
      </c>
      <c r="J24" s="318"/>
      <c r="K24" s="329"/>
    </row>
    <row r="25" spans="2:11" ht="23.25">
      <c r="B25" s="236" t="s">
        <v>14</v>
      </c>
      <c r="C25" s="237" t="s">
        <v>13</v>
      </c>
      <c r="D25" s="315">
        <v>38</v>
      </c>
      <c r="E25" s="313">
        <v>8</v>
      </c>
      <c r="F25" s="313">
        <v>15</v>
      </c>
      <c r="G25" s="318">
        <v>42</v>
      </c>
      <c r="H25" s="313">
        <v>10</v>
      </c>
      <c r="I25" s="313">
        <v>15</v>
      </c>
      <c r="J25" s="324">
        <v>3</v>
      </c>
      <c r="K25" s="329"/>
    </row>
    <row r="26" spans="2:11" ht="23.25">
      <c r="B26" s="238" t="s">
        <v>10</v>
      </c>
      <c r="C26" s="239" t="s">
        <v>11</v>
      </c>
      <c r="D26" s="315">
        <v>18</v>
      </c>
      <c r="E26" s="313">
        <v>4</v>
      </c>
      <c r="F26" s="313">
        <v>5</v>
      </c>
      <c r="G26" s="324">
        <v>14</v>
      </c>
      <c r="H26" s="313">
        <v>3</v>
      </c>
      <c r="I26" s="313">
        <v>4</v>
      </c>
      <c r="J26" s="318"/>
      <c r="K26" s="330">
        <v>2</v>
      </c>
    </row>
    <row r="27" spans="2:11" ht="23.25">
      <c r="B27" s="236" t="s">
        <v>6</v>
      </c>
      <c r="C27" s="237" t="s">
        <v>7</v>
      </c>
      <c r="D27" s="315">
        <v>25</v>
      </c>
      <c r="E27" s="313">
        <v>6</v>
      </c>
      <c r="F27" s="313">
        <v>7</v>
      </c>
      <c r="G27" s="318">
        <v>20</v>
      </c>
      <c r="H27" s="313">
        <v>5</v>
      </c>
      <c r="I27" s="313">
        <v>7</v>
      </c>
      <c r="J27" s="318">
        <v>1</v>
      </c>
      <c r="K27" s="329"/>
    </row>
    <row r="28" spans="2:11" ht="23.25">
      <c r="B28" s="238" t="s">
        <v>8</v>
      </c>
      <c r="C28" s="239" t="s">
        <v>9</v>
      </c>
      <c r="D28" s="315">
        <v>20</v>
      </c>
      <c r="E28" s="313">
        <v>5</v>
      </c>
      <c r="F28" s="313">
        <v>5</v>
      </c>
      <c r="G28" s="318">
        <v>27</v>
      </c>
      <c r="H28" s="313">
        <v>8</v>
      </c>
      <c r="I28" s="313">
        <v>8</v>
      </c>
      <c r="J28" s="318"/>
      <c r="K28" s="330">
        <v>2</v>
      </c>
    </row>
    <row r="29" spans="2:11" ht="23.25">
      <c r="B29" s="236" t="s">
        <v>141</v>
      </c>
      <c r="C29" s="237" t="s">
        <v>142</v>
      </c>
      <c r="D29" s="315">
        <v>37</v>
      </c>
      <c r="E29" s="313">
        <v>10</v>
      </c>
      <c r="F29" s="313">
        <v>12</v>
      </c>
      <c r="G29" s="318">
        <v>39</v>
      </c>
      <c r="H29" s="313">
        <v>11</v>
      </c>
      <c r="I29" s="313">
        <v>12</v>
      </c>
      <c r="J29" s="318"/>
      <c r="K29" s="329"/>
    </row>
    <row r="30" spans="2:11" ht="23.25">
      <c r="B30" s="238" t="s">
        <v>17</v>
      </c>
      <c r="C30" s="239" t="s">
        <v>18</v>
      </c>
      <c r="D30" s="315">
        <v>52</v>
      </c>
      <c r="E30" s="313">
        <v>15</v>
      </c>
      <c r="F30" s="313">
        <v>15</v>
      </c>
      <c r="G30" s="318">
        <v>50</v>
      </c>
      <c r="H30" s="313">
        <v>12</v>
      </c>
      <c r="I30" s="313">
        <v>15</v>
      </c>
      <c r="J30" s="318">
        <v>1</v>
      </c>
      <c r="K30" s="329">
        <v>1</v>
      </c>
    </row>
    <row r="31" spans="2:11" ht="23.25">
      <c r="B31" s="236" t="s">
        <v>15</v>
      </c>
      <c r="C31" s="237" t="s">
        <v>16</v>
      </c>
      <c r="D31" s="315">
        <v>23</v>
      </c>
      <c r="E31" s="313">
        <v>5</v>
      </c>
      <c r="F31" s="313">
        <v>7</v>
      </c>
      <c r="G31" s="318">
        <v>19</v>
      </c>
      <c r="H31" s="313">
        <v>4</v>
      </c>
      <c r="I31" s="313">
        <v>6</v>
      </c>
      <c r="J31" s="326">
        <v>6</v>
      </c>
      <c r="K31" s="329">
        <v>1</v>
      </c>
    </row>
    <row r="32" spans="2:11" ht="23.25">
      <c r="B32" s="238" t="s">
        <v>113</v>
      </c>
      <c r="C32" s="239" t="s">
        <v>114</v>
      </c>
      <c r="D32" s="315">
        <v>50</v>
      </c>
      <c r="E32" s="313">
        <v>11</v>
      </c>
      <c r="F32" s="313">
        <v>12</v>
      </c>
      <c r="G32" s="318">
        <v>55</v>
      </c>
      <c r="H32" s="313">
        <v>11</v>
      </c>
      <c r="I32" s="313">
        <v>14</v>
      </c>
      <c r="J32" s="318">
        <v>3</v>
      </c>
      <c r="K32" s="329">
        <v>1</v>
      </c>
    </row>
    <row r="33" spans="2:11" ht="23.25">
      <c r="B33" s="236" t="s">
        <v>8</v>
      </c>
      <c r="C33" s="237" t="s">
        <v>19</v>
      </c>
      <c r="D33" s="315">
        <v>74</v>
      </c>
      <c r="E33" s="313">
        <v>15</v>
      </c>
      <c r="F33" s="313">
        <v>15</v>
      </c>
      <c r="G33" s="318">
        <v>74</v>
      </c>
      <c r="H33" s="313">
        <v>15</v>
      </c>
      <c r="I33" s="313">
        <v>15</v>
      </c>
      <c r="J33" s="324">
        <v>3</v>
      </c>
      <c r="K33" s="329"/>
    </row>
    <row r="34" spans="2:11" ht="23.25">
      <c r="B34" s="238" t="s">
        <v>12</v>
      </c>
      <c r="C34" s="239" t="s">
        <v>13</v>
      </c>
      <c r="D34" s="315">
        <v>56</v>
      </c>
      <c r="E34" s="313">
        <v>11</v>
      </c>
      <c r="F34" s="313">
        <v>12</v>
      </c>
      <c r="G34" s="318">
        <v>50</v>
      </c>
      <c r="H34" s="313">
        <v>11</v>
      </c>
      <c r="I34" s="313">
        <v>11</v>
      </c>
      <c r="J34" s="325">
        <v>8</v>
      </c>
      <c r="K34" s="329"/>
    </row>
    <row r="35" spans="2:11" ht="23.25">
      <c r="B35" s="240" t="s">
        <v>122</v>
      </c>
      <c r="C35" s="241" t="s">
        <v>123</v>
      </c>
      <c r="D35" s="315">
        <v>42</v>
      </c>
      <c r="E35" s="313">
        <v>9</v>
      </c>
      <c r="F35" s="313">
        <v>9</v>
      </c>
      <c r="G35" s="318">
        <v>36</v>
      </c>
      <c r="H35" s="313">
        <v>9</v>
      </c>
      <c r="I35" s="313">
        <v>9</v>
      </c>
      <c r="J35" s="318">
        <v>1</v>
      </c>
      <c r="K35" s="329">
        <v>1</v>
      </c>
    </row>
    <row r="36" spans="2:11" ht="24" thickBot="1">
      <c r="B36" s="245" t="s">
        <v>117</v>
      </c>
      <c r="C36" s="246" t="s">
        <v>118</v>
      </c>
      <c r="D36" s="319">
        <v>7</v>
      </c>
      <c r="E36" s="314">
        <v>2</v>
      </c>
      <c r="F36" s="314">
        <v>2</v>
      </c>
      <c r="G36" s="322">
        <v>9</v>
      </c>
      <c r="H36" s="314">
        <v>2</v>
      </c>
      <c r="I36" s="314">
        <v>3</v>
      </c>
      <c r="J36" s="316">
        <v>1</v>
      </c>
      <c r="K36" s="331">
        <v>2</v>
      </c>
    </row>
  </sheetData>
  <conditionalFormatting sqref="B22:C36">
    <cfRule type="dataBar" priority="1">
      <dataBar>
        <cfvo type="min"/>
        <cfvo type="max"/>
        <color rgb="FFD6007B"/>
      </dataBar>
    </cfRule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Scoreboard</vt:lpstr>
      <vt:lpstr>Öl &amp; Birdies</vt:lpstr>
      <vt:lpstr>Bästa Brutto &amp; Netto</vt:lpstr>
      <vt:lpstr>Ligastats</vt:lpstr>
      <vt:lpstr>Ranking</vt:lpstr>
      <vt:lpstr>Dreamscore</vt:lpstr>
      <vt:lpstr>Blad1</vt:lpstr>
      <vt:lpstr>Portugisen</vt:lpstr>
    </vt:vector>
  </TitlesOfParts>
  <Company>Halmstads Kommun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Stefan Thorvaldsson</dc:creator>
  <cp:lastModifiedBy>Stefan Thorvaldsson</cp:lastModifiedBy>
  <cp:lastPrinted>2011-10-29T06:34:15Z</cp:lastPrinted>
  <dcterms:created xsi:type="dcterms:W3CDTF">2007-08-30T08:27:06Z</dcterms:created>
  <dcterms:modified xsi:type="dcterms:W3CDTF">2016-10-14T20:01:14Z</dcterms:modified>
</cp:coreProperties>
</file>