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\Downloads\"/>
    </mc:Choice>
  </mc:AlternateContent>
  <xr:revisionPtr revIDLastSave="0" documentId="8_{023E50F6-0CD6-4144-949D-D814CF1F7ADE}" xr6:coauthVersionLast="47" xr6:coauthVersionMax="47" xr10:uidLastSave="{00000000-0000-0000-0000-000000000000}"/>
  <bookViews>
    <workbookView xWindow="3900" yWindow="850" windowWidth="28660" windowHeight="16280" xr2:uid="{458116DA-659D-894B-97F6-0F599823449D}"/>
  </bookViews>
  <sheets>
    <sheet name="Andelskrone" sheetId="1" r:id="rId1"/>
    <sheet name="Engi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E13" i="2"/>
  <c r="D3" i="1"/>
  <c r="D41" i="1"/>
  <c r="B3" i="2"/>
  <c r="E10" i="2"/>
  <c r="F10" i="2" s="1"/>
  <c r="E12" i="2"/>
  <c r="F12" i="2" s="1"/>
  <c r="D30" i="1"/>
  <c r="D19" i="1"/>
  <c r="E14" i="2" l="1"/>
  <c r="A8" i="2"/>
  <c r="D12" i="1"/>
  <c r="D15" i="1" l="1"/>
  <c r="D22" i="1"/>
  <c r="D38" i="1" s="1"/>
  <c r="E11" i="2" s="1"/>
  <c r="F11" i="2" s="1"/>
  <c r="D13" i="1" l="1"/>
  <c r="D15" i="2" l="1"/>
  <c r="E19" i="1"/>
  <c r="E24" i="1"/>
  <c r="D24" i="1"/>
  <c r="D26" i="1" l="1"/>
  <c r="E26" i="1" s="1"/>
  <c r="B11" i="2"/>
  <c r="D33" i="1" l="1"/>
  <c r="D32" i="1"/>
  <c r="D36" i="1"/>
  <c r="D31" i="1"/>
  <c r="D35" i="1"/>
  <c r="E41" i="1" l="1"/>
  <c r="E35" i="1"/>
  <c r="D42" i="1"/>
  <c r="E28" i="1"/>
  <c r="E8" i="2"/>
  <c r="F8" i="2" s="1"/>
  <c r="E9" i="2" l="1"/>
  <c r="E42" i="1"/>
  <c r="E16" i="2" l="1"/>
  <c r="F9" i="2"/>
</calcChain>
</file>

<file path=xl/sharedStrings.xml><?xml version="1.0" encoding="utf-8"?>
<sst xmlns="http://schemas.openxmlformats.org/spreadsheetml/2006/main" count="80" uniqueCount="74">
  <si>
    <t>Langfristet Gæld til realkredit</t>
  </si>
  <si>
    <t>Kortfristet Gæld til realkredit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</si>
  <si>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</si>
  <si>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</si>
  <si>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</si>
  <si>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</si>
  <si>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</si>
  <si>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</si>
  <si>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</si>
  <si>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</si>
  <si>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</si>
  <si>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inventar</t>
  </si>
  <si>
    <t>byggesager</t>
  </si>
  <si>
    <t>midlertidligt egede lejligheder</t>
  </si>
  <si>
    <t>Tilgodehavende hos andelshavere</t>
  </si>
  <si>
    <t>GI</t>
  </si>
  <si>
    <t>Andre tilgode</t>
  </si>
  <si>
    <t>Periodeafgræsningspost</t>
  </si>
  <si>
    <t>Likvidebeholdninger</t>
  </si>
  <si>
    <t>j</t>
  </si>
  <si>
    <t>k</t>
  </si>
  <si>
    <t>l</t>
  </si>
  <si>
    <t>m</t>
  </si>
  <si>
    <t>n</t>
  </si>
  <si>
    <t xml:space="preserve">Kursværdi af realkreditlån </t>
  </si>
  <si>
    <r>
      <t>Aktiver i alt (</t>
    </r>
    <r>
      <rPr>
        <b/>
        <sz val="16"/>
        <color theme="9" tint="-0.499984740745262"/>
        <rFont val="Calibri (Tekst)_x0000_"/>
      </rPr>
      <t>Værdier</t>
    </r>
    <r>
      <rPr>
        <b/>
        <sz val="16"/>
        <color theme="1"/>
        <rFont val="Calibri"/>
        <family val="2"/>
        <scheme val="minor"/>
      </rPr>
      <t>)</t>
    </r>
    <r>
      <rPr>
        <sz val="12"/>
        <color theme="1"/>
        <rFont val="Calibri (Tekst)_x0000_"/>
      </rPr>
      <t xml:space="preserve"> (a+b)</t>
    </r>
  </si>
  <si>
    <r>
      <rPr>
        <b/>
        <sz val="16"/>
        <color theme="4" tint="-0.499984740745262"/>
        <rFont val="Calibri (Tekst)_x0000_"/>
      </rPr>
      <t>Andelsværdi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2"/>
        <color theme="1"/>
        <rFont val="Calibri (Tekst)_x0000_"/>
      </rPr>
      <t>(j · k)</t>
    </r>
  </si>
  <si>
    <r>
      <t>Areal af andele m</t>
    </r>
    <r>
      <rPr>
        <vertAlign val="superscript"/>
        <sz val="12"/>
        <color theme="1"/>
        <rFont val="Calibri (Tekst)"/>
      </rPr>
      <t>2</t>
    </r>
  </si>
  <si>
    <t>Sum realkredit</t>
  </si>
  <si>
    <t>Andre aktiver</t>
  </si>
  <si>
    <r>
      <t>Andelsværdi pr. m</t>
    </r>
    <r>
      <rPr>
        <b/>
        <vertAlign val="superscript"/>
        <sz val="12"/>
        <color theme="1"/>
        <rFont val="Calibri (Tekst)"/>
      </rPr>
      <t>2</t>
    </r>
  </si>
  <si>
    <t>s.22 "Gæld til realkreditinstitutter" -&gt; kursværdi 31/12-19</t>
  </si>
  <si>
    <t>beregning</t>
  </si>
  <si>
    <t>s.22 "Gæld til realkreditinstitutter i alt"</t>
  </si>
  <si>
    <r>
      <rPr>
        <sz val="10"/>
        <color theme="1"/>
        <rFont val="Calibri (Tekst)_x0000_"/>
      </rPr>
      <t>s.26</t>
    </r>
    <r>
      <rPr>
        <b/>
        <sz val="10"/>
        <color theme="1"/>
        <rFont val="Calibri (Tekst)_x0000_"/>
      </rPr>
      <t xml:space="preserve"> beregning af andelsværdi </t>
    </r>
    <r>
      <rPr>
        <sz val="10"/>
        <color theme="1"/>
        <rFont val="Calibri (Tekst)_x0000_"/>
      </rPr>
      <t xml:space="preserve"> "De samlede kvadrat..."</t>
    </r>
  </si>
  <si>
    <r>
      <t>s.26</t>
    </r>
    <r>
      <rPr>
        <b/>
        <sz val="10"/>
        <color theme="1"/>
        <rFont val="Calibri (Tekst)_x0000_"/>
      </rPr>
      <t xml:space="preserve"> beregning af andelsværdi </t>
    </r>
    <r>
      <rPr>
        <sz val="10"/>
        <color theme="1"/>
        <rFont val="Calibri (Tekst)_x0000_"/>
      </rPr>
      <t xml:space="preserve"> "Senest vedtagne andels..."</t>
    </r>
  </si>
  <si>
    <t>vurdering</t>
  </si>
  <si>
    <t>Beregning</t>
  </si>
  <si>
    <t>gæld+stigning</t>
  </si>
  <si>
    <t>Værdi</t>
  </si>
  <si>
    <t>Ændring i vurderieng %</t>
  </si>
  <si>
    <t>gæld</t>
  </si>
  <si>
    <r>
      <t>Kursregulerede gældsforpligtelser
(</t>
    </r>
    <r>
      <rPr>
        <b/>
        <sz val="16"/>
        <color rgb="FFC00000"/>
        <rFont val="Calibri (Tekst)_x0000_"/>
      </rPr>
      <t>Gæld</t>
    </r>
    <r>
      <rPr>
        <b/>
        <sz val="16"/>
        <color theme="1"/>
        <rFont val="Calibri (Tekst)_x0000_"/>
      </rPr>
      <t xml:space="preserve">) </t>
    </r>
    <r>
      <rPr>
        <sz val="12"/>
        <color theme="1"/>
        <rFont val="Calibri (Tekst)_x0000_"/>
      </rPr>
      <t>(d-g)</t>
    </r>
  </si>
  <si>
    <t>Ændring i gæld (kurs 100)</t>
  </si>
  <si>
    <t>Hvor i årsrapporten:</t>
  </si>
  <si>
    <r>
      <t xml:space="preserve">Kurstab/gevindst </t>
    </r>
    <r>
      <rPr>
        <sz val="12"/>
        <color theme="1"/>
        <rFont val="Calibri"/>
        <family val="2"/>
        <scheme val="minor"/>
      </rPr>
      <t>(e-f)</t>
    </r>
  </si>
  <si>
    <r>
      <t>Vurdering</t>
    </r>
    <r>
      <rPr>
        <b/>
        <sz val="12"/>
        <color rgb="FFFF0000"/>
        <rFont val="Calibri (Tekst)"/>
      </rPr>
      <t xml:space="preserve"> (værdi indtastes i fanen "Engine")</t>
    </r>
  </si>
  <si>
    <r>
      <t xml:space="preserve">Gældsforpligterlser i alt </t>
    </r>
    <r>
      <rPr>
        <b/>
        <sz val="12"/>
        <color rgb="FFFF0000"/>
        <rFont val="Calibri (Tekst)"/>
      </rPr>
      <t>(værdi indtastes i fanen "Engine")</t>
    </r>
  </si>
  <si>
    <t>Gældsforpligtelser</t>
  </si>
  <si>
    <t>vurdering 2021</t>
  </si>
  <si>
    <t>fastfrysning af 2020 vurdering</t>
  </si>
  <si>
    <r>
      <t xml:space="preserve">s.11 </t>
    </r>
    <r>
      <rPr>
        <b/>
        <sz val="10"/>
        <color theme="1"/>
        <rFont val="Calibri"/>
        <family val="2"/>
        <scheme val="minor"/>
      </rPr>
      <t>Passiver</t>
    </r>
    <r>
      <rPr>
        <sz val="10"/>
        <color theme="1"/>
        <rFont val="Calibri"/>
        <family val="2"/>
        <scheme val="minor"/>
      </rPr>
      <t xml:space="preserve"> note 21  (under langfristet)</t>
    </r>
  </si>
  <si>
    <r>
      <t xml:space="preserve">s.11 </t>
    </r>
    <r>
      <rPr>
        <b/>
        <sz val="10"/>
        <color theme="1"/>
        <rFont val="Calibri"/>
        <family val="2"/>
        <scheme val="minor"/>
      </rPr>
      <t>Passiver</t>
    </r>
    <r>
      <rPr>
        <sz val="10"/>
        <color theme="1"/>
        <rFont val="Calibri"/>
        <family val="2"/>
        <scheme val="minor"/>
      </rPr>
      <t xml:space="preserve"> note 21 (under kortfristet)</t>
    </r>
  </si>
  <si>
    <r>
      <t xml:space="preserve">s.11 </t>
    </r>
    <r>
      <rPr>
        <b/>
        <sz val="10"/>
        <color theme="1"/>
        <rFont val="Calibri"/>
        <family val="2"/>
        <scheme val="minor"/>
      </rPr>
      <t>Aktiver</t>
    </r>
    <r>
      <rPr>
        <sz val="10"/>
        <color theme="1"/>
        <rFont val="Calibri"/>
        <family val="2"/>
        <scheme val="minor"/>
      </rPr>
      <t xml:space="preserve"> note 17</t>
    </r>
  </si>
  <si>
    <t>Vurdering 2023</t>
  </si>
  <si>
    <t xml:space="preserve">s.11 sum af poster </t>
  </si>
  <si>
    <r>
      <t xml:space="preserve">s.11 </t>
    </r>
    <r>
      <rPr>
        <b/>
        <sz val="10"/>
        <color theme="1"/>
        <rFont val="Calibri"/>
        <family val="2"/>
        <scheme val="minor"/>
      </rPr>
      <t xml:space="preserve">Aktiver </t>
    </r>
    <r>
      <rPr>
        <sz val="10"/>
        <color theme="1"/>
        <rFont val="Calibri"/>
        <family val="2"/>
        <scheme val="minor"/>
      </rPr>
      <t>"Aktiver i alt"</t>
    </r>
  </si>
  <si>
    <r>
      <t xml:space="preserve">s.12 </t>
    </r>
    <r>
      <rPr>
        <b/>
        <sz val="10"/>
        <color theme="1"/>
        <rFont val="Calibri"/>
        <family val="2"/>
        <scheme val="minor"/>
      </rPr>
      <t>Passiver</t>
    </r>
    <r>
      <rPr>
        <sz val="10"/>
        <color theme="1"/>
        <rFont val="Calibri"/>
        <family val="2"/>
        <scheme val="minor"/>
      </rPr>
      <t xml:space="preserve"> "Gældsforpligtelser i alt"</t>
    </r>
  </si>
  <si>
    <r>
      <t xml:space="preserve">s.12 </t>
    </r>
    <r>
      <rPr>
        <b/>
        <sz val="10"/>
        <color theme="1"/>
        <rFont val="Calibri"/>
        <family val="2"/>
        <scheme val="minor"/>
      </rPr>
      <t>Passiver</t>
    </r>
    <r>
      <rPr>
        <sz val="10"/>
        <color theme="1"/>
        <rFont val="Calibri"/>
        <family val="2"/>
        <scheme val="minor"/>
      </rPr>
      <t xml:space="preserve"> "Andre reserver i alt"</t>
    </r>
  </si>
  <si>
    <t>KPE</t>
  </si>
  <si>
    <t>Planlagt vedligehold</t>
  </si>
  <si>
    <t>o</t>
  </si>
  <si>
    <t>s</t>
  </si>
  <si>
    <r>
      <t>Den teoretisk maksimale andelsværdi pr. m</t>
    </r>
    <r>
      <rPr>
        <b/>
        <vertAlign val="superscript"/>
        <sz val="12"/>
        <color theme="1"/>
        <rFont val="Calibri (Tekst)"/>
      </rPr>
      <t>2</t>
    </r>
    <r>
      <rPr>
        <b/>
        <sz val="12"/>
        <color theme="1"/>
        <rFont val="Calibri"/>
        <family val="2"/>
        <scheme val="minor"/>
      </rPr>
      <t xml:space="preserve">  </t>
    </r>
    <r>
      <rPr>
        <sz val="12"/>
        <color theme="1"/>
        <rFont val="Calibri"/>
        <family val="2"/>
        <scheme val="minor"/>
      </rPr>
      <t>(i/k)</t>
    </r>
  </si>
  <si>
    <t>Rest buffer</t>
  </si>
  <si>
    <t>t</t>
  </si>
  <si>
    <t>Budgetteret buffer</t>
  </si>
  <si>
    <r>
      <rPr>
        <b/>
        <sz val="12"/>
        <color theme="7" tint="-0.499984740745262"/>
        <rFont val="Calibri (Tekst)"/>
      </rPr>
      <t>Kursværdireguleret reserve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2"/>
        <color theme="1"/>
        <rFont val="Calibri (Tekst)_x0000_"/>
      </rPr>
      <t xml:space="preserve"> (i-l-g)</t>
    </r>
  </si>
  <si>
    <r>
      <t>Kursværdireguleret maksimale andelsværdi pr. m</t>
    </r>
    <r>
      <rPr>
        <b/>
        <vertAlign val="superscript"/>
        <sz val="12"/>
        <color theme="1"/>
        <rFont val="Calibri (Tekst)"/>
      </rPr>
      <t>2</t>
    </r>
    <r>
      <rPr>
        <b/>
        <sz val="12"/>
        <color theme="1"/>
        <rFont val="Calibri"/>
        <family val="2"/>
        <scheme val="minor"/>
      </rPr>
      <t xml:space="preserve">  </t>
    </r>
    <r>
      <rPr>
        <sz val="12"/>
        <color theme="1"/>
        <rFont val="Calibri"/>
        <family val="2"/>
        <scheme val="minor"/>
      </rPr>
      <t>((i-g)/k)</t>
    </r>
  </si>
  <si>
    <r>
      <t>Budgeteret bufferkorrigeret maksimale andelsværdi pr. m</t>
    </r>
    <r>
      <rPr>
        <b/>
        <vertAlign val="superscript"/>
        <sz val="12"/>
        <color theme="1"/>
        <rFont val="Calibri (Tekst)"/>
      </rPr>
      <t>2</t>
    </r>
    <r>
      <rPr>
        <b/>
        <sz val="12"/>
        <color theme="1"/>
        <rFont val="Calibri"/>
        <family val="2"/>
        <scheme val="minor"/>
      </rPr>
      <t xml:space="preserve">  </t>
    </r>
    <r>
      <rPr>
        <sz val="12"/>
        <color theme="1"/>
        <rFont val="Calibri"/>
        <family val="2"/>
        <scheme val="minor"/>
      </rPr>
      <t>((i-s)/k)</t>
    </r>
  </si>
  <si>
    <r>
      <rPr>
        <b/>
        <sz val="16"/>
        <color theme="7" tint="-0.499984740745262"/>
        <rFont val="Calibri (Tekst)"/>
      </rPr>
      <t>Reserve</t>
    </r>
    <r>
      <rPr>
        <b/>
        <sz val="16"/>
        <color theme="1"/>
        <rFont val="Calibri"/>
        <family val="2"/>
        <scheme val="minor"/>
      </rPr>
      <t xml:space="preserve"> (Buffer)</t>
    </r>
    <r>
      <rPr>
        <sz val="12"/>
        <color theme="1"/>
        <rFont val="Calibri (Tekst)_x0000_"/>
      </rPr>
      <t xml:space="preserve"> (i-l)</t>
    </r>
  </si>
  <si>
    <r>
      <t>Kursreguleret egenkapital (</t>
    </r>
    <r>
      <rPr>
        <b/>
        <sz val="16"/>
        <color rgb="FF7030A0"/>
        <rFont val="Calibri"/>
        <family val="2"/>
        <scheme val="minor"/>
      </rPr>
      <t>Råderum</t>
    </r>
    <r>
      <rPr>
        <b/>
        <sz val="16"/>
        <color theme="1"/>
        <rFont val="Calibri"/>
        <family val="2"/>
        <scheme val="minor"/>
      </rPr>
      <t xml:space="preserve">)
</t>
    </r>
    <r>
      <rPr>
        <sz val="16"/>
        <color theme="1"/>
        <rFont val="Calibri"/>
        <family val="2"/>
        <scheme val="minor"/>
      </rPr>
      <t>(</t>
    </r>
    <r>
      <rPr>
        <b/>
        <sz val="16"/>
        <color theme="7" tint="-0.499984740745262"/>
        <rFont val="Calibri"/>
        <family val="2"/>
        <scheme val="minor"/>
      </rPr>
      <t>Reserve</t>
    </r>
    <r>
      <rPr>
        <b/>
        <sz val="16"/>
        <color theme="4" tint="-0.499984740745262"/>
        <rFont val="Calibri"/>
        <family val="2"/>
        <scheme val="minor"/>
      </rPr>
      <t xml:space="preserve"> + Andelsværdi</t>
    </r>
    <r>
      <rPr>
        <b/>
        <sz val="16"/>
        <color theme="1"/>
        <rFont val="Calibri"/>
        <family val="2"/>
        <scheme val="minor"/>
      </rPr>
      <t xml:space="preserve">) </t>
    </r>
    <r>
      <rPr>
        <sz val="12"/>
        <color theme="1"/>
        <rFont val="Calibri (Tekst)_x0000_"/>
      </rPr>
      <t>(c-h)</t>
    </r>
  </si>
  <si>
    <r>
      <rPr>
        <b/>
        <sz val="18"/>
        <color rgb="FF7030A0"/>
        <rFont val="Calibri (Tekst)_x0000_"/>
      </rPr>
      <t>Råderum</t>
    </r>
    <r>
      <rPr>
        <b/>
        <sz val="18"/>
        <color theme="1"/>
        <rFont val="Calibri (Tekst)_x0000_"/>
      </rPr>
      <t xml:space="preserve"> = </t>
    </r>
    <r>
      <rPr>
        <b/>
        <sz val="18"/>
        <color theme="9" tint="-0.249977111117893"/>
        <rFont val="Calibri (Tekst)_x0000_"/>
      </rPr>
      <t>Værdier</t>
    </r>
    <r>
      <rPr>
        <b/>
        <sz val="18"/>
        <color theme="1"/>
        <rFont val="Calibri (Tekst)_x0000_"/>
      </rPr>
      <t xml:space="preserve"> - </t>
    </r>
    <r>
      <rPr>
        <b/>
        <sz val="18"/>
        <color rgb="FFC00000"/>
        <rFont val="Calibri (Tekst)_x0000_"/>
      </rPr>
      <t xml:space="preserve">Gæld   </t>
    </r>
    <r>
      <rPr>
        <b/>
        <sz val="18"/>
        <rFont val="Calibri (Tekst)_x0000_"/>
      </rPr>
      <t xml:space="preserve">,   </t>
    </r>
    <r>
      <rPr>
        <b/>
        <sz val="18"/>
        <color theme="7" tint="-0.499984740745262"/>
        <rFont val="Calibri (Tekst)_x0000_"/>
      </rPr>
      <t>Reserve</t>
    </r>
    <r>
      <rPr>
        <b/>
        <sz val="18"/>
        <rFont val="Calibri (Tekst)_x0000_"/>
      </rPr>
      <t xml:space="preserve"> = </t>
    </r>
    <r>
      <rPr>
        <b/>
        <sz val="18"/>
        <color rgb="FF7030A0"/>
        <rFont val="Calibri (Tekst)_x0000_"/>
      </rPr>
      <t>Råderum</t>
    </r>
    <r>
      <rPr>
        <b/>
        <sz val="18"/>
        <rFont val="Calibri (Tekst)_x0000_"/>
      </rPr>
      <t xml:space="preserve"> - </t>
    </r>
    <r>
      <rPr>
        <b/>
        <sz val="18"/>
        <color theme="4" tint="-0.249977111117893"/>
        <rFont val="Calibri (Tekst)_x0000_"/>
      </rPr>
      <t>Andelsværdi</t>
    </r>
  </si>
  <si>
    <t>Kursgevinst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</si>
</sst>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kr.&quot;;[Red]\-#,##0.00\ &quot;kr.&quot;"/>
    <numFmt numFmtId="44" formatCode="_-* #,##0.00\ &quot;kr.&quot;_-;\-* #,##0.00\ &quot;kr.&quot;_-;_-* &quot;-&quot;??\ &quot;kr.&quot;_-;_-@_-"/>
    <numFmt numFmtId="164" formatCode="_-* #,##0.00\ _k_r_._-;\-* #,##0.00\ _k_r_._-;_-* &quot;-&quot;??\ _k_r_._-;_-@_-"/>
    <numFmt numFmtId="165" formatCode="_-* #,##0\ _k_r_._-;\-* #,##0\ _k_r_._-;_-* &quot;-&quot;??\ _k_r_._-;_-@_-"/>
    <numFmt numFmtId="166" formatCode="_-* #,##0.00\ [$kr.-406]_-;\-* #,##0.00\ [$kr.-406]_-;_-* &quot;-&quot;??\ [$kr.-406]_-;_-@_-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 (Tekst)_x0000_"/>
    </font>
    <font>
      <sz val="12"/>
      <color theme="1"/>
      <name val="Calibri (Tekst)_x0000_"/>
    </font>
    <font>
      <b/>
      <sz val="16"/>
      <color theme="9" tint="-0.499984740745262"/>
      <name val="Calibri (Tekst)_x0000_"/>
    </font>
    <font>
      <b/>
      <sz val="16"/>
      <color rgb="FFC00000"/>
      <name val="Calibri (Tekst)_x0000_"/>
    </font>
    <font>
      <b/>
      <sz val="16"/>
      <color theme="4" tint="-0.499984740745262"/>
      <name val="Calibri (Tekst)_x0000_"/>
    </font>
    <font>
      <b/>
      <vertAlign val="superscript"/>
      <sz val="12"/>
      <color theme="1"/>
      <name val="Calibri (Tekst)"/>
    </font>
    <font>
      <vertAlign val="superscript"/>
      <sz val="12"/>
      <color theme="1"/>
      <name val="Calibri (Tekst)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(Tekst)_x0000_"/>
    </font>
    <font>
      <b/>
      <sz val="10"/>
      <color theme="1"/>
      <name val="Calibri (Tekst)_x0000_"/>
    </font>
    <font>
      <b/>
      <sz val="18"/>
      <color theme="1"/>
      <name val="Calibri (Tekst)_x0000_"/>
    </font>
    <font>
      <b/>
      <sz val="18"/>
      <color theme="7" tint="-0.499984740745262"/>
      <name val="Calibri (Tekst)_x0000_"/>
    </font>
    <font>
      <b/>
      <sz val="18"/>
      <color theme="9" tint="-0.249977111117893"/>
      <name val="Calibri (Tekst)_x0000_"/>
    </font>
    <font>
      <b/>
      <sz val="18"/>
      <color rgb="FFC00000"/>
      <name val="Calibri (Tekst)_x0000_"/>
    </font>
    <font>
      <sz val="12"/>
      <color rgb="FFFF0000"/>
      <name val="Calibri"/>
      <family val="2"/>
      <scheme val="minor"/>
    </font>
    <font>
      <b/>
      <sz val="12"/>
      <color rgb="FFFF0000"/>
      <name val="Calibri (Tekst)"/>
    </font>
    <font>
      <sz val="11"/>
      <color theme="1"/>
      <name val="Helvetica"/>
      <family val="2"/>
    </font>
    <font>
      <b/>
      <sz val="16"/>
      <color theme="7" tint="-0.499984740745262"/>
      <name val="Calibri (Tekst)"/>
    </font>
    <font>
      <sz val="16"/>
      <color theme="1"/>
      <name val="Calibri"/>
      <family val="2"/>
      <scheme val="minor"/>
    </font>
    <font>
      <b/>
      <sz val="16"/>
      <color theme="7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2"/>
      <color theme="7" tint="-0.499984740745262"/>
      <name val="Calibri (Tekst)"/>
    </font>
    <font>
      <b/>
      <sz val="18"/>
      <name val="Calibri (Tekst)_x0000_"/>
    </font>
    <font>
      <b/>
      <sz val="18"/>
      <color theme="4" tint="-0.249977111117893"/>
      <name val="Calibri (Tekst)_x0000_"/>
    </font>
    <font>
      <b/>
      <sz val="18"/>
      <color rgb="FF7030A0"/>
      <name val="Calibri (Tekst)_x0000_"/>
    </font>
    <font>
      <b/>
      <sz val="16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CE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165" fontId="0" fillId="0" borderId="0" xfId="0" applyNumberFormat="1"/>
    <xf numFmtId="44" fontId="0" fillId="0" borderId="0" xfId="2" applyFont="1"/>
    <xf numFmtId="44" fontId="0" fillId="0" borderId="0" xfId="0" applyNumberFormat="1"/>
    <xf numFmtId="44" fontId="2" fillId="0" borderId="0" xfId="0" applyNumberFormat="1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5" xfId="0" applyFont="1" applyFill="1" applyBorder="1"/>
    <xf numFmtId="44" fontId="2" fillId="3" borderId="1" xfId="2" applyFont="1" applyFill="1" applyBorder="1"/>
    <xf numFmtId="0" fontId="0" fillId="3" borderId="0" xfId="0" applyFill="1"/>
    <xf numFmtId="44" fontId="0" fillId="3" borderId="3" xfId="2" applyFont="1" applyFill="1" applyBorder="1"/>
    <xf numFmtId="44" fontId="0" fillId="3" borderId="3" xfId="0" applyNumberFormat="1" applyFill="1" applyBorder="1"/>
    <xf numFmtId="0" fontId="4" fillId="3" borderId="6" xfId="0" applyFont="1" applyFill="1" applyBorder="1"/>
    <xf numFmtId="44" fontId="4" fillId="3" borderId="4" xfId="2" applyFont="1" applyFill="1" applyBorder="1"/>
    <xf numFmtId="0" fontId="2" fillId="4" borderId="5" xfId="0" applyFont="1" applyFill="1" applyBorder="1"/>
    <xf numFmtId="0" fontId="2" fillId="4" borderId="0" xfId="0" applyFont="1" applyFill="1"/>
    <xf numFmtId="44" fontId="2" fillId="4" borderId="3" xfId="2" applyFont="1" applyFill="1" applyBorder="1"/>
    <xf numFmtId="0" fontId="0" fillId="4" borderId="0" xfId="0" applyFill="1"/>
    <xf numFmtId="44" fontId="0" fillId="4" borderId="3" xfId="2" applyFont="1" applyFill="1" applyBorder="1"/>
    <xf numFmtId="0" fontId="0" fillId="4" borderId="8" xfId="0" applyFill="1" applyBorder="1"/>
    <xf numFmtId="44" fontId="0" fillId="4" borderId="7" xfId="0" applyNumberFormat="1" applyFill="1" applyBorder="1"/>
    <xf numFmtId="44" fontId="0" fillId="4" borderId="3" xfId="0" applyNumberFormat="1" applyFill="1" applyBorder="1"/>
    <xf numFmtId="0" fontId="2" fillId="4" borderId="8" xfId="0" applyFont="1" applyFill="1" applyBorder="1"/>
    <xf numFmtId="44" fontId="2" fillId="4" borderId="7" xfId="0" applyNumberFormat="1" applyFont="1" applyFill="1" applyBorder="1"/>
    <xf numFmtId="49" fontId="5" fillId="4" borderId="6" xfId="0" applyNumberFormat="1" applyFont="1" applyFill="1" applyBorder="1" applyAlignment="1">
      <alignment vertical="top" wrapText="1"/>
    </xf>
    <xf numFmtId="44" fontId="4" fillId="4" borderId="4" xfId="0" applyNumberFormat="1" applyFont="1" applyFill="1" applyBorder="1"/>
    <xf numFmtId="0" fontId="2" fillId="5" borderId="5" xfId="0" applyFont="1" applyFill="1" applyBorder="1"/>
    <xf numFmtId="44" fontId="2" fillId="5" borderId="1" xfId="2" applyFont="1" applyFill="1" applyBorder="1"/>
    <xf numFmtId="0" fontId="0" fillId="5" borderId="0" xfId="0" applyFill="1"/>
    <xf numFmtId="165" fontId="0" fillId="5" borderId="3" xfId="1" applyNumberFormat="1" applyFont="1" applyFill="1" applyBorder="1"/>
    <xf numFmtId="0" fontId="4" fillId="5" borderId="6" xfId="0" applyFont="1" applyFill="1" applyBorder="1"/>
    <xf numFmtId="44" fontId="4" fillId="5" borderId="4" xfId="2" applyFont="1" applyFill="1" applyBorder="1"/>
    <xf numFmtId="0" fontId="2" fillId="5" borderId="10" xfId="0" applyFont="1" applyFill="1" applyBorder="1"/>
    <xf numFmtId="49" fontId="4" fillId="2" borderId="10" xfId="0" applyNumberFormat="1" applyFont="1" applyFill="1" applyBorder="1" applyAlignment="1">
      <alignment vertical="top" wrapText="1"/>
    </xf>
    <xf numFmtId="44" fontId="4" fillId="2" borderId="11" xfId="0" applyNumberFormat="1" applyFont="1" applyFill="1" applyBorder="1"/>
    <xf numFmtId="0" fontId="4" fillId="6" borderId="10" xfId="0" applyFont="1" applyFill="1" applyBorder="1"/>
    <xf numFmtId="44" fontId="4" fillId="6" borderId="11" xfId="0" applyNumberFormat="1" applyFont="1" applyFill="1" applyBorder="1"/>
    <xf numFmtId="0" fontId="12" fillId="0" borderId="0" xfId="0" applyFont="1"/>
    <xf numFmtId="0" fontId="14" fillId="0" borderId="0" xfId="0" applyFont="1"/>
    <xf numFmtId="8" fontId="2" fillId="4" borderId="1" xfId="2" applyNumberFormat="1" applyFont="1" applyFill="1" applyBorder="1"/>
    <xf numFmtId="0" fontId="3" fillId="0" borderId="9" xfId="0" applyFont="1" applyBorder="1"/>
    <xf numFmtId="44" fontId="3" fillId="0" borderId="11" xfId="2" applyFont="1" applyBorder="1"/>
    <xf numFmtId="9" fontId="3" fillId="0" borderId="11" xfId="0" applyNumberFormat="1" applyFont="1" applyBorder="1"/>
    <xf numFmtId="0" fontId="2" fillId="0" borderId="0" xfId="0" applyFont="1"/>
    <xf numFmtId="0" fontId="20" fillId="0" borderId="18" xfId="0" applyFont="1" applyBorder="1"/>
    <xf numFmtId="0" fontId="20" fillId="0" borderId="19" xfId="0" applyFont="1" applyBorder="1"/>
    <xf numFmtId="0" fontId="0" fillId="0" borderId="18" xfId="0" applyBorder="1"/>
    <xf numFmtId="0" fontId="0" fillId="0" borderId="1" xfId="0" applyBorder="1"/>
    <xf numFmtId="44" fontId="20" fillId="0" borderId="4" xfId="2" applyFont="1" applyBorder="1"/>
    <xf numFmtId="44" fontId="20" fillId="0" borderId="19" xfId="2" applyFont="1" applyBorder="1"/>
    <xf numFmtId="44" fontId="3" fillId="0" borderId="0" xfId="0" applyNumberFormat="1" applyFont="1"/>
    <xf numFmtId="0" fontId="0" fillId="6" borderId="9" xfId="0" applyFill="1" applyBorder="1"/>
    <xf numFmtId="44" fontId="0" fillId="6" borderId="11" xfId="0" applyNumberFormat="1" applyFill="1" applyBorder="1"/>
    <xf numFmtId="0" fontId="0" fillId="6" borderId="18" xfId="0" applyFill="1" applyBorder="1"/>
    <xf numFmtId="44" fontId="0" fillId="6" borderId="1" xfId="0" applyNumberFormat="1" applyFill="1" applyBorder="1"/>
    <xf numFmtId="0" fontId="0" fillId="6" borderId="21" xfId="0" applyFill="1" applyBorder="1"/>
    <xf numFmtId="44" fontId="0" fillId="6" borderId="22" xfId="2" applyFont="1" applyFill="1" applyBorder="1"/>
    <xf numFmtId="0" fontId="0" fillId="7" borderId="20" xfId="0" applyFill="1" applyBorder="1"/>
    <xf numFmtId="0" fontId="3" fillId="0" borderId="0" xfId="0" applyFont="1" applyAlignment="1">
      <alignment vertical="top"/>
    </xf>
    <xf numFmtId="3" fontId="22" fillId="7" borderId="20" xfId="0" applyNumberFormat="1" applyFont="1" applyFill="1" applyBorder="1"/>
    <xf numFmtId="44" fontId="0" fillId="7" borderId="20" xfId="0" applyNumberFormat="1" applyFill="1" applyBorder="1"/>
    <xf numFmtId="4" fontId="0" fillId="7" borderId="20" xfId="0" applyNumberFormat="1" applyFill="1" applyBorder="1"/>
    <xf numFmtId="44" fontId="0" fillId="7" borderId="20" xfId="2" applyFont="1" applyFill="1" applyBorder="1"/>
    <xf numFmtId="0" fontId="4" fillId="2" borderId="12" xfId="0" applyFont="1" applyFill="1" applyBorder="1" applyAlignment="1">
      <alignment horizontal="center" vertical="center"/>
    </xf>
    <xf numFmtId="0" fontId="24" fillId="6" borderId="21" xfId="0" applyFont="1" applyFill="1" applyBorder="1"/>
    <xf numFmtId="44" fontId="24" fillId="6" borderId="22" xfId="2" applyFont="1" applyFill="1" applyBorder="1"/>
    <xf numFmtId="0" fontId="24" fillId="6" borderId="19" xfId="0" applyFont="1" applyFill="1" applyBorder="1"/>
    <xf numFmtId="44" fontId="24" fillId="6" borderId="4" xfId="0" applyNumberFormat="1" applyFont="1" applyFill="1" applyBorder="1"/>
    <xf numFmtId="44" fontId="2" fillId="5" borderId="11" xfId="0" applyNumberFormat="1" applyFont="1" applyFill="1" applyBorder="1"/>
    <xf numFmtId="44" fontId="2" fillId="6" borderId="11" xfId="0" applyNumberFormat="1" applyFont="1" applyFill="1" applyBorder="1"/>
    <xf numFmtId="0" fontId="0" fillId="0" borderId="23" xfId="0" applyBorder="1"/>
    <xf numFmtId="166" fontId="20" fillId="0" borderId="24" xfId="0" applyNumberFormat="1" applyFont="1" applyBorder="1"/>
    <xf numFmtId="44" fontId="20" fillId="0" borderId="1" xfId="2" applyFont="1" applyBorder="1"/>
    <xf numFmtId="0" fontId="3" fillId="0" borderId="0" xfId="0" applyFont="1" applyAlignment="1">
      <alignment horizontal="left" vertical="top" wrapText="1"/>
    </xf>
    <xf numFmtId="1" fontId="3" fillId="0" borderId="2" xfId="0" applyNumberFormat="1" applyFont="1" applyBorder="1" applyAlignment="1">
      <alignment horizontal="left" vertical="top" wrapText="1"/>
    </xf>
    <xf numFmtId="0" fontId="16" fillId="0" borderId="0" xfId="0" applyFont="1" applyAlignment="1"/>
  </cellXfs>
  <cellStyles count="3">
    <cellStyle name="Komma" xfId="1" builtinId="3"/>
    <cellStyle name="Normal" xfId="0" builtinId="0"/>
    <cellStyle name="Valuta" xfId="2" builtinId="4"/>
  </cellStyles>
  <dxfs count="0"/>
  <tableStyles count="0" defaultTableStyle="TableStyleMedium2" defaultPivotStyle="PivotStyleLight16"/>
  <colors>
    <mruColors>
      <color rgb="FFE67C83"/>
      <color rgb="FFFFE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da-DK"/>
              <a:t>Andelsværdi,</a:t>
            </a:r>
            <a:r>
              <a:rPr lang="da-DK" baseline="0"/>
              <a:t> gæld og buffer</a:t>
            </a:r>
            <a:endParaRPr lang="da-DK"/>
          </a:p>
        </c:rich>
      </c:tx>
      <c:layout>
        <c:manualLayout>
          <c:xMode val="edge"/>
          <c:yMode val="edge"/>
          <c:x val="0.33538987796765002"/>
          <c:y val="1.0869565217391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704294316151598E-2"/>
          <c:y val="7.5890837508947748E-2"/>
          <c:w val="0.60567388770635777"/>
          <c:h val="0.8783864232879981"/>
        </c:manualLayout>
      </c:layout>
      <c:barChart>
        <c:barDir val="col"/>
        <c:grouping val="stacked"/>
        <c:varyColors val="0"/>
        <c:ser>
          <c:idx val="0"/>
          <c:order val="0"/>
          <c:tx>
            <c:v>Andelsværdi</c:v>
          </c:tx>
          <c:spPr>
            <a:solidFill>
              <a:srgbClr val="5B9BD5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da-DK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Engine!$D$7:$E$7</c:f>
              <c:strCache>
                <c:ptCount val="2"/>
                <c:pt idx="0">
                  <c:v>Værdi</c:v>
                </c:pt>
                <c:pt idx="1">
                  <c:v>Beregning</c:v>
                </c:pt>
              </c:strCache>
            </c:strRef>
          </c:cat>
          <c:val>
            <c:numRef>
              <c:f>Engine!$D$8:$E$8</c:f>
              <c:numCache>
                <c:formatCode>#,##0.00</c:formatCode>
                <c:ptCount val="2"/>
                <c:pt idx="1">
                  <c:v>415584000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A-904C-9425-E08E6244CB50}"/>
            </c:ext>
          </c:extLst>
        </c:ser>
        <c:ser>
          <c:idx val="6"/>
          <c:order val="1"/>
          <c:tx>
            <c:strRef>
              <c:f>Engine!$F$12</c:f>
              <c:strCache>
                <c:ptCount val="1"/>
                <c:pt idx="0">
                  <c:v>KPE</c:v>
                </c:pt>
              </c:strCache>
            </c:strRef>
          </c:tx>
          <c:spPr>
            <a:solidFill>
              <a:srgbClr val="FFC000">
                <a:lumMod val="75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7D-459A-B59B-D062AB11CF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Engine!$D$7:$E$7</c:f>
              <c:strCache>
                <c:ptCount val="2"/>
                <c:pt idx="0">
                  <c:v>Værdi</c:v>
                </c:pt>
                <c:pt idx="1">
                  <c:v>Beregning</c:v>
                </c:pt>
              </c:strCache>
            </c:strRef>
          </c:cat>
          <c:val>
            <c:numRef>
              <c:f>Engine!$D$12:$E$12</c:f>
              <c:numCache>
                <c:formatCode>_("kr."* #,##0.00_);_("kr."* \(#,##0.00\);_("kr."* "-"??_);_(@_)</c:formatCode>
                <c:ptCount val="2"/>
                <c:pt idx="1">
                  <c:v>45000000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6-3045-825E-2293E8DAEDCA}"/>
            </c:ext>
          </c:extLst>
        </c:ser>
        <c:ser>
          <c:idx val="7"/>
          <c:order val="2"/>
          <c:tx>
            <c:strRef>
              <c:f>Engine!$F$10</c:f>
              <c:strCache>
                <c:ptCount val="1"/>
                <c:pt idx="0">
                  <c:v> Planlagt vedligehold </c:v>
                </c:pt>
              </c:strCache>
            </c:strRef>
          </c:tx>
          <c:spPr>
            <a:solidFill>
              <a:srgbClr val="FFC000">
                <a:lumMod val="75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da-DK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Engine!$D$10:$E$10</c:f>
              <c:numCache>
                <c:formatCode>_("kr."* #,##0.00_);_("kr."* \(#,##0.00\);_("kr."* "-"??_);_(@_)</c:formatCode>
                <c:ptCount val="2"/>
                <c:pt idx="1">
                  <c:v>58000000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7D-459A-B59B-D062AB11CF4A}"/>
            </c:ext>
          </c:extLst>
        </c:ser>
        <c:ser>
          <c:idx val="5"/>
          <c:order val="3"/>
          <c:tx>
            <c:strRef>
              <c:f>Engine!$F$11</c:f>
              <c:strCache>
                <c:ptCount val="1"/>
                <c:pt idx="0">
                  <c:v>Kursgevinst</c:v>
                </c:pt>
              </c:strCache>
            </c:strRef>
          </c:tx>
          <c:spPr>
            <a:solidFill>
              <a:srgbClr val="FFC000">
                <a:lumMod val="75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da-DK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Engine!$D$7:$E$7</c:f>
              <c:strCache>
                <c:ptCount val="2"/>
                <c:pt idx="0">
                  <c:v>Værdi</c:v>
                </c:pt>
                <c:pt idx="1">
                  <c:v>Beregning</c:v>
                </c:pt>
              </c:strCache>
            </c:strRef>
          </c:cat>
          <c:val>
            <c:numRef>
              <c:f>Engine!$D$11:$E$11</c:f>
              <c:numCache>
                <c:formatCode>#,##0.00</c:formatCode>
                <c:ptCount val="2"/>
                <c:pt idx="1">
                  <c:v>61431296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6-3045-825E-2293E8DAEDCA}"/>
            </c:ext>
          </c:extLst>
        </c:ser>
        <c:ser>
          <c:idx val="1"/>
          <c:order val="4"/>
          <c:tx>
            <c:strRef>
              <c:f>Engine!$F$9</c:f>
              <c:strCache>
                <c:ptCount val="1"/>
                <c:pt idx="0">
                  <c:v>Rest buffer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7D-459A-B59B-D062AB11CF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da-DK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Engine!$D$7:$E$7</c:f>
              <c:strCache>
                <c:ptCount val="2"/>
                <c:pt idx="0">
                  <c:v>Værdi</c:v>
                </c:pt>
                <c:pt idx="1">
                  <c:v>Beregning</c:v>
                </c:pt>
              </c:strCache>
            </c:strRef>
          </c:cat>
          <c:val>
            <c:numRef>
              <c:f>Engine!$D$9:$E$9</c:f>
              <c:numCache>
                <c:formatCode>#,##0.00</c:formatCode>
                <c:ptCount val="2"/>
                <c:pt idx="1">
                  <c:v>24998344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5A-904C-9425-E08E6244CB50}"/>
            </c:ext>
          </c:extLst>
        </c:ser>
        <c:ser>
          <c:idx val="2"/>
          <c:order val="5"/>
          <c:tx>
            <c:strRef>
              <c:f>Engine!$F$13</c:f>
              <c:strCache>
                <c:ptCount val="1"/>
              </c:strCache>
            </c:strRef>
          </c:tx>
          <c:spPr>
            <a:pattFill prst="wdDnDiag">
              <a:fgClr>
                <a:srgbClr val="5B9BD5">
                  <a:lumMod val="40000"/>
                  <a:lumOff val="60000"/>
                </a:srgbClr>
              </a:fgClr>
              <a:bgClr>
                <a:srgbClr val="E67C83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da-DK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72372372372371"/>
                      <c:h val="0.134096119341014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65A-904C-9425-E08E6244CB5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Engine!$D$7:$E$7</c:f>
              <c:strCache>
                <c:ptCount val="2"/>
                <c:pt idx="0">
                  <c:v>Værdi</c:v>
                </c:pt>
                <c:pt idx="1">
                  <c:v>Beregning</c:v>
                </c:pt>
              </c:strCache>
            </c:strRef>
          </c:cat>
          <c:val>
            <c:numRef>
              <c:f>Engine!$D$13:$E$13</c:f>
              <c:numCache>
                <c:formatCode>#,##0.00</c:formatCode>
                <c:ptCount val="2"/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5A-904C-9425-E08E6244CB50}"/>
            </c:ext>
          </c:extLst>
        </c:ser>
        <c:ser>
          <c:idx val="3"/>
          <c:order val="6"/>
          <c:tx>
            <c:v>Gæld</c:v>
          </c:tx>
          <c:spPr>
            <a:solidFill>
              <a:srgbClr val="E67C8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da-DK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Engine!$D$7:$E$7</c:f>
              <c:strCache>
                <c:ptCount val="2"/>
                <c:pt idx="0">
                  <c:v>Værdi</c:v>
                </c:pt>
                <c:pt idx="1">
                  <c:v>Beregning</c:v>
                </c:pt>
              </c:strCache>
            </c:strRef>
          </c:cat>
          <c:val>
            <c:numRef>
              <c:f>Engine!$D$14:$E$14</c:f>
              <c:numCache>
                <c:formatCode>#,##0.00</c:formatCode>
                <c:ptCount val="2"/>
                <c:pt idx="1">
                  <c:v>215290017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5A-904C-9425-E08E6244CB50}"/>
            </c:ext>
          </c:extLst>
        </c:ser>
        <c:ser>
          <c:idx val="4"/>
          <c:order val="7"/>
          <c:tx>
            <c:v>Værdi</c:v>
          </c:tx>
          <c:spPr>
            <a:solidFill>
              <a:srgbClr val="70AD47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da-DK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Engine!$D$7:$E$7</c:f>
              <c:strCache>
                <c:ptCount val="2"/>
                <c:pt idx="0">
                  <c:v>Værdi</c:v>
                </c:pt>
                <c:pt idx="1">
                  <c:v>Beregning</c:v>
                </c:pt>
              </c:strCache>
            </c:strRef>
          </c:cat>
          <c:val>
            <c:numRef>
              <c:f>Engine!$D$15:$E$15</c:f>
              <c:numCache>
                <c:formatCode>General</c:formatCode>
                <c:ptCount val="2"/>
                <c:pt idx="0" formatCode="#,##0.00">
                  <c:v>820303657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5A-904C-9425-E08E6244C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43954232"/>
        <c:axId val="-2143928328"/>
      </c:barChart>
      <c:catAx>
        <c:axId val="-214395423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a-DK"/>
          </a:p>
        </c:txPr>
        <c:crossAx val="-2143928328"/>
        <c:crosses val="autoZero"/>
        <c:auto val="0"/>
        <c:lblAlgn val="ctr"/>
        <c:lblOffset val="1"/>
        <c:noMultiLvlLbl val="0"/>
      </c:catAx>
      <c:valAx>
        <c:axId val="-21439283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a-DK"/>
          </a:p>
        </c:txPr>
        <c:crossAx val="-2143954232"/>
        <c:crossesAt val="1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 sz="1200"/>
                  </a:pPr>
                  <a:r>
                    <a:rPr lang="da-DK"/>
                    <a:t>Millioner kr.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67841775511209124"/>
          <c:y val="0.38400651120533008"/>
          <c:w val="0.32158224488790882"/>
          <c:h val="0.43976377952755907"/>
        </c:manualLayout>
      </c:layout>
      <c:overlay val="0"/>
      <c:txPr>
        <a:bodyPr/>
        <a:lstStyle/>
        <a:p>
          <a:pPr>
            <a:defRPr sz="1600"/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82550</xdr:colOff>
      <xdr:row>2</xdr:row>
      <xdr:rowOff>38100</xdr:rowOff>
    </xdr:from>
    <xdr:to>
      <xdr:col>13</xdr:col>
      <xdr:colOff>0</xdr:colOff>
      <xdr:row>30</xdr:row>
      <xdr:rowOff>139700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F87E6C5-837E-374F-912F-3E6FB6C35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F7D76-0188-FA40-AFC2-1C4C5E5D1E2D}">
  <dimension ref="A1:K45"/>
  <sheetViews>
    <sheetView tabSelected="1" zoomScale="80" zoomScaleNormal="80" workbookViewId="0"/>
  </sheetViews>
  <sheetFormatPr defaultColWidth="10.6640625" defaultRowHeight="15.5"/>
  <cols>
    <col min="1" max="1" width="46.08203125" customWidth="1"/>
    <col min="2" max="2" width="7" customWidth="1"/>
    <col min="3" max="3" width="60.5" customWidth="1"/>
    <col min="4" max="4" width="31.4140625" customWidth="1"/>
    <col min="5" max="5" width="25.6640625" customWidth="1"/>
    <col min="6" max="6" width="20.33203125" customWidth="1"/>
    <col min="7" max="7" width="20.83203125" customWidth="1"/>
    <col min="9" max="9" width="16.6640625" bestFit="1" customWidth="1"/>
    <col min="11" max="11" width="20.5" customWidth="1"/>
  </cols>
  <sheetData>
    <row r="1" spans="1:8" ht="23">
      <c r="B1" s="86" t="s">
        <v>72</v>
      </c>
      <c r="C1" s="86"/>
      <c r="D1" s="86"/>
      <c r="E1" s="86"/>
      <c r="F1" s="86"/>
      <c r="G1" s="86"/>
      <c r="H1" s="86"/>
    </row>
    <row r="2" spans="1:8" ht="16" thickBot="1">
      <c r="A2" s="54" t="s">
        <v>44</v>
      </c>
    </row>
    <row r="3" spans="1:8">
      <c r="A3" s="48" t="s">
        <v>53</v>
      </c>
      <c r="B3" s="8" t="s">
        <v>2</v>
      </c>
      <c r="C3" s="18" t="s">
        <v>46</v>
      </c>
      <c r="D3" s="19">
        <f>IF(E3="v",Engine!C3,Engine!B3)</f>
        <v>798550000</v>
      </c>
      <c r="E3" t="s">
        <v>7</v>
      </c>
    </row>
    <row r="4" spans="1:8">
      <c r="A4" s="48"/>
      <c r="B4" s="9"/>
      <c r="C4" s="20" t="s">
        <v>11</v>
      </c>
      <c r="D4" s="21">
        <v>0</v>
      </c>
    </row>
    <row r="5" spans="1:8">
      <c r="A5" s="48"/>
      <c r="B5" s="9"/>
      <c r="C5" s="20" t="s">
        <v>12</v>
      </c>
      <c r="D5" s="21">
        <v>0</v>
      </c>
    </row>
    <row r="6" spans="1:8">
      <c r="A6" s="48"/>
      <c r="B6" s="9"/>
      <c r="C6" s="20" t="s">
        <v>13</v>
      </c>
      <c r="D6" s="21">
        <v>9292297</v>
      </c>
    </row>
    <row r="7" spans="1:8">
      <c r="A7" s="48"/>
      <c r="B7" s="9"/>
      <c r="C7" s="20" t="s">
        <v>14</v>
      </c>
      <c r="D7" s="21">
        <v>433550</v>
      </c>
    </row>
    <row r="8" spans="1:8">
      <c r="A8" s="48"/>
      <c r="B8" s="9"/>
      <c r="C8" s="20" t="s">
        <v>15</v>
      </c>
      <c r="D8" s="21">
        <v>3511316</v>
      </c>
    </row>
    <row r="9" spans="1:8">
      <c r="A9" s="48"/>
      <c r="B9" s="9"/>
      <c r="C9" s="20" t="s">
        <v>16</v>
      </c>
      <c r="D9" s="21">
        <v>591466</v>
      </c>
    </row>
    <row r="10" spans="1:8">
      <c r="A10" s="48"/>
      <c r="B10" s="9"/>
      <c r="C10" s="20" t="s">
        <v>17</v>
      </c>
      <c r="D10" s="21">
        <v>37913</v>
      </c>
    </row>
    <row r="11" spans="1:8">
      <c r="A11" s="48"/>
      <c r="B11" s="9"/>
      <c r="C11" s="20" t="s">
        <v>18</v>
      </c>
      <c r="D11" s="21">
        <v>7887115</v>
      </c>
    </row>
    <row r="12" spans="1:8">
      <c r="A12" s="48" t="s">
        <v>55</v>
      </c>
      <c r="B12" s="10" t="s">
        <v>3</v>
      </c>
      <c r="C12" s="20" t="s">
        <v>29</v>
      </c>
      <c r="D12" s="22">
        <f>SUM(D4:D11)</f>
        <v>21753657</v>
      </c>
    </row>
    <row r="13" spans="1:8" ht="21.5" thickBot="1">
      <c r="A13" s="48" t="s">
        <v>56</v>
      </c>
      <c r="B13" s="11" t="s">
        <v>4</v>
      </c>
      <c r="C13" s="23" t="s">
        <v>25</v>
      </c>
      <c r="D13" s="24">
        <f>D3+D12</f>
        <v>820303657</v>
      </c>
      <c r="E13" s="2"/>
    </row>
    <row r="14" spans="1:8" ht="16" thickBot="1">
      <c r="A14" s="48"/>
      <c r="B14" s="6"/>
    </row>
    <row r="15" spans="1:8">
      <c r="A15" s="48" t="s">
        <v>57</v>
      </c>
      <c r="B15" s="14" t="s">
        <v>5</v>
      </c>
      <c r="C15" s="25" t="s">
        <v>47</v>
      </c>
      <c r="D15" s="50">
        <f>Engine!B2+Andelskrone!D44</f>
        <v>276721313</v>
      </c>
    </row>
    <row r="16" spans="1:8">
      <c r="A16" s="48"/>
      <c r="B16" s="12"/>
      <c r="C16" s="26"/>
      <c r="D16" s="27"/>
    </row>
    <row r="17" spans="1:11">
      <c r="A17" s="48" t="s">
        <v>51</v>
      </c>
      <c r="B17" s="7"/>
      <c r="C17" s="28" t="s">
        <v>0</v>
      </c>
      <c r="D17" s="29">
        <v>255355335</v>
      </c>
      <c r="I17" s="3"/>
    </row>
    <row r="18" spans="1:11">
      <c r="A18" s="48" t="s">
        <v>52</v>
      </c>
      <c r="B18" s="7"/>
      <c r="C18" s="28" t="s">
        <v>1</v>
      </c>
      <c r="D18" s="29">
        <v>7066055</v>
      </c>
    </row>
    <row r="19" spans="1:11">
      <c r="A19" s="48" t="s">
        <v>33</v>
      </c>
      <c r="B19" s="15" t="s">
        <v>6</v>
      </c>
      <c r="C19" s="30" t="s">
        <v>28</v>
      </c>
      <c r="D19" s="31">
        <f>SUM(D17:D18)</f>
        <v>262421390</v>
      </c>
      <c r="E19" s="5" t="str">
        <f>"Gæld udgør: "&amp;ROUND(D19/D13*100,0)&amp;"% af Værdier"</f>
        <v>Gæld udgør: 32% af Værdier</v>
      </c>
      <c r="K19" s="2"/>
    </row>
    <row r="20" spans="1:11">
      <c r="A20" s="48"/>
      <c r="B20" s="13"/>
      <c r="C20" s="28"/>
      <c r="D20" s="32"/>
      <c r="K20" s="2"/>
    </row>
    <row r="21" spans="1:11">
      <c r="A21" s="48" t="s">
        <v>31</v>
      </c>
      <c r="B21" s="15" t="s">
        <v>7</v>
      </c>
      <c r="C21" s="28" t="s">
        <v>24</v>
      </c>
      <c r="D21" s="29">
        <v>200990094</v>
      </c>
      <c r="E21" s="61"/>
      <c r="F21" s="5"/>
    </row>
    <row r="22" spans="1:11">
      <c r="A22" s="48" t="s">
        <v>32</v>
      </c>
      <c r="B22" s="16" t="s">
        <v>8</v>
      </c>
      <c r="C22" s="33" t="s">
        <v>45</v>
      </c>
      <c r="D22" s="34">
        <f>D19-D21</f>
        <v>61431296</v>
      </c>
    </row>
    <row r="23" spans="1:11">
      <c r="B23" s="13"/>
      <c r="C23" s="28"/>
      <c r="D23" s="32"/>
    </row>
    <row r="24" spans="1:11" ht="48" customHeight="1" thickBot="1">
      <c r="A24" s="48" t="s">
        <v>32</v>
      </c>
      <c r="B24" s="11" t="s">
        <v>9</v>
      </c>
      <c r="C24" s="35" t="s">
        <v>42</v>
      </c>
      <c r="D24" s="36">
        <f>D15-D22</f>
        <v>215290017</v>
      </c>
      <c r="E24" s="69" t="str">
        <f>"Gæld udgør: "&amp;ROUND(D24/D13*100,0)&amp;"% af Værdier"</f>
        <v>Gæld udgør: 26% af Værdier</v>
      </c>
      <c r="F24" s="1"/>
      <c r="K24" s="4"/>
    </row>
    <row r="25" spans="1:11" ht="16" thickBot="1">
      <c r="B25" s="6"/>
      <c r="D25" s="3"/>
      <c r="K25" s="4"/>
    </row>
    <row r="26" spans="1:11" ht="42.5" thickBot="1">
      <c r="A26" s="48" t="s">
        <v>32</v>
      </c>
      <c r="B26" s="17" t="s">
        <v>10</v>
      </c>
      <c r="C26" s="44" t="s">
        <v>71</v>
      </c>
      <c r="D26" s="45">
        <f>D13-D24</f>
        <v>605013640</v>
      </c>
      <c r="E26" s="69" t="str">
        <f>"Råderum udgør: "&amp;ROUND(D26/D13*100,0)&amp;"% af Værdier"</f>
        <v>Råderum udgør: 74% af Værdier</v>
      </c>
      <c r="K26" s="4"/>
    </row>
    <row r="27" spans="1:11" ht="16" thickBot="1">
      <c r="B27" s="6"/>
    </row>
    <row r="28" spans="1:11" ht="17.5">
      <c r="A28" s="49" t="s">
        <v>35</v>
      </c>
      <c r="B28" s="14" t="s">
        <v>19</v>
      </c>
      <c r="C28" s="37" t="s">
        <v>30</v>
      </c>
      <c r="D28" s="38">
        <v>13500</v>
      </c>
      <c r="E28" s="85" t="str">
        <f>"Andelsværdien udgør: "&amp;ROUND(D28/D31*100,0)&amp;"% af den teoretisk maksimale Andelsværdi og "&amp;ROUND(D28/D33*100,0)&amp;"% af den bufferkorrigerede maksimale Andelsværdi"</f>
        <v>Andelsværdien udgør: 69% af den teoretisk maksimale Andelsværdi og 94% af den bufferkorrigerede maksimale Andelsværdi</v>
      </c>
    </row>
    <row r="29" spans="1:11" ht="18.5">
      <c r="A29" s="49" t="s">
        <v>34</v>
      </c>
      <c r="B29" s="10" t="s">
        <v>20</v>
      </c>
      <c r="C29" s="39" t="s">
        <v>27</v>
      </c>
      <c r="D29" s="40">
        <v>30784</v>
      </c>
      <c r="E29" s="85"/>
    </row>
    <row r="30" spans="1:11" ht="21.5" thickBot="1">
      <c r="A30" s="48" t="s">
        <v>32</v>
      </c>
      <c r="B30" s="11" t="s">
        <v>21</v>
      </c>
      <c r="C30" s="41" t="s">
        <v>26</v>
      </c>
      <c r="D30" s="42">
        <f>D28*D29</f>
        <v>415584000</v>
      </c>
      <c r="E30" s="85"/>
    </row>
    <row r="31" spans="1:11" ht="18" thickBot="1">
      <c r="A31" s="48" t="s">
        <v>32</v>
      </c>
      <c r="B31" s="14" t="s">
        <v>22</v>
      </c>
      <c r="C31" s="37" t="s">
        <v>63</v>
      </c>
      <c r="D31" s="38">
        <f>D26/D29</f>
        <v>19653.509615384617</v>
      </c>
      <c r="E31" s="85"/>
      <c r="K31" s="4"/>
    </row>
    <row r="32" spans="1:11" ht="16" customHeight="1" thickBot="1">
      <c r="B32" s="14" t="s">
        <v>22</v>
      </c>
      <c r="C32" s="37" t="s">
        <v>68</v>
      </c>
      <c r="D32" s="79">
        <f>(D26-D22)/D29</f>
        <v>17657.950363825363</v>
      </c>
      <c r="E32" s="85"/>
    </row>
    <row r="33" spans="1:11" ht="18" thickBot="1">
      <c r="B33" s="17" t="s">
        <v>23</v>
      </c>
      <c r="C33" s="43" t="s">
        <v>69</v>
      </c>
      <c r="D33" s="79">
        <f>(D26-D41)/D29</f>
        <v>14312.056392931392</v>
      </c>
      <c r="K33" s="2"/>
    </row>
    <row r="34" spans="1:11" ht="16" thickBot="1">
      <c r="K34" s="3"/>
    </row>
    <row r="35" spans="1:11" ht="23.5" customHeight="1" thickBot="1">
      <c r="A35" s="48" t="s">
        <v>58</v>
      </c>
      <c r="B35" s="17" t="s">
        <v>61</v>
      </c>
      <c r="C35" s="46" t="s">
        <v>70</v>
      </c>
      <c r="D35" s="47">
        <f>D26-D30</f>
        <v>189429640</v>
      </c>
      <c r="E35" s="84" t="str">
        <f>"Reserven udgør: "&amp;ROUND(D35/D26*100,0)&amp;"% af (Egenkapitalen), "&amp;ROUND(D35/D3*100,0)&amp;"% af vurdering og "&amp;ROUND(D35/D13*100,0)&amp;" % af Værdier i alt"</f>
        <v>Reserven udgør: 31% af (Egenkapitalen), 24% af vurdering og 23 % af Værdier i alt</v>
      </c>
    </row>
    <row r="36" spans="1:11" ht="21.5" thickBot="1">
      <c r="B36" s="17"/>
      <c r="C36" s="46" t="s">
        <v>67</v>
      </c>
      <c r="D36" s="80">
        <f>D26-D30-D22</f>
        <v>127998344</v>
      </c>
      <c r="E36" s="84"/>
    </row>
    <row r="37" spans="1:11" ht="16" thickBot="1">
      <c r="E37" s="84"/>
    </row>
    <row r="38" spans="1:11" ht="16" customHeight="1" thickBot="1">
      <c r="B38" s="17"/>
      <c r="C38" s="62" t="s">
        <v>73</v>
      </c>
      <c r="D38" s="63">
        <f>D22</f>
        <v>61431296</v>
      </c>
    </row>
    <row r="39" spans="1:11" ht="16" thickBot="1">
      <c r="B39" s="17"/>
      <c r="C39" s="64" t="s">
        <v>59</v>
      </c>
      <c r="D39" s="65">
        <v>45000000</v>
      </c>
    </row>
    <row r="40" spans="1:11" ht="16" thickBot="1">
      <c r="B40" s="17"/>
      <c r="C40" s="66" t="s">
        <v>60</v>
      </c>
      <c r="D40" s="67">
        <v>58000000</v>
      </c>
      <c r="E40" s="3"/>
    </row>
    <row r="41" spans="1:11" ht="21.5" thickBot="1">
      <c r="B41" s="74" t="s">
        <v>62</v>
      </c>
      <c r="C41" s="75" t="s">
        <v>66</v>
      </c>
      <c r="D41" s="76">
        <f>SUM(D38:D40)</f>
        <v>164431296</v>
      </c>
      <c r="E41" s="5" t="str">
        <f>"Udgør "&amp;ROUND(D41/D35*100,0)&amp;"% af reserven"</f>
        <v>Udgør 87% af reserven</v>
      </c>
    </row>
    <row r="42" spans="1:11" ht="21.5" thickBot="1">
      <c r="B42" s="17" t="s">
        <v>65</v>
      </c>
      <c r="C42" s="77" t="s">
        <v>64</v>
      </c>
      <c r="D42" s="78">
        <f>D35-SUM(D38:D40)</f>
        <v>24998344</v>
      </c>
      <c r="E42" s="5" t="str">
        <f>"Udgør "&amp;ROUND(D42/D35*100,0)&amp;"% af reserven"</f>
        <v>Udgør 13% af reserven</v>
      </c>
    </row>
    <row r="43" spans="1:11" ht="16" thickBot="1"/>
    <row r="44" spans="1:11" ht="16" thickBot="1">
      <c r="C44" s="51" t="s">
        <v>43</v>
      </c>
      <c r="D44" s="52"/>
    </row>
    <row r="45" spans="1:11" ht="16" thickBot="1">
      <c r="C45" s="51" t="s">
        <v>40</v>
      </c>
      <c r="D45" s="53">
        <v>1</v>
      </c>
    </row>
  </sheetData>
  <mergeCells count="3">
    <mergeCell ref="E35:E37"/>
    <mergeCell ref="E28:E32"/>
    <mergeCell ref="B1:H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43EC2-E163-644F-B1B2-A28763AFDD97}">
  <dimension ref="A1:F16"/>
  <sheetViews>
    <sheetView topLeftCell="B1" workbookViewId="0">
      <selection activeCell="L23" sqref="L23"/>
    </sheetView>
  </sheetViews>
  <sheetFormatPr defaultColWidth="10.6640625" defaultRowHeight="15.5"/>
  <cols>
    <col min="1" max="1" width="22.33203125" customWidth="1"/>
    <col min="2" max="2" width="17.6640625" bestFit="1" customWidth="1"/>
    <col min="3" max="3" width="21" customWidth="1"/>
    <col min="4" max="4" width="29" customWidth="1"/>
    <col min="5" max="5" width="25.08203125" customWidth="1"/>
    <col min="6" max="6" width="20.4140625" customWidth="1"/>
  </cols>
  <sheetData>
    <row r="1" spans="1:6" ht="16" thickBot="1"/>
    <row r="2" spans="1:6">
      <c r="A2" s="55" t="s">
        <v>48</v>
      </c>
      <c r="B2" s="83">
        <v>276721313</v>
      </c>
      <c r="C2" s="81" t="s">
        <v>54</v>
      </c>
      <c r="D2" s="57" t="s">
        <v>49</v>
      </c>
      <c r="E2" s="58" t="s">
        <v>50</v>
      </c>
    </row>
    <row r="3" spans="1:6" ht="16" thickBot="1">
      <c r="A3" s="56" t="s">
        <v>36</v>
      </c>
      <c r="B3" s="59">
        <f>E3</f>
        <v>798550000</v>
      </c>
      <c r="C3" s="82">
        <v>881750000</v>
      </c>
      <c r="D3" s="60">
        <v>839950000</v>
      </c>
      <c r="E3" s="59">
        <v>798550000</v>
      </c>
    </row>
    <row r="6" spans="1:6">
      <c r="A6" s="68"/>
      <c r="B6" s="70">
        <v>864750000</v>
      </c>
      <c r="C6" s="68"/>
      <c r="D6" s="68"/>
      <c r="E6" s="68"/>
      <c r="F6" s="68"/>
    </row>
    <row r="7" spans="1:6">
      <c r="A7" s="68"/>
      <c r="B7" s="68"/>
      <c r="C7" s="68"/>
      <c r="D7" s="68" t="s">
        <v>39</v>
      </c>
      <c r="E7" s="68" t="s">
        <v>37</v>
      </c>
      <c r="F7" s="68"/>
    </row>
    <row r="8" spans="1:6">
      <c r="A8" s="71">
        <f>B6-B3</f>
        <v>66200000</v>
      </c>
      <c r="B8" s="68"/>
      <c r="C8" s="68"/>
      <c r="D8" s="68"/>
      <c r="E8" s="72">
        <f>IF(Andelskrone!D31&gt;=Andelskrone!D28,Andelskrone!D30,Andelskrone!D31*Andelskrone!D29)</f>
        <v>415584000</v>
      </c>
      <c r="F8" s="68" t="str">
        <f>IF(E8&gt;0,"andelsværdi M2","")</f>
        <v>andelsværdi M2</v>
      </c>
    </row>
    <row r="9" spans="1:6">
      <c r="A9" s="68"/>
      <c r="B9" s="68"/>
      <c r="C9" s="68"/>
      <c r="D9" s="68"/>
      <c r="E9" s="72">
        <f>IF(Andelskrone!D42&lt;=0,NA(),Andelskrone!D42)</f>
        <v>24998344</v>
      </c>
      <c r="F9" s="68" t="str">
        <f>IF(E9&gt;0,Andelskrone!C42,"")</f>
        <v>Rest buffer</v>
      </c>
    </row>
    <row r="10" spans="1:6">
      <c r="A10" s="68"/>
      <c r="B10" s="68"/>
      <c r="C10" s="68"/>
      <c r="D10" s="68"/>
      <c r="E10" s="71">
        <f>Andelskrone!D40</f>
        <v>58000000</v>
      </c>
      <c r="F10" s="71" t="str">
        <f>IF(E10&gt;0,Andelskrone!C40,"")</f>
        <v>Planlagt vedligehold</v>
      </c>
    </row>
    <row r="11" spans="1:6">
      <c r="A11" s="68" t="s">
        <v>38</v>
      </c>
      <c r="B11" s="71">
        <f>Andelskrone!D24</f>
        <v>215290017</v>
      </c>
      <c r="C11" s="68"/>
      <c r="D11" s="68"/>
      <c r="E11" s="72">
        <f>IF(Andelskrone!D38&lt;=0,NA(),Andelskrone!D38)</f>
        <v>61431296</v>
      </c>
      <c r="F11" s="68" t="str">
        <f>IF(E11&gt;0,Andelskrone!C38,"")</f>
        <v>Kursgevinst</v>
      </c>
    </row>
    <row r="12" spans="1:6">
      <c r="A12" s="68"/>
      <c r="B12" s="68"/>
      <c r="C12" s="68"/>
      <c r="D12" s="68"/>
      <c r="E12" s="71">
        <f>Andelskrone!$D$39</f>
        <v>45000000</v>
      </c>
      <c r="F12" s="68" t="str">
        <f>IF(E12&gt;0,Andelskrone!C39,"")</f>
        <v>KPE</v>
      </c>
    </row>
    <row r="13" spans="1:6">
      <c r="A13" s="68"/>
      <c r="B13" s="73"/>
      <c r="C13" s="68"/>
      <c r="D13" s="68"/>
      <c r="E13" s="72" t="e">
        <f>IF((Andelskrone!D31*Andelskrone!D29)&gt;=Andelskrone!D30,NA(),ABS(Andelskrone!D30-(Andelskrone!D31*Andelskrone!D29)))</f>
        <v>#N/A</v>
      </c>
      <c r="F13" s="68" t="str">
        <f>IF(ISNA(E13),"","nedgang i andelskrone")</f>
        <v/>
      </c>
    </row>
    <row r="14" spans="1:6">
      <c r="A14" s="68"/>
      <c r="B14" s="68"/>
      <c r="C14" s="68"/>
      <c r="D14" s="68"/>
      <c r="E14" s="72">
        <f>IF(ISNA(E13),B11,B11-E13)</f>
        <v>215290017</v>
      </c>
      <c r="F14" s="68" t="s">
        <v>41</v>
      </c>
    </row>
    <row r="15" spans="1:6">
      <c r="A15" s="68"/>
      <c r="B15" s="68"/>
      <c r="C15" s="68"/>
      <c r="D15" s="72">
        <f>Andelskrone!D13</f>
        <v>820303657</v>
      </c>
      <c r="E15" s="68"/>
      <c r="F15" s="72"/>
    </row>
    <row r="16" spans="1:6">
      <c r="A16" s="68"/>
      <c r="B16" s="68"/>
      <c r="C16" s="68"/>
      <c r="D16" s="68"/>
      <c r="E16" s="72" t="e">
        <f>SUM(E8:E14)</f>
        <v>#N/A</v>
      </c>
      <c r="F16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Andelskrone</vt:lpstr>
      <vt:lpstr>Engine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</cp:lastModifiedBy>
  <dcterms:created xsi:type="dcterms:W3CDTF">2020-09-14T17:59:32Z</dcterms:created>
  <dcterms:modified xsi:type="dcterms:W3CDTF">2023-05-09T07:39:28Z</dcterms:modified>
</cp:coreProperties>
</file>